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l\Desktop\EPS\eps-hubei-smart-trans\InputData\trans\TTS\"/>
    </mc:Choice>
  </mc:AlternateContent>
  <xr:revisionPtr revIDLastSave="0" documentId="13_ncr:1_{3EA8C1C8-B5D8-4BFF-B629-B8091FC75E5E}" xr6:coauthVersionLast="47" xr6:coauthVersionMax="47" xr10:uidLastSave="{00000000-0000-0000-0000-000000000000}"/>
  <bookViews>
    <workbookView xWindow="-109" yWindow="-109" windowWidth="26301" windowHeight="14169" firstSheet="6" activeTab="10" xr2:uid="{BF1D55BA-2662-4844-8B48-0ED0CBF7F5D9}"/>
    <workbookView xWindow="-109" yWindow="-109" windowWidth="26301" windowHeight="14169" firstSheet="16" activeTab="21" xr2:uid="{009FD3FD-EF94-4B4E-B978-8C0E99DB0CCC}"/>
  </bookViews>
  <sheets>
    <sheet name="About" sheetId="1" r:id="rId1"/>
    <sheet name="AEO 38" sheetId="20" r:id="rId2"/>
    <sheet name="AEO 39" sheetId="4" r:id="rId3"/>
    <sheet name="AEO 49" sheetId="5" r:id="rId4"/>
    <sheet name="Summary" sheetId="22" r:id="rId5"/>
    <sheet name="SYVbT-passenger" sheetId="6" r:id="rId6"/>
    <sheet name="SYVbT-freight" sheetId="19" r:id="rId7"/>
    <sheet name="Tech Avaliability" sheetId="21" r:id="rId8"/>
    <sheet name="Assumptions" sheetId="7" r:id="rId9"/>
    <sheet name="Data" sheetId="3" r:id="rId10"/>
    <sheet name="TTS-LDVs-psgr" sheetId="2" r:id="rId11"/>
    <sheet name="TTS-LDVs-frgt" sheetId="8" r:id="rId12"/>
    <sheet name="TTS-HDVs-psgr" sheetId="9" r:id="rId13"/>
    <sheet name="TTS-HDVs-frgt" sheetId="10" r:id="rId14"/>
    <sheet name="TTS-aircraft-psgr" sheetId="11" r:id="rId15"/>
    <sheet name="TTS-aircraft-frgt" sheetId="12" r:id="rId16"/>
    <sheet name="TTS-rail-psgr" sheetId="13" r:id="rId17"/>
    <sheet name="TTS-rail-frgt" sheetId="14" r:id="rId18"/>
    <sheet name="TTS-ships-psgr" sheetId="15" r:id="rId19"/>
    <sheet name="TTS-ships-frgt" sheetId="16" r:id="rId20"/>
    <sheet name="TTS-motorbikes-psgr" sheetId="17" r:id="rId21"/>
    <sheet name="TTS-motorbikes-frgt" sheetId="18" r:id="rId22"/>
  </sheets>
  <externalReferences>
    <externalReference r:id="rId23"/>
  </externalReferences>
  <definedNames>
    <definedName name="_xlnm._FilterDatabase" localSheetId="7" hidden="1">'Tech Avaliability'!$A$3:$V$57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I2" i="2"/>
  <c r="G2" i="10"/>
  <c r="B2" i="15"/>
  <c r="B5" i="14"/>
  <c r="B2" i="14"/>
  <c r="B5" i="13"/>
  <c r="B2" i="13"/>
  <c r="B8" i="10" l="1" a="1"/>
  <c r="B8" i="10" s="1"/>
  <c r="B6" i="10"/>
  <c r="B3" i="10" a="1"/>
  <c r="B3" i="10" s="1"/>
  <c r="B2" i="10" a="1"/>
  <c r="B2" i="10" s="1"/>
  <c r="B8" i="9" a="1"/>
  <c r="B8" i="9" s="1"/>
  <c r="B6" i="9" a="1"/>
  <c r="B6" i="9" s="1"/>
  <c r="B4" i="9" a="1"/>
  <c r="B4" i="9" s="1"/>
  <c r="B3" i="9" a="1"/>
  <c r="B3" i="9" s="1"/>
  <c r="B2" i="9" a="1"/>
  <c r="B2" i="9" s="1"/>
  <c r="B8" i="8" a="1"/>
  <c r="B8" i="8" s="1"/>
  <c r="B7" i="8"/>
  <c r="B6" i="8" a="1"/>
  <c r="B6" i="8" s="1"/>
  <c r="B3" i="8" a="1"/>
  <c r="B3" i="8" s="1"/>
  <c r="B2" i="8" a="1"/>
  <c r="B2" i="8" s="1"/>
  <c r="B6" i="2" a="1"/>
  <c r="B6" i="2" s="1"/>
  <c r="B8" i="2" a="1"/>
  <c r="B8" i="2" s="1"/>
  <c r="B7" i="2"/>
  <c r="B5" i="2" a="1"/>
  <c r="B5" i="2" s="1"/>
  <c r="B3" i="2" a="1"/>
  <c r="B3" i="2" s="1"/>
  <c r="B2" i="2" a="1"/>
  <c r="B2" i="2" s="1"/>
  <c r="G2" i="17"/>
  <c r="H2" i="17" s="1"/>
  <c r="I2" i="17" s="1"/>
  <c r="J2" i="17" s="1"/>
  <c r="K2" i="17" s="1"/>
  <c r="L2" i="17" s="1"/>
  <c r="M2" i="17" s="1"/>
  <c r="N2" i="17" s="1"/>
  <c r="O2" i="17" s="1"/>
  <c r="P2" i="17" s="1"/>
  <c r="Q2" i="17" s="1"/>
  <c r="R2" i="17" s="1"/>
  <c r="S2" i="17" s="1"/>
  <c r="T2" i="17" s="1"/>
  <c r="U2" i="17" s="1"/>
  <c r="V2" i="17" s="1"/>
  <c r="F2" i="17"/>
  <c r="D4" i="17"/>
  <c r="E4" i="17"/>
  <c r="F4" i="17"/>
  <c r="G4" i="17"/>
  <c r="H4" i="17" s="1"/>
  <c r="I4" i="17" s="1"/>
  <c r="J4" i="17" s="1"/>
  <c r="K4" i="17" s="1"/>
  <c r="L4" i="17" s="1"/>
  <c r="M4" i="17" s="1"/>
  <c r="N4" i="17" s="1"/>
  <c r="O4" i="17" s="1"/>
  <c r="P4" i="17" s="1"/>
  <c r="C4" i="17"/>
  <c r="N2" i="16"/>
  <c r="O2" i="16" s="1"/>
  <c r="P2" i="16" s="1"/>
  <c r="Q2" i="16" s="1"/>
  <c r="R2" i="16" s="1"/>
  <c r="S2" i="16" s="1"/>
  <c r="T2" i="16" s="1"/>
  <c r="U2" i="16" s="1"/>
  <c r="V2" i="16" s="1"/>
  <c r="S2" i="15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S2" i="10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S8" i="9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G8" i="9"/>
  <c r="H8" i="9" s="1"/>
  <c r="I8" i="9" s="1"/>
  <c r="J8" i="9" s="1"/>
  <c r="K8" i="9" s="1"/>
  <c r="L8" i="9" s="1"/>
  <c r="M8" i="9" s="1"/>
  <c r="N8" i="9" s="1"/>
  <c r="O8" i="9" s="1"/>
  <c r="P8" i="9" s="1"/>
  <c r="Q8" i="9" s="1"/>
  <c r="N8" i="8"/>
  <c r="O8" i="8" s="1"/>
  <c r="P8" i="8" s="1"/>
  <c r="Q8" i="8" s="1"/>
  <c r="R8" i="8" s="1"/>
  <c r="S8" i="8" s="1"/>
  <c r="T8" i="8" s="1"/>
  <c r="U8" i="8" s="1"/>
  <c r="V8" i="8" s="1"/>
  <c r="H8" i="8"/>
  <c r="I8" i="8" s="1"/>
  <c r="J8" i="8" s="1"/>
  <c r="K8" i="8" s="1"/>
  <c r="L8" i="8" s="1"/>
  <c r="G2" i="16"/>
  <c r="H2" i="16" s="1"/>
  <c r="I2" i="16" s="1"/>
  <c r="J2" i="16" s="1"/>
  <c r="K2" i="16" s="1"/>
  <c r="L2" i="16" s="1"/>
  <c r="D65" i="3"/>
  <c r="G5" i="13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AI5" i="13" s="1"/>
  <c r="AJ5" i="13" s="1"/>
  <c r="AK5" i="13" s="1"/>
  <c r="AL5" i="13" s="1"/>
  <c r="AM5" i="13" s="1"/>
  <c r="AN5" i="13" s="1"/>
  <c r="AO5" i="13" s="1"/>
  <c r="AP5" i="13" s="1"/>
  <c r="AQ5" i="13" s="1"/>
  <c r="D5" i="13"/>
  <c r="D51" i="3"/>
  <c r="AH8" i="9"/>
  <c r="AI8" i="9" s="1"/>
  <c r="AJ8" i="9" s="1"/>
  <c r="AK8" i="9" s="1"/>
  <c r="AL8" i="9" s="1"/>
  <c r="AM8" i="9" s="1"/>
  <c r="AN8" i="9" s="1"/>
  <c r="AO8" i="9" s="1"/>
  <c r="AP8" i="9" s="1"/>
  <c r="AQ8" i="9" s="1"/>
  <c r="D36" i="3"/>
  <c r="D31" i="3"/>
  <c r="AH4" i="9"/>
  <c r="AI4" i="9"/>
  <c r="AJ4" i="9"/>
  <c r="AK4" i="9"/>
  <c r="AL4" i="9"/>
  <c r="AM4" i="9"/>
  <c r="AN4" i="9"/>
  <c r="AO4" i="9"/>
  <c r="AP4" i="9"/>
  <c r="AQ4" i="9"/>
  <c r="D30" i="3"/>
  <c r="D23" i="3"/>
  <c r="D9" i="3"/>
  <c r="H2" i="8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X8" i="8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AI8" i="8" s="1"/>
  <c r="AJ8" i="8" s="1"/>
  <c r="AK8" i="8" s="1"/>
  <c r="AL8" i="8" s="1"/>
  <c r="AM8" i="8" s="1"/>
  <c r="AN8" i="8" s="1"/>
  <c r="AO8" i="8" s="1"/>
  <c r="AP8" i="8" s="1"/>
  <c r="AQ8" i="8" s="1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X49" i="2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4" i="22"/>
  <c r="X5" i="22"/>
  <c r="X6" i="22"/>
  <c r="X7" i="22"/>
  <c r="X8" i="22"/>
  <c r="X9" i="22"/>
  <c r="X10" i="22"/>
  <c r="X3" i="22"/>
  <c r="J2" i="2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V26" i="22"/>
  <c r="V24" i="22"/>
  <c r="O18" i="22"/>
  <c r="O14" i="22"/>
  <c r="R11" i="22"/>
  <c r="W8" i="22"/>
  <c r="U8" i="22"/>
  <c r="U5" i="22"/>
  <c r="S5" i="22"/>
  <c r="H9" i="3"/>
  <c r="C20" i="6"/>
  <c r="D20" i="6"/>
  <c r="E20" i="6"/>
  <c r="F20" i="6"/>
  <c r="G20" i="6"/>
  <c r="C21" i="6"/>
  <c r="D21" i="6"/>
  <c r="E21" i="6"/>
  <c r="F21" i="6"/>
  <c r="G21" i="6"/>
  <c r="C22" i="6"/>
  <c r="D22" i="6"/>
  <c r="E22" i="6"/>
  <c r="F22" i="6"/>
  <c r="G22" i="6"/>
  <c r="C23" i="6"/>
  <c r="D23" i="6"/>
  <c r="E23" i="6"/>
  <c r="F23" i="6"/>
  <c r="G23" i="6"/>
  <c r="C24" i="6"/>
  <c r="D24" i="6"/>
  <c r="E24" i="6"/>
  <c r="F24" i="6"/>
  <c r="G24" i="6"/>
  <c r="C25" i="6"/>
  <c r="D25" i="6"/>
  <c r="E25" i="6"/>
  <c r="F25" i="6"/>
  <c r="G25" i="6"/>
  <c r="C26" i="6"/>
  <c r="D26" i="6"/>
  <c r="E26" i="6"/>
  <c r="F26" i="6"/>
  <c r="G26" i="6"/>
  <c r="B21" i="6"/>
  <c r="B22" i="6"/>
  <c r="B23" i="6"/>
  <c r="B24" i="6"/>
  <c r="B25" i="6"/>
  <c r="B26" i="6"/>
  <c r="B20" i="6"/>
  <c r="A26" i="6"/>
  <c r="B19" i="6"/>
  <c r="C19" i="6"/>
  <c r="D19" i="6"/>
  <c r="E19" i="6"/>
  <c r="F19" i="6"/>
  <c r="G19" i="6"/>
  <c r="A20" i="6"/>
  <c r="A21" i="6"/>
  <c r="A22" i="6"/>
  <c r="A23" i="6"/>
  <c r="A24" i="6"/>
  <c r="A25" i="6"/>
  <c r="A19" i="6"/>
  <c r="A10" i="6" a="1"/>
  <c r="A10" i="6" s="1"/>
  <c r="G6" i="9" l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J6" i="9" s="1"/>
  <c r="AK6" i="9" s="1"/>
  <c r="AL6" i="9" s="1"/>
  <c r="AM6" i="9" s="1"/>
  <c r="AN6" i="9" s="1"/>
  <c r="AO6" i="9" s="1"/>
  <c r="AP6" i="9" s="1"/>
  <c r="AQ6" i="9" s="1"/>
  <c r="G3" i="9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G6" i="8"/>
  <c r="G8" i="8"/>
  <c r="G3" i="8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I2" i="8"/>
  <c r="J2" i="8"/>
  <c r="K2" i="8" s="1"/>
  <c r="L2" i="8" s="1"/>
  <c r="W2" i="17"/>
  <c r="X2" i="17" s="1"/>
  <c r="Y2" i="17" s="1"/>
  <c r="Z2" i="17" s="1"/>
  <c r="AG2" i="17"/>
  <c r="G8" i="2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J3" i="2"/>
  <c r="Z3" i="2"/>
  <c r="AP3" i="2"/>
  <c r="K3" i="2"/>
  <c r="L3" i="2"/>
  <c r="AB3" i="2"/>
  <c r="G3" i="2"/>
  <c r="AL3" i="2"/>
  <c r="H3" i="2"/>
  <c r="I3" i="2"/>
  <c r="M3" i="2"/>
  <c r="AC3" i="2"/>
  <c r="N3" i="2"/>
  <c r="AD3" i="2"/>
  <c r="U3" i="2"/>
  <c r="W3" i="2"/>
  <c r="AN3" i="2"/>
  <c r="AA3" i="2"/>
  <c r="O3" i="2"/>
  <c r="AE3" i="2"/>
  <c r="P3" i="2"/>
  <c r="AF3" i="2"/>
  <c r="V3" i="2"/>
  <c r="X3" i="2"/>
  <c r="Q3" i="2"/>
  <c r="AG3" i="2"/>
  <c r="AI3" i="2"/>
  <c r="R3" i="2"/>
  <c r="AH3" i="2"/>
  <c r="S3" i="2"/>
  <c r="Y3" i="2"/>
  <c r="T3" i="2"/>
  <c r="AJ3" i="2"/>
  <c r="AK3" i="2"/>
  <c r="AM3" i="2"/>
  <c r="AO3" i="2"/>
  <c r="AQ3" i="2"/>
  <c r="G6" i="2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H6" i="8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AI6" i="8" s="1"/>
  <c r="AJ6" i="8" s="1"/>
  <c r="AK6" i="8" s="1"/>
  <c r="AL6" i="8" s="1"/>
  <c r="AM6" i="8" s="1"/>
  <c r="AN6" i="8" s="1"/>
  <c r="AO6" i="8" s="1"/>
  <c r="AP6" i="8" s="1"/>
  <c r="AQ6" i="8" s="1"/>
  <c r="V5" i="2"/>
  <c r="AL5" i="2"/>
  <c r="W5" i="2"/>
  <c r="AM5" i="2"/>
  <c r="H5" i="2"/>
  <c r="X5" i="2"/>
  <c r="AN5" i="2"/>
  <c r="I5" i="2"/>
  <c r="Y5" i="2"/>
  <c r="AO5" i="2"/>
  <c r="J5" i="2"/>
  <c r="Z5" i="2"/>
  <c r="AP5" i="2"/>
  <c r="K5" i="2"/>
  <c r="AA5" i="2"/>
  <c r="AQ5" i="2"/>
  <c r="L5" i="2"/>
  <c r="AB5" i="2"/>
  <c r="M5" i="2"/>
  <c r="AC5" i="2"/>
  <c r="N5" i="2"/>
  <c r="AD5" i="2"/>
  <c r="O5" i="2"/>
  <c r="AE5" i="2"/>
  <c r="P5" i="2"/>
  <c r="AF5" i="2"/>
  <c r="G5" i="2"/>
  <c r="Q5" i="2"/>
  <c r="AG5" i="2"/>
  <c r="R5" i="2"/>
  <c r="AH5" i="2"/>
  <c r="S5" i="2"/>
  <c r="AI5" i="2"/>
  <c r="AK5" i="2"/>
  <c r="T5" i="2"/>
  <c r="AJ5" i="2"/>
  <c r="U5" i="2"/>
  <c r="V14" i="22"/>
  <c r="U14" i="22"/>
  <c r="T14" i="22"/>
  <c r="S14" i="22"/>
  <c r="N39" i="22"/>
  <c r="W10" i="22"/>
  <c r="W43" i="22"/>
  <c r="W19" i="22"/>
  <c r="U28" i="22"/>
  <c r="T28" i="22"/>
  <c r="S28" i="22"/>
  <c r="V40" i="22"/>
  <c r="O3" i="22"/>
  <c r="U11" i="22"/>
  <c r="T11" i="22"/>
  <c r="S11" i="22"/>
  <c r="O11" i="22"/>
  <c r="N11" i="22"/>
  <c r="O28" i="22"/>
  <c r="V4" i="22"/>
  <c r="V8" i="22"/>
  <c r="Y8" i="22" s="1"/>
  <c r="T8" i="22"/>
  <c r="S8" i="22"/>
  <c r="R8" i="22"/>
  <c r="P8" i="22"/>
  <c r="O8" i="22"/>
  <c r="N25" i="22"/>
  <c r="U33" i="22"/>
  <c r="W33" i="22"/>
  <c r="T33" i="22"/>
  <c r="S33" i="22"/>
  <c r="W4" i="22"/>
  <c r="U22" i="22"/>
  <c r="T22" i="22"/>
  <c r="S22" i="22"/>
  <c r="V34" i="22"/>
  <c r="O5" i="22"/>
  <c r="U6" i="22"/>
  <c r="V18" i="22"/>
  <c r="O22" i="22"/>
  <c r="O38" i="22"/>
  <c r="O46" i="22"/>
  <c r="N43" i="22"/>
  <c r="N19" i="22"/>
  <c r="U24" i="22"/>
  <c r="T24" i="22"/>
  <c r="S24" i="22"/>
  <c r="V28" i="22"/>
  <c r="O7" i="22"/>
  <c r="Z8" i="22"/>
  <c r="W11" i="22"/>
  <c r="O24" i="22"/>
  <c r="O40" i="22"/>
  <c r="S4" i="22"/>
  <c r="U4" i="22"/>
  <c r="T4" i="22"/>
  <c r="P4" i="22"/>
  <c r="O4" i="22"/>
  <c r="R4" i="22"/>
  <c r="R10" i="22"/>
  <c r="N37" i="22"/>
  <c r="Z5" i="22"/>
  <c r="R7" i="22"/>
  <c r="V22" i="22"/>
  <c r="U26" i="22"/>
  <c r="T26" i="22"/>
  <c r="S26" i="22"/>
  <c r="V38" i="22"/>
  <c r="V46" i="22"/>
  <c r="Y46" i="22" s="1"/>
  <c r="T5" i="22"/>
  <c r="R5" i="22"/>
  <c r="N5" i="22"/>
  <c r="S7" i="22"/>
  <c r="U18" i="22"/>
  <c r="T18" i="22"/>
  <c r="S18" i="22"/>
  <c r="O26" i="22"/>
  <c r="O50" i="22"/>
  <c r="V3" i="22"/>
  <c r="V7" i="22"/>
  <c r="N33" i="22"/>
  <c r="O39" i="22"/>
  <c r="P40" i="22"/>
  <c r="W47" i="22"/>
  <c r="P48" i="22"/>
  <c r="W5" i="22"/>
  <c r="V17" i="22"/>
  <c r="V23" i="22"/>
  <c r="V25" i="22"/>
  <c r="V27" i="22"/>
  <c r="W31" i="22"/>
  <c r="Q40" i="22"/>
  <c r="Q58" i="22"/>
  <c r="N3" i="22"/>
  <c r="W18" i="22"/>
  <c r="W22" i="22"/>
  <c r="W24" i="22"/>
  <c r="Y24" i="22" s="1"/>
  <c r="W26" i="22"/>
  <c r="Y26" i="22" s="1"/>
  <c r="W28" i="22"/>
  <c r="N36" i="22"/>
  <c r="O36" i="22"/>
  <c r="P38" i="22"/>
  <c r="R40" i="22"/>
  <c r="P47" i="22"/>
  <c r="R48" i="22"/>
  <c r="P5" i="22"/>
  <c r="W7" i="22"/>
  <c r="P12" i="22"/>
  <c r="Q5" i="22"/>
  <c r="N10" i="22"/>
  <c r="V13" i="22"/>
  <c r="W14" i="22"/>
  <c r="Q23" i="22"/>
  <c r="W27" i="22"/>
  <c r="P29" i="22"/>
  <c r="R39" i="22"/>
  <c r="U49" i="22"/>
  <c r="W50" i="22"/>
  <c r="U57" i="22"/>
  <c r="T57" i="22"/>
  <c r="S57" i="22"/>
  <c r="N6" i="22"/>
  <c r="N27" i="22"/>
  <c r="O34" i="22"/>
  <c r="P36" i="22"/>
  <c r="R38" i="22"/>
  <c r="P46" i="22"/>
  <c r="V49" i="22"/>
  <c r="O53" i="22"/>
  <c r="O57" i="22"/>
  <c r="P10" i="22"/>
  <c r="P35" i="22"/>
  <c r="Q36" i="22"/>
  <c r="P57" i="22"/>
  <c r="U58" i="22"/>
  <c r="W61" i="22"/>
  <c r="O33" i="22"/>
  <c r="R36" i="22"/>
  <c r="N44" i="22"/>
  <c r="V44" i="22"/>
  <c r="Y44" i="22" s="1"/>
  <c r="R46" i="22"/>
  <c r="P52" i="22"/>
  <c r="Q53" i="22"/>
  <c r="Q57" i="22"/>
  <c r="N62" i="22"/>
  <c r="Q6" i="22"/>
  <c r="P33" i="22"/>
  <c r="R35" i="22"/>
  <c r="V39" i="22"/>
  <c r="R57" i="22"/>
  <c r="S60" i="22"/>
  <c r="V5" i="22"/>
  <c r="V9" i="22"/>
  <c r="P11" i="22"/>
  <c r="Q30" i="22"/>
  <c r="O31" i="22"/>
  <c r="Q33" i="22"/>
  <c r="P44" i="22"/>
  <c r="W51" i="22"/>
  <c r="N59" i="22"/>
  <c r="P62" i="22"/>
  <c r="Q11" i="22"/>
  <c r="N18" i="22"/>
  <c r="N22" i="22"/>
  <c r="N24" i="22"/>
  <c r="N26" i="22"/>
  <c r="N28" i="22"/>
  <c r="R33" i="22"/>
  <c r="W38" i="22"/>
  <c r="O43" i="22"/>
  <c r="Q44" i="22"/>
  <c r="O51" i="22"/>
  <c r="U60" i="22"/>
  <c r="Q62" i="22"/>
  <c r="P7" i="22"/>
  <c r="Q9" i="22"/>
  <c r="N14" i="22"/>
  <c r="O17" i="22"/>
  <c r="O19" i="22"/>
  <c r="O25" i="22"/>
  <c r="O27" i="22"/>
  <c r="Q31" i="22"/>
  <c r="W42" i="22"/>
  <c r="P43" i="22"/>
  <c r="R44" i="22"/>
  <c r="N50" i="22"/>
  <c r="V50" i="22"/>
  <c r="Y50" i="22" s="1"/>
  <c r="P51" i="22"/>
  <c r="U53" i="22"/>
  <c r="Q56" i="22"/>
  <c r="P59" i="22"/>
  <c r="Q3" i="22"/>
  <c r="Q7" i="22"/>
  <c r="P13" i="22"/>
  <c r="P17" i="22"/>
  <c r="P18" i="22"/>
  <c r="P19" i="22"/>
  <c r="P22" i="22"/>
  <c r="P24" i="22"/>
  <c r="P25" i="22"/>
  <c r="P26" i="22"/>
  <c r="P27" i="22"/>
  <c r="P28" i="22"/>
  <c r="R31" i="22"/>
  <c r="W36" i="22"/>
  <c r="V37" i="22"/>
  <c r="Q43" i="22"/>
  <c r="W46" i="22"/>
  <c r="Q51" i="22"/>
  <c r="V53" i="22"/>
  <c r="R56" i="22"/>
  <c r="V57" i="22"/>
  <c r="Q59" i="22"/>
  <c r="S62" i="22"/>
  <c r="N4" i="22"/>
  <c r="N8" i="22"/>
  <c r="R12" i="22"/>
  <c r="P14" i="22"/>
  <c r="Q17" i="22"/>
  <c r="Q18" i="22"/>
  <c r="Q19" i="22"/>
  <c r="Q21" i="22"/>
  <c r="Q22" i="22"/>
  <c r="Q24" i="22"/>
  <c r="Q25" i="22"/>
  <c r="Q26" i="22"/>
  <c r="Q27" i="22"/>
  <c r="Q28" i="22"/>
  <c r="V41" i="22"/>
  <c r="P42" i="22"/>
  <c r="R43" i="22"/>
  <c r="V45" i="22"/>
  <c r="P50" i="22"/>
  <c r="R51" i="22"/>
  <c r="O55" i="22"/>
  <c r="W57" i="22"/>
  <c r="T62" i="22"/>
  <c r="P3" i="22"/>
  <c r="Q10" i="22"/>
  <c r="Q14" i="22"/>
  <c r="R17" i="22"/>
  <c r="R18" i="22"/>
  <c r="R19" i="22"/>
  <c r="R22" i="22"/>
  <c r="R23" i="22"/>
  <c r="R24" i="22"/>
  <c r="R25" i="22"/>
  <c r="R26" i="22"/>
  <c r="R27" i="22"/>
  <c r="R28" i="22"/>
  <c r="V33" i="22"/>
  <c r="N35" i="22"/>
  <c r="O41" i="22"/>
  <c r="Q42" i="22"/>
  <c r="O49" i="22"/>
  <c r="Q50" i="22"/>
  <c r="P55" i="22"/>
  <c r="N57" i="22"/>
  <c r="S59" i="22"/>
  <c r="O61" i="22"/>
  <c r="U62" i="22"/>
  <c r="V6" i="22"/>
  <c r="V11" i="22"/>
  <c r="Y11" i="22" s="1"/>
  <c r="R14" i="22"/>
  <c r="N40" i="22"/>
  <c r="P41" i="22"/>
  <c r="R42" i="22"/>
  <c r="N48" i="22"/>
  <c r="P49" i="22"/>
  <c r="R50" i="22"/>
  <c r="Q55" i="22"/>
  <c r="V62" i="22"/>
  <c r="Q4" i="22"/>
  <c r="Q8" i="22"/>
  <c r="V31" i="22"/>
  <c r="W44" i="22"/>
  <c r="Q49" i="22"/>
  <c r="W52" i="22"/>
  <c r="R55" i="22"/>
  <c r="O58" i="22"/>
  <c r="U59" i="22"/>
  <c r="P54" i="22"/>
  <c r="W56" i="22"/>
  <c r="W58" i="22"/>
  <c r="Q60" i="22"/>
  <c r="R62" i="22"/>
  <c r="W59" i="22"/>
  <c r="S61" i="22"/>
  <c r="E6" i="10"/>
  <c r="F6" i="10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AJ2" i="14" s="1"/>
  <c r="AK2" i="14" s="1"/>
  <c r="AL2" i="14" s="1"/>
  <c r="AM2" i="14" s="1"/>
  <c r="AN2" i="14" s="1"/>
  <c r="AO2" i="14" s="1"/>
  <c r="AP2" i="14" s="1"/>
  <c r="AQ2" i="14" s="1"/>
  <c r="H4" i="21"/>
  <c r="H8" i="21"/>
  <c r="H7" i="21"/>
  <c r="H6" i="21"/>
  <c r="H5" i="2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AJ5" i="14" s="1"/>
  <c r="AK5" i="14" s="1"/>
  <c r="AL5" i="14" s="1"/>
  <c r="AM5" i="14" s="1"/>
  <c r="AN5" i="14" s="1"/>
  <c r="AO5" i="14" s="1"/>
  <c r="AP5" i="14" s="1"/>
  <c r="AQ5" i="14" s="1"/>
  <c r="G6" i="10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Y33" i="22"/>
  <c r="Z18" i="22"/>
  <c r="Y18" i="22"/>
  <c r="Y57" i="22"/>
  <c r="Y14" i="22"/>
  <c r="U15" i="22"/>
  <c r="T15" i="22"/>
  <c r="S15" i="22"/>
  <c r="Q15" i="22"/>
  <c r="N15" i="22"/>
  <c r="Q61" i="22"/>
  <c r="U56" i="22"/>
  <c r="V60" i="22"/>
  <c r="Z60" i="22" s="1"/>
  <c r="O29" i="22"/>
  <c r="Q52" i="22"/>
  <c r="N12" i="22"/>
  <c r="P34" i="22"/>
  <c r="O60" i="22"/>
  <c r="U25" i="22"/>
  <c r="T25" i="22"/>
  <c r="S25" i="22"/>
  <c r="Q54" i="22"/>
  <c r="Y27" i="22"/>
  <c r="R41" i="22"/>
  <c r="O9" i="22"/>
  <c r="O12" i="22"/>
  <c r="W6" i="22"/>
  <c r="Y6" i="22" s="1"/>
  <c r="N41" i="22"/>
  <c r="Z28" i="22"/>
  <c r="U23" i="22"/>
  <c r="T23" i="22"/>
  <c r="S23" i="22"/>
  <c r="N51" i="22"/>
  <c r="V42" i="22"/>
  <c r="Y42" i="22" s="1"/>
  <c r="V32" i="22"/>
  <c r="U32" i="22"/>
  <c r="T32" i="22"/>
  <c r="S32" i="22"/>
  <c r="U21" i="22"/>
  <c r="T21" i="22"/>
  <c r="S21" i="22"/>
  <c r="V15" i="22"/>
  <c r="Y15" i="22" s="1"/>
  <c r="U20" i="22"/>
  <c r="T20" i="22"/>
  <c r="S20" i="22"/>
  <c r="Q20" i="22"/>
  <c r="U55" i="22"/>
  <c r="T55" i="22"/>
  <c r="S55" i="22"/>
  <c r="W55" i="22"/>
  <c r="N55" i="22"/>
  <c r="P23" i="22"/>
  <c r="O23" i="22"/>
  <c r="W54" i="22"/>
  <c r="Y5" i="22"/>
  <c r="R60" i="22"/>
  <c r="N32" i="22"/>
  <c r="R47" i="22"/>
  <c r="Z57" i="22"/>
  <c r="U19" i="22"/>
  <c r="Z19" i="22" s="1"/>
  <c r="T19" i="22"/>
  <c r="S19" i="22"/>
  <c r="U46" i="22"/>
  <c r="Z46" i="22" s="1"/>
  <c r="T46" i="22"/>
  <c r="S46" i="22"/>
  <c r="P9" i="22"/>
  <c r="V21" i="22"/>
  <c r="U38" i="22"/>
  <c r="Z38" i="22" s="1"/>
  <c r="T38" i="22"/>
  <c r="S38" i="22"/>
  <c r="N29" i="22"/>
  <c r="N54" i="22"/>
  <c r="U48" i="22"/>
  <c r="T48" i="22"/>
  <c r="S48" i="22"/>
  <c r="R21" i="22"/>
  <c r="W49" i="22"/>
  <c r="Z49" i="22" s="1"/>
  <c r="T49" i="22"/>
  <c r="S49" i="22"/>
  <c r="Y53" i="22"/>
  <c r="R52" i="22"/>
  <c r="O21" i="22"/>
  <c r="U39" i="22"/>
  <c r="W39" i="22"/>
  <c r="Y39" i="22" s="1"/>
  <c r="T39" i="22"/>
  <c r="S39" i="22"/>
  <c r="O62" i="22"/>
  <c r="V58" i="22"/>
  <c r="Y58" i="22" s="1"/>
  <c r="V55" i="22"/>
  <c r="U17" i="22"/>
  <c r="T17" i="22"/>
  <c r="S17" i="22"/>
  <c r="N46" i="22"/>
  <c r="W3" i="22"/>
  <c r="Y3" i="22" s="1"/>
  <c r="U3" i="22"/>
  <c r="T3" i="22"/>
  <c r="V19" i="22"/>
  <c r="Y19" i="22" s="1"/>
  <c r="N38" i="22"/>
  <c r="N21" i="22"/>
  <c r="Y28" i="22"/>
  <c r="Z33" i="22"/>
  <c r="U12" i="22"/>
  <c r="R20" i="22"/>
  <c r="P21" i="22"/>
  <c r="T51" i="22"/>
  <c r="S51" i="22"/>
  <c r="U45" i="22"/>
  <c r="S45" i="22"/>
  <c r="T45" i="22"/>
  <c r="R54" i="22"/>
  <c r="W15" i="22"/>
  <c r="U51" i="22"/>
  <c r="N45" i="22"/>
  <c r="P20" i="22"/>
  <c r="U50" i="22"/>
  <c r="Z50" i="22" s="1"/>
  <c r="T50" i="22"/>
  <c r="S50" i="22"/>
  <c r="V47" i="22"/>
  <c r="Y47" i="22" s="1"/>
  <c r="U54" i="22"/>
  <c r="P53" i="22"/>
  <c r="T53" i="22"/>
  <c r="S53" i="22"/>
  <c r="W53" i="22"/>
  <c r="Z53" i="22" s="1"/>
  <c r="N53" i="22"/>
  <c r="Q39" i="22"/>
  <c r="Y7" i="22"/>
  <c r="Y38" i="22"/>
  <c r="Z22" i="22"/>
  <c r="O20" i="22"/>
  <c r="P16" i="22"/>
  <c r="N16" i="22"/>
  <c r="R45" i="22"/>
  <c r="Z58" i="22"/>
  <c r="W13" i="22"/>
  <c r="Y13" i="22" s="1"/>
  <c r="U13" i="22"/>
  <c r="T13" i="22"/>
  <c r="S13" i="22"/>
  <c r="W12" i="22"/>
  <c r="V30" i="22"/>
  <c r="Z24" i="22"/>
  <c r="N13" i="22"/>
  <c r="V12" i="22"/>
  <c r="R61" i="22"/>
  <c r="P61" i="22"/>
  <c r="T61" i="22"/>
  <c r="U41" i="22"/>
  <c r="Z41" i="22" s="1"/>
  <c r="W41" i="22"/>
  <c r="Y41" i="22" s="1"/>
  <c r="T41" i="22"/>
  <c r="S41" i="22"/>
  <c r="P15" i="22"/>
  <c r="U37" i="22"/>
  <c r="W37" i="22"/>
  <c r="Y37" i="22" s="1"/>
  <c r="T37" i="22"/>
  <c r="S37" i="22"/>
  <c r="N47" i="22"/>
  <c r="Q32" i="22"/>
  <c r="N56" i="22"/>
  <c r="U52" i="22"/>
  <c r="T52" i="22"/>
  <c r="V52" i="22"/>
  <c r="Y52" i="22" s="1"/>
  <c r="S52" i="22"/>
  <c r="O52" i="22"/>
  <c r="Q37" i="22"/>
  <c r="O37" i="22"/>
  <c r="V20" i="22"/>
  <c r="R59" i="22"/>
  <c r="T59" i="22"/>
  <c r="Q41" i="22"/>
  <c r="U40" i="22"/>
  <c r="T40" i="22"/>
  <c r="S40" i="22"/>
  <c r="U35" i="22"/>
  <c r="S35" i="22"/>
  <c r="W35" i="22"/>
  <c r="T35" i="22"/>
  <c r="R30" i="22"/>
  <c r="O13" i="22"/>
  <c r="P31" i="22"/>
  <c r="U43" i="22"/>
  <c r="Z43" i="22" s="1"/>
  <c r="T43" i="22"/>
  <c r="S43" i="22"/>
  <c r="R53" i="22"/>
  <c r="N52" i="22"/>
  <c r="Q46" i="22"/>
  <c r="Q47" i="22"/>
  <c r="U36" i="22"/>
  <c r="T36" i="22"/>
  <c r="S36" i="22"/>
  <c r="V36" i="22"/>
  <c r="Y36" i="22" s="1"/>
  <c r="Q48" i="22"/>
  <c r="V59" i="22"/>
  <c r="Y59" i="22" s="1"/>
  <c r="O42" i="22"/>
  <c r="R13" i="22"/>
  <c r="O30" i="22"/>
  <c r="R3" i="22"/>
  <c r="Z11" i="22"/>
  <c r="N31" i="22"/>
  <c r="W32" i="22"/>
  <c r="W34" i="22"/>
  <c r="Y34" i="22" s="1"/>
  <c r="Q29" i="22"/>
  <c r="Q13" i="22"/>
  <c r="V35" i="22"/>
  <c r="O15" i="22"/>
  <c r="R34" i="22"/>
  <c r="W48" i="22"/>
  <c r="O45" i="22"/>
  <c r="O35" i="22"/>
  <c r="O47" i="22"/>
  <c r="Z26" i="22"/>
  <c r="Z4" i="22"/>
  <c r="N7" i="22"/>
  <c r="W45" i="22"/>
  <c r="Y45" i="22" s="1"/>
  <c r="N23" i="22"/>
  <c r="T60" i="22"/>
  <c r="P60" i="22"/>
  <c r="Y31" i="22"/>
  <c r="U42" i="22"/>
  <c r="T42" i="22"/>
  <c r="S42" i="22"/>
  <c r="T9" i="22"/>
  <c r="S9" i="22"/>
  <c r="R9" i="22"/>
  <c r="N9" i="22"/>
  <c r="Q45" i="22"/>
  <c r="P45" i="22"/>
  <c r="R37" i="22"/>
  <c r="S34" i="22"/>
  <c r="U34" i="22"/>
  <c r="T34" i="22"/>
  <c r="T12" i="22"/>
  <c r="S12" i="22"/>
  <c r="V51" i="22"/>
  <c r="Y51" i="22" s="1"/>
  <c r="Y22" i="22"/>
  <c r="W21" i="22"/>
  <c r="T58" i="22"/>
  <c r="S58" i="22"/>
  <c r="P58" i="22"/>
  <c r="R15" i="22"/>
  <c r="R29" i="22"/>
  <c r="T10" i="22"/>
  <c r="S10" i="22"/>
  <c r="Q12" i="22"/>
  <c r="N42" i="22"/>
  <c r="P32" i="22"/>
  <c r="W40" i="22"/>
  <c r="U44" i="22"/>
  <c r="Z44" i="22" s="1"/>
  <c r="T44" i="22"/>
  <c r="S44" i="22"/>
  <c r="N34" i="22"/>
  <c r="Q38" i="22"/>
  <c r="U7" i="22"/>
  <c r="Z7" i="22" s="1"/>
  <c r="T7" i="22"/>
  <c r="P39" i="22"/>
  <c r="R49" i="22"/>
  <c r="W17" i="22"/>
  <c r="Y17" i="22" s="1"/>
  <c r="O48" i="22"/>
  <c r="W9" i="22"/>
  <c r="Y9" i="22" s="1"/>
  <c r="N17" i="22"/>
  <c r="V48" i="22"/>
  <c r="T56" i="22"/>
  <c r="S56" i="22"/>
  <c r="P56" i="22"/>
  <c r="V56" i="22"/>
  <c r="Y56" i="22" s="1"/>
  <c r="O56" i="22"/>
  <c r="R32" i="22"/>
  <c r="P37" i="22"/>
  <c r="U31" i="22"/>
  <c r="Z31" i="22" s="1"/>
  <c r="T31" i="22"/>
  <c r="S31" i="22"/>
  <c r="W23" i="22"/>
  <c r="Y23" i="22" s="1"/>
  <c r="U9" i="22"/>
  <c r="Y40" i="22"/>
  <c r="Z14" i="22"/>
  <c r="T54" i="22"/>
  <c r="S54" i="22"/>
  <c r="V54" i="22"/>
  <c r="Y54" i="22" s="1"/>
  <c r="O54" i="22"/>
  <c r="N20" i="22"/>
  <c r="U30" i="22"/>
  <c r="T30" i="22"/>
  <c r="S30" i="22"/>
  <c r="U29" i="22"/>
  <c r="W29" i="22"/>
  <c r="T29" i="22"/>
  <c r="S29" i="22"/>
  <c r="N60" i="22"/>
  <c r="W30" i="22"/>
  <c r="U47" i="22"/>
  <c r="Z47" i="22" s="1"/>
  <c r="T47" i="22"/>
  <c r="S47" i="22"/>
  <c r="O32" i="22"/>
  <c r="Y4" i="22"/>
  <c r="W62" i="22"/>
  <c r="Z62" i="22" s="1"/>
  <c r="N58" i="22"/>
  <c r="O6" i="22"/>
  <c r="T6" i="22"/>
  <c r="S6" i="22"/>
  <c r="R6" i="22"/>
  <c r="P6" i="22"/>
  <c r="N61" i="22"/>
  <c r="W60" i="22"/>
  <c r="P30" i="22"/>
  <c r="O59" i="22"/>
  <c r="N30" i="22"/>
  <c r="Q34" i="22"/>
  <c r="Q35" i="22"/>
  <c r="V61" i="22"/>
  <c r="Y61" i="22" s="1"/>
  <c r="U61" i="22"/>
  <c r="U27" i="22"/>
  <c r="Z27" i="22" s="1"/>
  <c r="T27" i="22"/>
  <c r="S27" i="22"/>
  <c r="R58" i="22"/>
  <c r="W20" i="22"/>
  <c r="V29" i="22"/>
  <c r="V43" i="22"/>
  <c r="Y43" i="22" s="1"/>
  <c r="U10" i="22"/>
  <c r="Z10" i="22" s="1"/>
  <c r="W25" i="22"/>
  <c r="Y25" i="22" s="1"/>
  <c r="O10" i="22"/>
  <c r="S3" i="22"/>
  <c r="N49" i="22"/>
  <c r="O44" i="22"/>
  <c r="V10" i="22"/>
  <c r="Y10" i="22" s="1"/>
  <c r="Z61" i="22" l="1"/>
  <c r="Y62" i="22"/>
  <c r="Z55" i="22"/>
  <c r="Z13" i="22"/>
  <c r="Z6" i="22"/>
  <c r="Z56" i="22"/>
  <c r="Y49" i="22"/>
  <c r="Z23" i="22"/>
  <c r="Z3" i="22"/>
  <c r="Z59" i="22"/>
  <c r="Y60" i="22"/>
  <c r="Z54" i="22"/>
  <c r="Z32" i="22"/>
  <c r="Z42" i="22"/>
  <c r="Z52" i="22"/>
  <c r="U16" i="22"/>
  <c r="T16" i="22"/>
  <c r="S16" i="22"/>
  <c r="O16" i="22"/>
  <c r="R16" i="22"/>
  <c r="Q16" i="22"/>
  <c r="V16" i="22"/>
  <c r="W16" i="22"/>
  <c r="Z45" i="22"/>
  <c r="Y32" i="22"/>
  <c r="Z35" i="22"/>
  <c r="Y12" i="22"/>
  <c r="Y35" i="22"/>
  <c r="Z17" i="22"/>
  <c r="Y55" i="22"/>
  <c r="Z48" i="22"/>
  <c r="Z36" i="22"/>
  <c r="Y29" i="22"/>
  <c r="Y48" i="22"/>
  <c r="Z34" i="22"/>
  <c r="Z40" i="22"/>
  <c r="Y30" i="22"/>
  <c r="Z20" i="22"/>
  <c r="Z29" i="22"/>
  <c r="Z9" i="22"/>
  <c r="Z12" i="22"/>
  <c r="Z37" i="22"/>
  <c r="Z15" i="22"/>
  <c r="Z51" i="22"/>
  <c r="Z25" i="22"/>
  <c r="Z39" i="22"/>
  <c r="Y20" i="22"/>
  <c r="Y21" i="22"/>
  <c r="Z30" i="22"/>
  <c r="Z21" i="22"/>
  <c r="Z16" i="22" l="1"/>
  <c r="Y16" i="22"/>
  <c r="AP8" i="17" l="1"/>
  <c r="AO8" i="17"/>
  <c r="AN8" i="17"/>
  <c r="AM8" i="17"/>
  <c r="AL8" i="17"/>
  <c r="AK8" i="17"/>
  <c r="AJ8" i="17"/>
  <c r="AI8" i="17"/>
  <c r="AH8" i="17"/>
  <c r="AG8" i="17"/>
  <c r="AP7" i="17"/>
  <c r="AO7" i="17"/>
  <c r="AN7" i="17"/>
  <c r="AM7" i="17"/>
  <c r="AL7" i="17"/>
  <c r="AK7" i="17"/>
  <c r="AJ7" i="17"/>
  <c r="AI7" i="17"/>
  <c r="AH7" i="17"/>
  <c r="AG7" i="17"/>
  <c r="AP6" i="17"/>
  <c r="AO6" i="17"/>
  <c r="AN6" i="17"/>
  <c r="AM6" i="17"/>
  <c r="AL6" i="17"/>
  <c r="AK6" i="17"/>
  <c r="AJ6" i="17"/>
  <c r="AI6" i="17"/>
  <c r="AH6" i="17"/>
  <c r="AG6" i="17"/>
  <c r="AP5" i="17"/>
  <c r="AO5" i="17"/>
  <c r="AN5" i="17"/>
  <c r="AM5" i="17"/>
  <c r="AL5" i="17"/>
  <c r="AK5" i="17"/>
  <c r="AJ5" i="17"/>
  <c r="AI5" i="17"/>
  <c r="AH5" i="17"/>
  <c r="AG5" i="17"/>
  <c r="AP3" i="17"/>
  <c r="AO3" i="17"/>
  <c r="AN3" i="17"/>
  <c r="AM3" i="17"/>
  <c r="AL3" i="17"/>
  <c r="AK3" i="17"/>
  <c r="AJ3" i="17"/>
  <c r="AI3" i="17"/>
  <c r="AH3" i="17"/>
  <c r="AG3" i="17"/>
  <c r="AP2" i="17"/>
  <c r="AO2" i="17"/>
  <c r="AN2" i="17"/>
  <c r="AM2" i="17"/>
  <c r="AL2" i="17"/>
  <c r="AK2" i="17"/>
  <c r="AJ2" i="17"/>
  <c r="AI2" i="17"/>
  <c r="AH2" i="17"/>
  <c r="AQ7" i="16"/>
  <c r="AP7" i="16"/>
  <c r="AO7" i="16"/>
  <c r="AN7" i="16"/>
  <c r="AM7" i="16"/>
  <c r="AL7" i="16"/>
  <c r="AK7" i="16"/>
  <c r="AJ7" i="16"/>
  <c r="AI7" i="16"/>
  <c r="AH7" i="16"/>
  <c r="AQ6" i="16"/>
  <c r="AP6" i="16"/>
  <c r="AO6" i="16"/>
  <c r="AN6" i="16"/>
  <c r="AM6" i="16"/>
  <c r="AL6" i="16"/>
  <c r="AK6" i="16"/>
  <c r="AJ6" i="16"/>
  <c r="AI6" i="16"/>
  <c r="AH6" i="16"/>
  <c r="AQ5" i="16"/>
  <c r="AP5" i="16"/>
  <c r="AO5" i="16"/>
  <c r="AN5" i="16"/>
  <c r="AM5" i="16"/>
  <c r="AL5" i="16"/>
  <c r="AK5" i="16"/>
  <c r="AJ5" i="16"/>
  <c r="AI5" i="16"/>
  <c r="AH5" i="16"/>
  <c r="AQ4" i="16"/>
  <c r="AP4" i="16"/>
  <c r="AO4" i="16"/>
  <c r="AN4" i="16"/>
  <c r="AM4" i="16"/>
  <c r="AL4" i="16"/>
  <c r="AK4" i="16"/>
  <c r="AJ4" i="16"/>
  <c r="AI4" i="16"/>
  <c r="AH4" i="16"/>
  <c r="AQ7" i="15"/>
  <c r="AP7" i="15"/>
  <c r="AO7" i="15"/>
  <c r="AN7" i="15"/>
  <c r="AM7" i="15"/>
  <c r="AL7" i="15"/>
  <c r="AK7" i="15"/>
  <c r="AJ7" i="15"/>
  <c r="AI7" i="15"/>
  <c r="AH7" i="15"/>
  <c r="AQ6" i="15"/>
  <c r="AP6" i="15"/>
  <c r="AO6" i="15"/>
  <c r="AN6" i="15"/>
  <c r="AM6" i="15"/>
  <c r="AL6" i="15"/>
  <c r="AK6" i="15"/>
  <c r="AJ6" i="15"/>
  <c r="AI6" i="15"/>
  <c r="AH6" i="15"/>
  <c r="AQ8" i="14"/>
  <c r="AP8" i="14"/>
  <c r="AO8" i="14"/>
  <c r="AN8" i="14"/>
  <c r="AM8" i="14"/>
  <c r="AL8" i="14"/>
  <c r="AK8" i="14"/>
  <c r="AJ8" i="14"/>
  <c r="AI8" i="14"/>
  <c r="AH8" i="14"/>
  <c r="AQ7" i="14"/>
  <c r="AP7" i="14"/>
  <c r="AO7" i="14"/>
  <c r="AN7" i="14"/>
  <c r="AM7" i="14"/>
  <c r="AL7" i="14"/>
  <c r="AK7" i="14"/>
  <c r="AJ7" i="14"/>
  <c r="AI7" i="14"/>
  <c r="AH7" i="14"/>
  <c r="AQ6" i="14"/>
  <c r="AP6" i="14"/>
  <c r="AO6" i="14"/>
  <c r="AN6" i="14"/>
  <c r="AM6" i="14"/>
  <c r="AL6" i="14"/>
  <c r="AK6" i="14"/>
  <c r="AJ6" i="14"/>
  <c r="AI6" i="14"/>
  <c r="AH6" i="14"/>
  <c r="AQ4" i="14"/>
  <c r="AP4" i="14"/>
  <c r="AO4" i="14"/>
  <c r="AN4" i="14"/>
  <c r="AM4" i="14"/>
  <c r="AL4" i="14"/>
  <c r="AK4" i="14"/>
  <c r="AJ4" i="14"/>
  <c r="AI4" i="14"/>
  <c r="AH4" i="14"/>
  <c r="AQ3" i="14"/>
  <c r="AP3" i="14"/>
  <c r="AO3" i="14"/>
  <c r="AN3" i="14"/>
  <c r="AM3" i="14"/>
  <c r="AL3" i="14"/>
  <c r="AK3" i="14"/>
  <c r="AJ3" i="14"/>
  <c r="AI3" i="14"/>
  <c r="AH3" i="14"/>
  <c r="AQ8" i="13"/>
  <c r="AP8" i="13"/>
  <c r="AO8" i="13"/>
  <c r="AN8" i="13"/>
  <c r="AM8" i="13"/>
  <c r="AL8" i="13"/>
  <c r="AK8" i="13"/>
  <c r="AJ8" i="13"/>
  <c r="AI8" i="13"/>
  <c r="AH8" i="13"/>
  <c r="AQ7" i="13"/>
  <c r="AP7" i="13"/>
  <c r="AO7" i="13"/>
  <c r="AN7" i="13"/>
  <c r="AM7" i="13"/>
  <c r="AL7" i="13"/>
  <c r="AK7" i="13"/>
  <c r="AJ7" i="13"/>
  <c r="AI7" i="13"/>
  <c r="AH7" i="13"/>
  <c r="AQ6" i="13"/>
  <c r="AP6" i="13"/>
  <c r="AO6" i="13"/>
  <c r="AN6" i="13"/>
  <c r="AM6" i="13"/>
  <c r="AL6" i="13"/>
  <c r="AK6" i="13"/>
  <c r="AJ6" i="13"/>
  <c r="AI6" i="13"/>
  <c r="AH6" i="13"/>
  <c r="AQ4" i="13"/>
  <c r="AP4" i="13"/>
  <c r="AO4" i="13"/>
  <c r="AN4" i="13"/>
  <c r="AM4" i="13"/>
  <c r="AL4" i="13"/>
  <c r="AK4" i="13"/>
  <c r="AJ4" i="13"/>
  <c r="AI4" i="13"/>
  <c r="AH4" i="13"/>
  <c r="AQ3" i="13"/>
  <c r="AP3" i="13"/>
  <c r="AO3" i="13"/>
  <c r="AN3" i="13"/>
  <c r="AM3" i="13"/>
  <c r="AL3" i="13"/>
  <c r="AK3" i="13"/>
  <c r="AJ3" i="13"/>
  <c r="AI3" i="13"/>
  <c r="AH3" i="13"/>
  <c r="AQ2" i="13"/>
  <c r="AP2" i="13"/>
  <c r="AO2" i="13"/>
  <c r="AN2" i="13"/>
  <c r="AM2" i="13"/>
  <c r="AL2" i="13"/>
  <c r="AK2" i="13"/>
  <c r="AJ2" i="13"/>
  <c r="AI2" i="13"/>
  <c r="AH2" i="13"/>
  <c r="AQ5" i="10"/>
  <c r="AP5" i="10"/>
  <c r="AO5" i="10"/>
  <c r="AN5" i="10"/>
  <c r="AM5" i="10"/>
  <c r="AL5" i="10"/>
  <c r="AK5" i="10"/>
  <c r="AJ5" i="10"/>
  <c r="AI5" i="10"/>
  <c r="AH5" i="10"/>
  <c r="AQ4" i="10"/>
  <c r="AP4" i="10"/>
  <c r="AO4" i="10"/>
  <c r="AN4" i="10"/>
  <c r="AM4" i="10"/>
  <c r="AL4" i="10"/>
  <c r="AK4" i="10"/>
  <c r="AJ4" i="10"/>
  <c r="AI4" i="10"/>
  <c r="AH4" i="10"/>
  <c r="AQ5" i="9"/>
  <c r="AP5" i="9"/>
  <c r="AO5" i="9"/>
  <c r="AN5" i="9"/>
  <c r="AM5" i="9"/>
  <c r="AL5" i="9"/>
  <c r="AK5" i="9"/>
  <c r="AJ5" i="9"/>
  <c r="AI5" i="9"/>
  <c r="AH5" i="9"/>
  <c r="AQ7" i="8"/>
  <c r="AP7" i="8"/>
  <c r="AO7" i="8"/>
  <c r="AN7" i="8"/>
  <c r="AM7" i="8"/>
  <c r="AL7" i="8"/>
  <c r="AK7" i="8"/>
  <c r="AJ7" i="8"/>
  <c r="AI7" i="8"/>
  <c r="AH7" i="8"/>
  <c r="AQ5" i="8"/>
  <c r="AP5" i="8"/>
  <c r="AO5" i="8"/>
  <c r="AN5" i="8"/>
  <c r="AM5" i="8"/>
  <c r="AL5" i="8"/>
  <c r="AK5" i="8"/>
  <c r="AJ5" i="8"/>
  <c r="AI5" i="8"/>
  <c r="AH5" i="8"/>
  <c r="AQ4" i="8"/>
  <c r="AP4" i="8"/>
  <c r="AO4" i="8"/>
  <c r="AN4" i="8"/>
  <c r="AM4" i="8"/>
  <c r="AL4" i="8"/>
  <c r="AK4" i="8"/>
  <c r="AJ4" i="8"/>
  <c r="AI4" i="8"/>
  <c r="AH4" i="8"/>
  <c r="AI4" i="2"/>
  <c r="AJ4" i="2"/>
  <c r="AK4" i="2"/>
  <c r="AL4" i="2"/>
  <c r="AM4" i="2"/>
  <c r="AN4" i="2"/>
  <c r="AO4" i="2"/>
  <c r="AP4" i="2"/>
  <c r="AQ4" i="2"/>
  <c r="AH4" i="2"/>
  <c r="D22" i="3" l="1"/>
  <c r="D21" i="3"/>
  <c r="D20" i="3"/>
  <c r="D19" i="3"/>
  <c r="D17" i="3"/>
  <c r="D16" i="3"/>
  <c r="H8" i="3" l="1"/>
  <c r="I8" i="3" l="1"/>
  <c r="D54" i="3" l="1"/>
  <c r="D68" i="3" l="1"/>
  <c r="D67" i="3"/>
  <c r="E35" i="3" l="1"/>
  <c r="D29" i="3"/>
  <c r="D28" i="3"/>
  <c r="D35" i="3"/>
  <c r="D85" i="3"/>
  <c r="D84" i="3"/>
  <c r="D83" i="3"/>
  <c r="D82" i="3"/>
  <c r="D80" i="3"/>
  <c r="D79" i="3"/>
  <c r="D27" i="3"/>
  <c r="D25" i="3"/>
  <c r="D24" i="3"/>
  <c r="E28" i="3" l="1"/>
  <c r="F28" i="3" s="1"/>
  <c r="E29" i="3"/>
  <c r="F29" i="3" s="1"/>
  <c r="F92" i="3"/>
  <c r="F91" i="3"/>
  <c r="F85" i="3"/>
  <c r="F84" i="3"/>
  <c r="F78" i="3"/>
  <c r="F77" i="3"/>
  <c r="F71" i="3"/>
  <c r="F70" i="3"/>
  <c r="F64" i="3"/>
  <c r="F63" i="3"/>
  <c r="F57" i="3"/>
  <c r="F56" i="3"/>
  <c r="F50" i="3"/>
  <c r="F49" i="3"/>
  <c r="F43" i="3"/>
  <c r="F42" i="3"/>
  <c r="F36" i="3"/>
  <c r="F35" i="3"/>
  <c r="E15" i="3"/>
  <c r="E22" i="3" s="1"/>
  <c r="F22" i="3" s="1"/>
  <c r="E14" i="3"/>
  <c r="E21" i="3" s="1"/>
  <c r="F21" i="3" s="1"/>
  <c r="E13" i="3"/>
  <c r="H26" i="3"/>
  <c r="H28" i="3"/>
  <c r="H29" i="3"/>
  <c r="H33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2" i="15" s="1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81" i="3"/>
  <c r="H84" i="3"/>
  <c r="H85" i="3"/>
  <c r="H86" i="3"/>
  <c r="H87" i="3"/>
  <c r="H88" i="3"/>
  <c r="H89" i="3"/>
  <c r="H90" i="3"/>
  <c r="H91" i="3"/>
  <c r="H92" i="3"/>
  <c r="H18" i="3"/>
  <c r="H21" i="3"/>
  <c r="H22" i="3"/>
  <c r="D15" i="3"/>
  <c r="D14" i="3"/>
  <c r="H14" i="3" s="1"/>
  <c r="G2" i="15" l="1"/>
  <c r="F2" i="15" s="1"/>
  <c r="E2" i="15" s="1"/>
  <c r="D2" i="15" s="1"/>
  <c r="C2" i="15" s="1"/>
  <c r="I2" i="15"/>
  <c r="J2" i="15"/>
  <c r="K2" i="15" s="1"/>
  <c r="L2" i="15" s="1"/>
  <c r="M2" i="15" s="1"/>
  <c r="N2" i="15" s="1"/>
  <c r="O2" i="15" s="1"/>
  <c r="P2" i="15" s="1"/>
  <c r="Q2" i="15" s="1"/>
  <c r="AU29" i="3"/>
  <c r="AV29" i="3"/>
  <c r="AM29" i="3"/>
  <c r="AN29" i="3"/>
  <c r="AO29" i="3"/>
  <c r="AP29" i="3"/>
  <c r="AQ29" i="3"/>
  <c r="AS29" i="3"/>
  <c r="AT29" i="3"/>
  <c r="AR29" i="3"/>
  <c r="AO28" i="3"/>
  <c r="AP28" i="3"/>
  <c r="AQ28" i="3"/>
  <c r="AR28" i="3"/>
  <c r="AS28" i="3"/>
  <c r="AT28" i="3"/>
  <c r="AU28" i="3"/>
  <c r="AV28" i="3"/>
  <c r="AM28" i="3"/>
  <c r="AN28" i="3"/>
  <c r="F15" i="3"/>
  <c r="H15" i="3"/>
  <c r="F14" i="3"/>
  <c r="H17" i="3" l="1"/>
  <c r="D10" i="3"/>
  <c r="E10" i="3"/>
  <c r="E17" i="3" s="1"/>
  <c r="I35" i="3" l="1"/>
  <c r="E34" i="3"/>
  <c r="D34" i="3"/>
  <c r="H34" i="3" s="1"/>
  <c r="H32" i="3"/>
  <c r="H31" i="3"/>
  <c r="H30" i="3"/>
  <c r="D12" i="3"/>
  <c r="I36" i="3" l="1"/>
  <c r="G8" i="10" s="1"/>
  <c r="I43" i="3"/>
  <c r="M8" i="11" s="1"/>
  <c r="I49" i="3"/>
  <c r="I57" i="3"/>
  <c r="I63" i="3"/>
  <c r="I42" i="3"/>
  <c r="I50" i="3"/>
  <c r="M8" i="12" s="1"/>
  <c r="I56" i="3"/>
  <c r="I64" i="3"/>
  <c r="I70" i="3"/>
  <c r="I78" i="3"/>
  <c r="I84" i="3"/>
  <c r="I71" i="3"/>
  <c r="I77" i="3"/>
  <c r="I91" i="3"/>
  <c r="I92" i="3"/>
  <c r="I29" i="3"/>
  <c r="I14" i="3"/>
  <c r="I85" i="3"/>
  <c r="I28" i="3"/>
  <c r="I21" i="3"/>
  <c r="I17" i="3"/>
  <c r="I15" i="3"/>
  <c r="I22" i="3"/>
  <c r="J8" i="3"/>
  <c r="D13" i="3"/>
  <c r="F13" i="3" s="1"/>
  <c r="E12" i="3"/>
  <c r="J35" i="3" l="1"/>
  <c r="J36" i="3"/>
  <c r="H8" i="10" s="1"/>
  <c r="J22" i="3"/>
  <c r="J15" i="3"/>
  <c r="J56" i="3"/>
  <c r="J43" i="3"/>
  <c r="N8" i="11" s="1"/>
  <c r="J49" i="3"/>
  <c r="J57" i="3"/>
  <c r="J63" i="3"/>
  <c r="J42" i="3"/>
  <c r="J50" i="3"/>
  <c r="N8" i="12" s="1"/>
  <c r="J64" i="3"/>
  <c r="J70" i="3"/>
  <c r="J78" i="3"/>
  <c r="J84" i="3"/>
  <c r="J71" i="3"/>
  <c r="J77" i="3"/>
  <c r="J92" i="3"/>
  <c r="J91" i="3"/>
  <c r="J14" i="3"/>
  <c r="J28" i="3"/>
  <c r="J21" i="3"/>
  <c r="J85" i="3"/>
  <c r="J29" i="3"/>
  <c r="J17" i="3"/>
  <c r="K8" i="3"/>
  <c r="H11" i="3"/>
  <c r="H80" i="3"/>
  <c r="K35" i="3" l="1"/>
  <c r="K36" i="3"/>
  <c r="I8" i="10" s="1"/>
  <c r="K42" i="3"/>
  <c r="K50" i="3"/>
  <c r="O8" i="12" s="1"/>
  <c r="K56" i="3"/>
  <c r="K43" i="3"/>
  <c r="O8" i="11" s="1"/>
  <c r="K49" i="3"/>
  <c r="K57" i="3"/>
  <c r="K63" i="3"/>
  <c r="K71" i="3"/>
  <c r="K77" i="3"/>
  <c r="K64" i="3"/>
  <c r="K70" i="3"/>
  <c r="K78" i="3"/>
  <c r="K84" i="3"/>
  <c r="K85" i="3"/>
  <c r="K92" i="3"/>
  <c r="K91" i="3"/>
  <c r="K21" i="3"/>
  <c r="K29" i="3"/>
  <c r="K28" i="3"/>
  <c r="K14" i="3"/>
  <c r="K17" i="3"/>
  <c r="K22" i="3"/>
  <c r="K15" i="3"/>
  <c r="L8" i="3"/>
  <c r="H19" i="3"/>
  <c r="L35" i="3" l="1"/>
  <c r="L36" i="3"/>
  <c r="J8" i="10" s="1"/>
  <c r="L57" i="3"/>
  <c r="L63" i="3"/>
  <c r="L42" i="3"/>
  <c r="L50" i="3"/>
  <c r="P8" i="12" s="1"/>
  <c r="L56" i="3"/>
  <c r="L43" i="3"/>
  <c r="P8" i="11" s="1"/>
  <c r="L49" i="3"/>
  <c r="L84" i="3"/>
  <c r="L71" i="3"/>
  <c r="L77" i="3"/>
  <c r="L64" i="3"/>
  <c r="L70" i="3"/>
  <c r="L78" i="3"/>
  <c r="L91" i="3"/>
  <c r="L92" i="3"/>
  <c r="L85" i="3"/>
  <c r="L21" i="3"/>
  <c r="L28" i="3"/>
  <c r="L29" i="3"/>
  <c r="L14" i="3"/>
  <c r="L17" i="3"/>
  <c r="L22" i="3"/>
  <c r="L15" i="3"/>
  <c r="M8" i="3"/>
  <c r="H12" i="3"/>
  <c r="H10" i="3"/>
  <c r="H24" i="3"/>
  <c r="M22" i="3" l="1"/>
  <c r="M35" i="3"/>
  <c r="M36" i="3"/>
  <c r="K8" i="10" s="1"/>
  <c r="M43" i="3"/>
  <c r="Q8" i="11" s="1"/>
  <c r="M49" i="3"/>
  <c r="M57" i="3"/>
  <c r="M63" i="3"/>
  <c r="M42" i="3"/>
  <c r="M50" i="3"/>
  <c r="Q8" i="12" s="1"/>
  <c r="M56" i="3"/>
  <c r="M64" i="3"/>
  <c r="M70" i="3"/>
  <c r="M78" i="3"/>
  <c r="M84" i="3"/>
  <c r="M71" i="3"/>
  <c r="M77" i="3"/>
  <c r="M91" i="3"/>
  <c r="M92" i="3"/>
  <c r="M21" i="3"/>
  <c r="M28" i="3"/>
  <c r="M29" i="3"/>
  <c r="M85" i="3"/>
  <c r="M14" i="3"/>
  <c r="M17" i="3"/>
  <c r="M15" i="3"/>
  <c r="N8" i="3"/>
  <c r="H13" i="3"/>
  <c r="H20" i="3"/>
  <c r="H16" i="3"/>
  <c r="F52" i="3"/>
  <c r="F53" i="3"/>
  <c r="F54" i="3"/>
  <c r="F55" i="3"/>
  <c r="F58" i="3"/>
  <c r="F59" i="3"/>
  <c r="F60" i="3"/>
  <c r="F61" i="3"/>
  <c r="F62" i="3"/>
  <c r="F65" i="3"/>
  <c r="F66" i="3"/>
  <c r="F67" i="3"/>
  <c r="F68" i="3"/>
  <c r="F69" i="3"/>
  <c r="F72" i="3"/>
  <c r="F73" i="3"/>
  <c r="F74" i="3"/>
  <c r="F75" i="3"/>
  <c r="F76" i="3"/>
  <c r="F81" i="3"/>
  <c r="F86" i="3"/>
  <c r="F87" i="3"/>
  <c r="F88" i="3"/>
  <c r="F89" i="3"/>
  <c r="F90" i="3"/>
  <c r="F37" i="3"/>
  <c r="F38" i="3"/>
  <c r="F39" i="3"/>
  <c r="F40" i="3"/>
  <c r="F41" i="3"/>
  <c r="F44" i="3"/>
  <c r="F45" i="3"/>
  <c r="F46" i="3"/>
  <c r="F47" i="3"/>
  <c r="F48" i="3"/>
  <c r="F51" i="3"/>
  <c r="F18" i="3"/>
  <c r="F19" i="3"/>
  <c r="F26" i="3"/>
  <c r="F33" i="3"/>
  <c r="F11" i="3"/>
  <c r="N35" i="3" l="1"/>
  <c r="N36" i="3"/>
  <c r="L8" i="10" s="1"/>
  <c r="J90" i="3"/>
  <c r="N90" i="3"/>
  <c r="K90" i="3"/>
  <c r="L90" i="3"/>
  <c r="I90" i="3"/>
  <c r="M90" i="3"/>
  <c r="L89" i="3"/>
  <c r="I89" i="3"/>
  <c r="M89" i="3"/>
  <c r="J89" i="3"/>
  <c r="N89" i="3"/>
  <c r="K89" i="3"/>
  <c r="K52" i="3"/>
  <c r="L52" i="3"/>
  <c r="I52" i="3"/>
  <c r="M52" i="3"/>
  <c r="J52" i="3"/>
  <c r="N52" i="3"/>
  <c r="J88" i="3"/>
  <c r="N88" i="3"/>
  <c r="K88" i="3"/>
  <c r="L88" i="3"/>
  <c r="I88" i="3"/>
  <c r="M88" i="3"/>
  <c r="L87" i="3"/>
  <c r="I87" i="3"/>
  <c r="N87" i="3"/>
  <c r="J87" i="3"/>
  <c r="K87" i="3"/>
  <c r="M87" i="3"/>
  <c r="J86" i="3"/>
  <c r="N86" i="3"/>
  <c r="L86" i="3"/>
  <c r="M86" i="3"/>
  <c r="I86" i="3"/>
  <c r="K86" i="3"/>
  <c r="N56" i="3"/>
  <c r="N43" i="3"/>
  <c r="R8" i="11" s="1"/>
  <c r="N49" i="3"/>
  <c r="N57" i="3"/>
  <c r="N63" i="3"/>
  <c r="N42" i="3"/>
  <c r="N50" i="3"/>
  <c r="R8" i="12" s="1"/>
  <c r="N64" i="3"/>
  <c r="N70" i="3"/>
  <c r="N78" i="3"/>
  <c r="N84" i="3"/>
  <c r="N71" i="3"/>
  <c r="N77" i="3"/>
  <c r="N92" i="3"/>
  <c r="N91" i="3"/>
  <c r="N85" i="3"/>
  <c r="N14" i="3"/>
  <c r="N21" i="3"/>
  <c r="N29" i="3"/>
  <c r="N28" i="3"/>
  <c r="N17" i="3"/>
  <c r="N15" i="3"/>
  <c r="N22" i="3"/>
  <c r="I41" i="3"/>
  <c r="M41" i="3"/>
  <c r="J41" i="3"/>
  <c r="N41" i="3"/>
  <c r="K41" i="3"/>
  <c r="L41" i="3"/>
  <c r="J51" i="3"/>
  <c r="N51" i="3"/>
  <c r="K51" i="3"/>
  <c r="I51" i="3"/>
  <c r="L51" i="3"/>
  <c r="M51" i="3"/>
  <c r="J75" i="3"/>
  <c r="N75" i="3"/>
  <c r="K75" i="3"/>
  <c r="L75" i="3"/>
  <c r="I75" i="3"/>
  <c r="M75" i="3"/>
  <c r="I61" i="3"/>
  <c r="M61" i="3"/>
  <c r="J61" i="3"/>
  <c r="N61" i="3"/>
  <c r="K61" i="3"/>
  <c r="L61" i="3"/>
  <c r="I11" i="3"/>
  <c r="J11" i="3"/>
  <c r="K11" i="3"/>
  <c r="L11" i="3"/>
  <c r="K45" i="3"/>
  <c r="I45" i="3"/>
  <c r="M45" i="3"/>
  <c r="L45" i="3"/>
  <c r="N45" i="3"/>
  <c r="J45" i="3"/>
  <c r="K40" i="3"/>
  <c r="L40" i="3"/>
  <c r="I40" i="3"/>
  <c r="M40" i="3"/>
  <c r="J40" i="3"/>
  <c r="N40" i="3"/>
  <c r="L81" i="3"/>
  <c r="I81" i="3"/>
  <c r="M81" i="3"/>
  <c r="K81" i="3"/>
  <c r="J81" i="3"/>
  <c r="N81" i="3"/>
  <c r="K74" i="3"/>
  <c r="L74" i="3"/>
  <c r="M74" i="3"/>
  <c r="N74" i="3"/>
  <c r="I74" i="3"/>
  <c r="J74" i="3"/>
  <c r="K69" i="3"/>
  <c r="L69" i="3"/>
  <c r="I69" i="3"/>
  <c r="J69" i="3"/>
  <c r="M69" i="3"/>
  <c r="N69" i="3"/>
  <c r="K65" i="3"/>
  <c r="L65" i="3"/>
  <c r="I65" i="3"/>
  <c r="M65" i="3"/>
  <c r="J65" i="3"/>
  <c r="N65" i="3"/>
  <c r="K60" i="3"/>
  <c r="L60" i="3"/>
  <c r="I60" i="3"/>
  <c r="M60" i="3"/>
  <c r="J60" i="3"/>
  <c r="N60" i="3"/>
  <c r="J55" i="3"/>
  <c r="N55" i="3"/>
  <c r="K55" i="3"/>
  <c r="I55" i="3"/>
  <c r="L55" i="3"/>
  <c r="M55" i="3"/>
  <c r="I46" i="3"/>
  <c r="M46" i="3"/>
  <c r="K46" i="3"/>
  <c r="J46" i="3"/>
  <c r="L46" i="3"/>
  <c r="N46" i="3"/>
  <c r="I37" i="3"/>
  <c r="M37" i="3"/>
  <c r="J37" i="3"/>
  <c r="N37" i="3"/>
  <c r="K37" i="3"/>
  <c r="L37" i="3"/>
  <c r="I66" i="3"/>
  <c r="M66" i="3"/>
  <c r="J66" i="3"/>
  <c r="N66" i="3"/>
  <c r="K66" i="3"/>
  <c r="L66" i="3"/>
  <c r="I33" i="3"/>
  <c r="M33" i="3"/>
  <c r="J33" i="3"/>
  <c r="N33" i="3"/>
  <c r="K33" i="3"/>
  <c r="L33" i="3"/>
  <c r="J48" i="3"/>
  <c r="N48" i="3"/>
  <c r="K48" i="3"/>
  <c r="L48" i="3"/>
  <c r="M48" i="3"/>
  <c r="I48" i="3"/>
  <c r="I44" i="3"/>
  <c r="M44" i="3"/>
  <c r="K44" i="3"/>
  <c r="N44" i="3"/>
  <c r="J44" i="3"/>
  <c r="L44" i="3"/>
  <c r="I39" i="3"/>
  <c r="M39" i="3"/>
  <c r="J39" i="3"/>
  <c r="N39" i="3"/>
  <c r="K39" i="3"/>
  <c r="L39" i="3"/>
  <c r="I73" i="3"/>
  <c r="M73" i="3"/>
  <c r="J73" i="3"/>
  <c r="N73" i="3"/>
  <c r="K73" i="3"/>
  <c r="L73" i="3"/>
  <c r="I68" i="3"/>
  <c r="M68" i="3"/>
  <c r="J68" i="3"/>
  <c r="N68" i="3"/>
  <c r="K68" i="3"/>
  <c r="L68" i="3"/>
  <c r="I59" i="3"/>
  <c r="M59" i="3"/>
  <c r="J59" i="3"/>
  <c r="N59" i="3"/>
  <c r="K59" i="3"/>
  <c r="L59" i="3"/>
  <c r="L54" i="3"/>
  <c r="I54" i="3"/>
  <c r="M54" i="3"/>
  <c r="K54" i="3"/>
  <c r="N54" i="3"/>
  <c r="J54" i="3"/>
  <c r="M11" i="3"/>
  <c r="I26" i="3"/>
  <c r="M26" i="3"/>
  <c r="J26" i="3"/>
  <c r="N26" i="3"/>
  <c r="K26" i="3"/>
  <c r="L26" i="3"/>
  <c r="L18" i="3"/>
  <c r="M18" i="3"/>
  <c r="I18" i="3"/>
  <c r="K18" i="3"/>
  <c r="J18" i="3"/>
  <c r="N18" i="3"/>
  <c r="K47" i="3"/>
  <c r="I47" i="3"/>
  <c r="M47" i="3"/>
  <c r="J47" i="3"/>
  <c r="L47" i="3"/>
  <c r="N47" i="3"/>
  <c r="K38" i="3"/>
  <c r="L38" i="3"/>
  <c r="J38" i="3"/>
  <c r="M38" i="3"/>
  <c r="N38" i="3"/>
  <c r="I38" i="3"/>
  <c r="L76" i="3"/>
  <c r="I76" i="3"/>
  <c r="M76" i="3"/>
  <c r="J76" i="3"/>
  <c r="N76" i="3"/>
  <c r="K76" i="3"/>
  <c r="K72" i="3"/>
  <c r="L72" i="3"/>
  <c r="J72" i="3"/>
  <c r="M72" i="3"/>
  <c r="N72" i="3"/>
  <c r="I72" i="3"/>
  <c r="K67" i="3"/>
  <c r="L67" i="3"/>
  <c r="I67" i="3"/>
  <c r="M67" i="3"/>
  <c r="J67" i="3"/>
  <c r="N67" i="3"/>
  <c r="K62" i="3"/>
  <c r="L62" i="3"/>
  <c r="I62" i="3"/>
  <c r="M62" i="3"/>
  <c r="J62" i="3"/>
  <c r="N62" i="3"/>
  <c r="J58" i="3"/>
  <c r="K58" i="3"/>
  <c r="L58" i="3"/>
  <c r="M58" i="3"/>
  <c r="I58" i="3"/>
  <c r="N58" i="3"/>
  <c r="J53" i="3"/>
  <c r="N53" i="3"/>
  <c r="K53" i="3"/>
  <c r="I53" i="3"/>
  <c r="L53" i="3"/>
  <c r="M53" i="3"/>
  <c r="I19" i="3"/>
  <c r="M19" i="3"/>
  <c r="J19" i="3"/>
  <c r="N19" i="3"/>
  <c r="K19" i="3"/>
  <c r="L19" i="3"/>
  <c r="O8" i="3"/>
  <c r="N11" i="3"/>
  <c r="O35" i="3" l="1"/>
  <c r="O36" i="3"/>
  <c r="M8" i="10" s="1"/>
  <c r="O42" i="3"/>
  <c r="O50" i="3"/>
  <c r="S8" i="12" s="1"/>
  <c r="O56" i="3"/>
  <c r="O43" i="3"/>
  <c r="S8" i="11" s="1"/>
  <c r="O49" i="3"/>
  <c r="O57" i="3"/>
  <c r="O63" i="3"/>
  <c r="O71" i="3"/>
  <c r="O77" i="3"/>
  <c r="O64" i="3"/>
  <c r="O70" i="3"/>
  <c r="O78" i="3"/>
  <c r="O84" i="3"/>
  <c r="O85" i="3"/>
  <c r="O92" i="3"/>
  <c r="O91" i="3"/>
  <c r="O28" i="3"/>
  <c r="O29" i="3"/>
  <c r="O21" i="3"/>
  <c r="O14" i="3"/>
  <c r="O17" i="3"/>
  <c r="O15" i="3"/>
  <c r="O52" i="3"/>
  <c r="O87" i="3"/>
  <c r="O86" i="3"/>
  <c r="O90" i="3"/>
  <c r="O88" i="3"/>
  <c r="O41" i="3"/>
  <c r="O51" i="3"/>
  <c r="O89" i="3"/>
  <c r="O22" i="3"/>
  <c r="O45" i="3"/>
  <c r="O74" i="3"/>
  <c r="O61" i="3"/>
  <c r="O40" i="3"/>
  <c r="O69" i="3"/>
  <c r="O81" i="3"/>
  <c r="O65" i="3"/>
  <c r="O75" i="3"/>
  <c r="O60" i="3"/>
  <c r="O46" i="3"/>
  <c r="O37" i="3"/>
  <c r="O68" i="3"/>
  <c r="O72" i="3"/>
  <c r="O58" i="3"/>
  <c r="O53" i="3"/>
  <c r="O44" i="3"/>
  <c r="O26" i="3"/>
  <c r="O67" i="3"/>
  <c r="O55" i="3"/>
  <c r="O66" i="3"/>
  <c r="O73" i="3"/>
  <c r="O59" i="3"/>
  <c r="O54" i="3"/>
  <c r="O38" i="3"/>
  <c r="O76" i="3"/>
  <c r="O62" i="3"/>
  <c r="O33" i="3"/>
  <c r="O48" i="3"/>
  <c r="O39" i="3"/>
  <c r="O18" i="3"/>
  <c r="O47" i="3"/>
  <c r="O19" i="3"/>
  <c r="P8" i="3"/>
  <c r="O11" i="3"/>
  <c r="E20" i="3"/>
  <c r="E16" i="3"/>
  <c r="E27" i="3"/>
  <c r="E25" i="3"/>
  <c r="E24" i="3"/>
  <c r="H83" i="3"/>
  <c r="H82" i="3"/>
  <c r="H79" i="3"/>
  <c r="H27" i="3"/>
  <c r="H25" i="3"/>
  <c r="P35" i="3" l="1"/>
  <c r="P36" i="3"/>
  <c r="N8" i="10" s="1"/>
  <c r="P57" i="3"/>
  <c r="P63" i="3"/>
  <c r="P42" i="3"/>
  <c r="P50" i="3"/>
  <c r="T8" i="12" s="1"/>
  <c r="P56" i="3"/>
  <c r="P43" i="3"/>
  <c r="T8" i="11" s="1"/>
  <c r="P49" i="3"/>
  <c r="P84" i="3"/>
  <c r="P71" i="3"/>
  <c r="P77" i="3"/>
  <c r="P64" i="3"/>
  <c r="P70" i="3"/>
  <c r="P78" i="3"/>
  <c r="P91" i="3"/>
  <c r="P92" i="3"/>
  <c r="P21" i="3"/>
  <c r="P28" i="3"/>
  <c r="P14" i="3"/>
  <c r="P29" i="3"/>
  <c r="P85" i="3"/>
  <c r="P17" i="3"/>
  <c r="P15" i="3"/>
  <c r="P52" i="3"/>
  <c r="P90" i="3"/>
  <c r="P88" i="3"/>
  <c r="P22" i="3"/>
  <c r="P89" i="3"/>
  <c r="P87" i="3"/>
  <c r="P86" i="3"/>
  <c r="P41" i="3"/>
  <c r="P51" i="3"/>
  <c r="P45" i="3"/>
  <c r="P61" i="3"/>
  <c r="P40" i="3"/>
  <c r="P69" i="3"/>
  <c r="P65" i="3"/>
  <c r="P75" i="3"/>
  <c r="P81" i="3"/>
  <c r="P74" i="3"/>
  <c r="P60" i="3"/>
  <c r="P37" i="3"/>
  <c r="P33" i="3"/>
  <c r="P44" i="3"/>
  <c r="P26" i="3"/>
  <c r="P72" i="3"/>
  <c r="P58" i="3"/>
  <c r="P66" i="3"/>
  <c r="P39" i="3"/>
  <c r="P67" i="3"/>
  <c r="P55" i="3"/>
  <c r="P46" i="3"/>
  <c r="P73" i="3"/>
  <c r="P59" i="3"/>
  <c r="P54" i="3"/>
  <c r="P47" i="3"/>
  <c r="P38" i="3"/>
  <c r="P62" i="3"/>
  <c r="P48" i="3"/>
  <c r="P68" i="3"/>
  <c r="P18" i="3"/>
  <c r="P76" i="3"/>
  <c r="P53" i="3"/>
  <c r="P19" i="3"/>
  <c r="H23" i="3"/>
  <c r="Q8" i="3"/>
  <c r="P11" i="3"/>
  <c r="F24" i="3"/>
  <c r="F25" i="3"/>
  <c r="F27" i="3"/>
  <c r="F30" i="3"/>
  <c r="F31" i="3"/>
  <c r="F80" i="3"/>
  <c r="F23" i="3"/>
  <c r="F32" i="3"/>
  <c r="F82" i="3"/>
  <c r="F79" i="3"/>
  <c r="F34" i="3"/>
  <c r="F83" i="3"/>
  <c r="Q35" i="3" l="1"/>
  <c r="Q36" i="3"/>
  <c r="O8" i="10" s="1"/>
  <c r="J34" i="3"/>
  <c r="N34" i="3"/>
  <c r="K34" i="3"/>
  <c r="O34" i="3"/>
  <c r="L34" i="3"/>
  <c r="P34" i="3"/>
  <c r="I34" i="3"/>
  <c r="M34" i="3"/>
  <c r="Q34" i="3"/>
  <c r="Q43" i="3"/>
  <c r="U8" i="11" s="1"/>
  <c r="Q49" i="3"/>
  <c r="Q57" i="3"/>
  <c r="Q63" i="3"/>
  <c r="Q42" i="3"/>
  <c r="Q50" i="3"/>
  <c r="U8" i="12" s="1"/>
  <c r="Q56" i="3"/>
  <c r="Q64" i="3"/>
  <c r="Q70" i="3"/>
  <c r="Q78" i="3"/>
  <c r="Q84" i="3"/>
  <c r="Q71" i="3"/>
  <c r="Q77" i="3"/>
  <c r="Q91" i="3"/>
  <c r="Q92" i="3"/>
  <c r="Q21" i="3"/>
  <c r="Q29" i="3"/>
  <c r="Q85" i="3"/>
  <c r="Q28" i="3"/>
  <c r="Q14" i="3"/>
  <c r="Q17" i="3"/>
  <c r="Q15" i="3"/>
  <c r="Q22" i="3"/>
  <c r="Q86" i="3"/>
  <c r="Q52" i="3"/>
  <c r="Q51" i="3"/>
  <c r="Q90" i="3"/>
  <c r="Q88" i="3"/>
  <c r="Q89" i="3"/>
  <c r="Q87" i="3"/>
  <c r="Q41" i="3"/>
  <c r="Q60" i="3"/>
  <c r="Q75" i="3"/>
  <c r="Q61" i="3"/>
  <c r="Q45" i="3"/>
  <c r="Q69" i="3"/>
  <c r="Q40" i="3"/>
  <c r="Q81" i="3"/>
  <c r="Q74" i="3"/>
  <c r="Q65" i="3"/>
  <c r="Q46" i="3"/>
  <c r="Q68" i="3"/>
  <c r="Q72" i="3"/>
  <c r="Q58" i="3"/>
  <c r="Q53" i="3"/>
  <c r="Q37" i="3"/>
  <c r="Q44" i="3"/>
  <c r="Q26" i="3"/>
  <c r="Q38" i="3"/>
  <c r="Q76" i="3"/>
  <c r="Q55" i="3"/>
  <c r="Q66" i="3"/>
  <c r="Q39" i="3"/>
  <c r="Q59" i="3"/>
  <c r="Q47" i="3"/>
  <c r="Q67" i="3"/>
  <c r="Q33" i="3"/>
  <c r="Q48" i="3"/>
  <c r="Q73" i="3"/>
  <c r="Q54" i="3"/>
  <c r="Q18" i="3"/>
  <c r="Q62" i="3"/>
  <c r="Q19" i="3"/>
  <c r="I31" i="3"/>
  <c r="G3" i="10" s="1"/>
  <c r="M31" i="3"/>
  <c r="K3" i="10" s="1"/>
  <c r="Q31" i="3"/>
  <c r="O3" i="10" s="1"/>
  <c r="J31" i="3"/>
  <c r="H3" i="10" s="1"/>
  <c r="N31" i="3"/>
  <c r="L3" i="10" s="1"/>
  <c r="K31" i="3"/>
  <c r="I3" i="10" s="1"/>
  <c r="O31" i="3"/>
  <c r="M3" i="10" s="1"/>
  <c r="L31" i="3"/>
  <c r="J3" i="10" s="1"/>
  <c r="P31" i="3"/>
  <c r="N3" i="10" s="1"/>
  <c r="K32" i="3"/>
  <c r="O32" i="3"/>
  <c r="L32" i="3"/>
  <c r="P32" i="3"/>
  <c r="I32" i="3"/>
  <c r="M32" i="3"/>
  <c r="Q32" i="3"/>
  <c r="J32" i="3"/>
  <c r="N32" i="3"/>
  <c r="K30" i="3"/>
  <c r="O30" i="3"/>
  <c r="L30" i="3"/>
  <c r="P30" i="3"/>
  <c r="I30" i="3"/>
  <c r="M30" i="3"/>
  <c r="Q30" i="3"/>
  <c r="N30" i="3"/>
  <c r="J30" i="3"/>
  <c r="H2" i="10" s="1"/>
  <c r="L83" i="3"/>
  <c r="P83" i="3"/>
  <c r="I83" i="3"/>
  <c r="M83" i="3"/>
  <c r="Q83" i="3"/>
  <c r="J83" i="3"/>
  <c r="N83" i="3"/>
  <c r="K83" i="3"/>
  <c r="O83" i="3"/>
  <c r="I23" i="3"/>
  <c r="G2" i="9" s="1"/>
  <c r="M23" i="3"/>
  <c r="Q23" i="3"/>
  <c r="J23" i="3"/>
  <c r="N23" i="3"/>
  <c r="K23" i="3"/>
  <c r="O23" i="3"/>
  <c r="L23" i="3"/>
  <c r="P23" i="3"/>
  <c r="I27" i="3"/>
  <c r="M27" i="3"/>
  <c r="Q27" i="3"/>
  <c r="J27" i="3"/>
  <c r="N27" i="3"/>
  <c r="K27" i="3"/>
  <c r="O27" i="3"/>
  <c r="L27" i="3"/>
  <c r="P27" i="3"/>
  <c r="L79" i="3"/>
  <c r="P79" i="3"/>
  <c r="I79" i="3"/>
  <c r="M79" i="3"/>
  <c r="Q79" i="3"/>
  <c r="J79" i="3"/>
  <c r="N79" i="3"/>
  <c r="K79" i="3"/>
  <c r="O79" i="3"/>
  <c r="J80" i="3"/>
  <c r="N80" i="3"/>
  <c r="K80" i="3"/>
  <c r="O80" i="3"/>
  <c r="L80" i="3"/>
  <c r="P80" i="3"/>
  <c r="I80" i="3"/>
  <c r="M80" i="3"/>
  <c r="Q80" i="3"/>
  <c r="I25" i="3"/>
  <c r="M25" i="3"/>
  <c r="Q25" i="3"/>
  <c r="J25" i="3"/>
  <c r="N25" i="3"/>
  <c r="K25" i="3"/>
  <c r="O25" i="3"/>
  <c r="L25" i="3"/>
  <c r="P25" i="3"/>
  <c r="J82" i="3"/>
  <c r="N82" i="3"/>
  <c r="K82" i="3"/>
  <c r="O82" i="3"/>
  <c r="L82" i="3"/>
  <c r="P82" i="3"/>
  <c r="I82" i="3"/>
  <c r="M82" i="3"/>
  <c r="Q82" i="3"/>
  <c r="K24" i="3"/>
  <c r="O24" i="3"/>
  <c r="L24" i="3"/>
  <c r="P24" i="3"/>
  <c r="I24" i="3"/>
  <c r="M24" i="3"/>
  <c r="Q24" i="3"/>
  <c r="J24" i="3"/>
  <c r="N24" i="3"/>
  <c r="R8" i="3"/>
  <c r="Q11" i="3"/>
  <c r="F12" i="3"/>
  <c r="F20" i="3"/>
  <c r="F10" i="3"/>
  <c r="I10" i="3" s="1"/>
  <c r="F9" i="3"/>
  <c r="F16" i="3"/>
  <c r="I2" i="10" l="1"/>
  <c r="J2" i="10" s="1"/>
  <c r="K2" i="10" s="1"/>
  <c r="L2" i="10" s="1"/>
  <c r="M2" i="10" s="1"/>
  <c r="N2" i="10" s="1"/>
  <c r="O2" i="10" s="1"/>
  <c r="P2" i="10" s="1"/>
  <c r="Q2" i="10" s="1"/>
  <c r="I9" i="3"/>
  <c r="J9" i="3"/>
  <c r="R9" i="3"/>
  <c r="M9" i="3"/>
  <c r="O9" i="3"/>
  <c r="P9" i="3"/>
  <c r="Q9" i="3"/>
  <c r="K9" i="3"/>
  <c r="L9" i="3"/>
  <c r="N9" i="3"/>
  <c r="R34" i="3"/>
  <c r="R35" i="3"/>
  <c r="R36" i="3"/>
  <c r="P8" i="10" s="1"/>
  <c r="R27" i="3"/>
  <c r="R82" i="3"/>
  <c r="R25" i="3"/>
  <c r="R23" i="3"/>
  <c r="R31" i="3"/>
  <c r="P3" i="10" s="1"/>
  <c r="R56" i="3"/>
  <c r="R43" i="3"/>
  <c r="V8" i="11" s="1"/>
  <c r="R49" i="3"/>
  <c r="R57" i="3"/>
  <c r="R42" i="3"/>
  <c r="R50" i="3"/>
  <c r="V8" i="12" s="1"/>
  <c r="R64" i="3"/>
  <c r="R70" i="3"/>
  <c r="R78" i="3"/>
  <c r="R84" i="3"/>
  <c r="R63" i="3"/>
  <c r="R71" i="3"/>
  <c r="R77" i="3"/>
  <c r="R92" i="3"/>
  <c r="R91" i="3"/>
  <c r="R21" i="3"/>
  <c r="R85" i="3"/>
  <c r="R29" i="3"/>
  <c r="R28" i="3"/>
  <c r="R14" i="3"/>
  <c r="R17" i="3"/>
  <c r="R15" i="3"/>
  <c r="R22" i="3"/>
  <c r="R89" i="3"/>
  <c r="R41" i="3"/>
  <c r="R87" i="3"/>
  <c r="R86" i="3"/>
  <c r="R90" i="3"/>
  <c r="R52" i="3"/>
  <c r="R88" i="3"/>
  <c r="R75" i="3"/>
  <c r="R51" i="3"/>
  <c r="R60" i="3"/>
  <c r="R55" i="3"/>
  <c r="R61" i="3"/>
  <c r="R81" i="3"/>
  <c r="R74" i="3"/>
  <c r="R69" i="3"/>
  <c r="R65" i="3"/>
  <c r="R45" i="3"/>
  <c r="R40" i="3"/>
  <c r="R46" i="3"/>
  <c r="R33" i="3"/>
  <c r="R48" i="3"/>
  <c r="R73" i="3"/>
  <c r="R72" i="3"/>
  <c r="R62" i="3"/>
  <c r="R44" i="3"/>
  <c r="R39" i="3"/>
  <c r="R68" i="3"/>
  <c r="R47" i="3"/>
  <c r="R67" i="3"/>
  <c r="R58" i="3"/>
  <c r="R53" i="3"/>
  <c r="R37" i="3"/>
  <c r="R26" i="3"/>
  <c r="R18" i="3"/>
  <c r="R38" i="3"/>
  <c r="R66" i="3"/>
  <c r="R59" i="3"/>
  <c r="R54" i="3"/>
  <c r="R76" i="3"/>
  <c r="R19" i="3"/>
  <c r="R83" i="3"/>
  <c r="R24" i="3"/>
  <c r="R80" i="3"/>
  <c r="R79" i="3"/>
  <c r="R30" i="3"/>
  <c r="R32" i="3"/>
  <c r="K16" i="3"/>
  <c r="O16" i="3"/>
  <c r="J16" i="3"/>
  <c r="L16" i="3"/>
  <c r="P16" i="3"/>
  <c r="N16" i="3"/>
  <c r="I16" i="3"/>
  <c r="M16" i="3"/>
  <c r="Q16" i="3"/>
  <c r="R16" i="3"/>
  <c r="I20" i="3"/>
  <c r="M20" i="3"/>
  <c r="Q20" i="3"/>
  <c r="L20" i="3"/>
  <c r="J20" i="3"/>
  <c r="N20" i="3"/>
  <c r="R20" i="3"/>
  <c r="P20" i="3"/>
  <c r="K20" i="3"/>
  <c r="O20" i="3"/>
  <c r="S8" i="3"/>
  <c r="R11" i="3"/>
  <c r="J10" i="3"/>
  <c r="R10" i="3"/>
  <c r="K10" i="3"/>
  <c r="L10" i="3"/>
  <c r="M10" i="3"/>
  <c r="N10" i="3"/>
  <c r="O10" i="3"/>
  <c r="P10" i="3"/>
  <c r="Q10" i="3"/>
  <c r="O12" i="3"/>
  <c r="P12" i="3"/>
  <c r="I12" i="3"/>
  <c r="Q12" i="3"/>
  <c r="J12" i="3"/>
  <c r="R12" i="3"/>
  <c r="K12" i="3"/>
  <c r="L12" i="3"/>
  <c r="N12" i="3"/>
  <c r="M12" i="3"/>
  <c r="O13" i="3"/>
  <c r="P13" i="3"/>
  <c r="I13" i="3"/>
  <c r="Q13" i="3"/>
  <c r="J13" i="3"/>
  <c r="R13" i="3"/>
  <c r="K13" i="3"/>
  <c r="M13" i="3"/>
  <c r="N13" i="3"/>
  <c r="L13" i="3"/>
  <c r="S12" i="3" l="1"/>
  <c r="S9" i="3"/>
  <c r="S35" i="3"/>
  <c r="S36" i="3"/>
  <c r="Q8" i="10" s="1"/>
  <c r="S13" i="3"/>
  <c r="S10" i="3"/>
  <c r="S34" i="3"/>
  <c r="S23" i="3"/>
  <c r="S79" i="3"/>
  <c r="S31" i="3"/>
  <c r="Q3" i="10" s="1"/>
  <c r="S27" i="3"/>
  <c r="S30" i="3"/>
  <c r="S24" i="3"/>
  <c r="S28" i="3"/>
  <c r="S42" i="3"/>
  <c r="S50" i="3"/>
  <c r="W8" i="12" s="1"/>
  <c r="S56" i="3"/>
  <c r="S43" i="3"/>
  <c r="W8" i="11" s="1"/>
  <c r="S49" i="3"/>
  <c r="S57" i="3"/>
  <c r="S63" i="3"/>
  <c r="S71" i="3"/>
  <c r="S77" i="3"/>
  <c r="S85" i="3"/>
  <c r="S64" i="3"/>
  <c r="S70" i="3"/>
  <c r="S78" i="3"/>
  <c r="S84" i="3"/>
  <c r="S92" i="3"/>
  <c r="S91" i="3"/>
  <c r="S21" i="3"/>
  <c r="S29" i="3"/>
  <c r="S14" i="3"/>
  <c r="S17" i="3"/>
  <c r="S15" i="3"/>
  <c r="S22" i="3"/>
  <c r="S89" i="3"/>
  <c r="S52" i="3"/>
  <c r="S90" i="3"/>
  <c r="S88" i="3"/>
  <c r="S87" i="3"/>
  <c r="S86" i="3"/>
  <c r="S41" i="3"/>
  <c r="S75" i="3"/>
  <c r="S60" i="3"/>
  <c r="S51" i="3"/>
  <c r="S45" i="3"/>
  <c r="S74" i="3"/>
  <c r="S61" i="3"/>
  <c r="S40" i="3"/>
  <c r="S81" i="3"/>
  <c r="S69" i="3"/>
  <c r="S65" i="3"/>
  <c r="S33" i="3"/>
  <c r="S48" i="3"/>
  <c r="S39" i="3"/>
  <c r="S18" i="3"/>
  <c r="S47" i="3"/>
  <c r="S46" i="3"/>
  <c r="S37" i="3"/>
  <c r="S68" i="3"/>
  <c r="S72" i="3"/>
  <c r="S58" i="3"/>
  <c r="S53" i="3"/>
  <c r="S44" i="3"/>
  <c r="S26" i="3"/>
  <c r="S76" i="3"/>
  <c r="S67" i="3"/>
  <c r="S55" i="3"/>
  <c r="S66" i="3"/>
  <c r="S73" i="3"/>
  <c r="S59" i="3"/>
  <c r="S54" i="3"/>
  <c r="S38" i="3"/>
  <c r="S62" i="3"/>
  <c r="S19" i="3"/>
  <c r="S80" i="3"/>
  <c r="S83" i="3"/>
  <c r="S32" i="3"/>
  <c r="S25" i="3"/>
  <c r="S82" i="3"/>
  <c r="S20" i="3"/>
  <c r="S16" i="3"/>
  <c r="T8" i="3"/>
  <c r="S11" i="3"/>
  <c r="T9" i="3" l="1"/>
  <c r="T35" i="3"/>
  <c r="T36" i="3"/>
  <c r="R8" i="10" s="1"/>
  <c r="T57" i="3"/>
  <c r="T63" i="3"/>
  <c r="T42" i="3"/>
  <c r="T50" i="3"/>
  <c r="X8" i="12" s="1"/>
  <c r="T56" i="3"/>
  <c r="T43" i="3"/>
  <c r="X8" i="11" s="1"/>
  <c r="T49" i="3"/>
  <c r="T84" i="3"/>
  <c r="T71" i="3"/>
  <c r="T77" i="3"/>
  <c r="T64" i="3"/>
  <c r="T70" i="3"/>
  <c r="T78" i="3"/>
  <c r="T91" i="3"/>
  <c r="T21" i="3"/>
  <c r="T92" i="3"/>
  <c r="T28" i="3"/>
  <c r="T29" i="3"/>
  <c r="T85" i="3"/>
  <c r="T14" i="3"/>
  <c r="T17" i="3"/>
  <c r="T22" i="3"/>
  <c r="T15" i="3"/>
  <c r="T41" i="3"/>
  <c r="T52" i="3"/>
  <c r="T86" i="3"/>
  <c r="T90" i="3"/>
  <c r="T88" i="3"/>
  <c r="T89" i="3"/>
  <c r="T87" i="3"/>
  <c r="T75" i="3"/>
  <c r="T81" i="3"/>
  <c r="T60" i="3"/>
  <c r="T45" i="3"/>
  <c r="T74" i="3"/>
  <c r="T61" i="3"/>
  <c r="T40" i="3"/>
  <c r="T69" i="3"/>
  <c r="T51" i="3"/>
  <c r="T65" i="3"/>
  <c r="T46" i="3"/>
  <c r="T48" i="3"/>
  <c r="T18" i="3"/>
  <c r="T47" i="3"/>
  <c r="T76" i="3"/>
  <c r="T39" i="3"/>
  <c r="T68" i="3"/>
  <c r="T72" i="3"/>
  <c r="T58" i="3"/>
  <c r="T33" i="3"/>
  <c r="T44" i="3"/>
  <c r="T26" i="3"/>
  <c r="T67" i="3"/>
  <c r="T55" i="3"/>
  <c r="T37" i="3"/>
  <c r="T66" i="3"/>
  <c r="T73" i="3"/>
  <c r="T59" i="3"/>
  <c r="T54" i="3"/>
  <c r="T38" i="3"/>
  <c r="T62" i="3"/>
  <c r="T19" i="3"/>
  <c r="T53" i="3"/>
  <c r="T83" i="3"/>
  <c r="T80" i="3"/>
  <c r="T32" i="3"/>
  <c r="T25" i="3"/>
  <c r="T82" i="3"/>
  <c r="T27" i="3"/>
  <c r="T31" i="3"/>
  <c r="R3" i="10" s="1"/>
  <c r="T79" i="3"/>
  <c r="T16" i="3"/>
  <c r="T20" i="3"/>
  <c r="T30" i="3"/>
  <c r="T23" i="3"/>
  <c r="T34" i="3"/>
  <c r="T24" i="3"/>
  <c r="U8" i="3"/>
  <c r="T11" i="3"/>
  <c r="T12" i="3"/>
  <c r="T10" i="3"/>
  <c r="T13" i="3"/>
  <c r="S8" i="10" l="1"/>
  <c r="T8" i="10" s="1"/>
  <c r="U8" i="10" s="1"/>
  <c r="V8" i="10" s="1"/>
  <c r="W8" i="10" s="1"/>
  <c r="X8" i="10" s="1"/>
  <c r="Y8" i="10" s="1"/>
  <c r="Z8" i="10" s="1"/>
  <c r="AA8" i="10" s="1"/>
  <c r="U9" i="3"/>
  <c r="U24" i="3"/>
  <c r="U31" i="3"/>
  <c r="S3" i="10" s="1"/>
  <c r="U20" i="3"/>
  <c r="U13" i="3"/>
  <c r="U10" i="3"/>
  <c r="U34" i="3"/>
  <c r="U23" i="3"/>
  <c r="U30" i="3"/>
  <c r="U35" i="3"/>
  <c r="U36" i="3"/>
  <c r="U43" i="3"/>
  <c r="Y8" i="11" s="1"/>
  <c r="U49" i="3"/>
  <c r="U57" i="3"/>
  <c r="U63" i="3"/>
  <c r="U42" i="3"/>
  <c r="U50" i="3"/>
  <c r="Y8" i="12" s="1"/>
  <c r="U56" i="3"/>
  <c r="U64" i="3"/>
  <c r="U70" i="3"/>
  <c r="U78" i="3"/>
  <c r="U84" i="3"/>
  <c r="U71" i="3"/>
  <c r="U77" i="3"/>
  <c r="U91" i="3"/>
  <c r="U92" i="3"/>
  <c r="U29" i="3"/>
  <c r="U85" i="3"/>
  <c r="U21" i="3"/>
  <c r="U28" i="3"/>
  <c r="U14" i="3"/>
  <c r="U17" i="3"/>
  <c r="U22" i="3"/>
  <c r="U15" i="3"/>
  <c r="U89" i="3"/>
  <c r="U86" i="3"/>
  <c r="U41" i="3"/>
  <c r="U87" i="3"/>
  <c r="U52" i="3"/>
  <c r="U90" i="3"/>
  <c r="U88" i="3"/>
  <c r="U81" i="3"/>
  <c r="U74" i="3"/>
  <c r="U65" i="3"/>
  <c r="U60" i="3"/>
  <c r="U75" i="3"/>
  <c r="U61" i="3"/>
  <c r="U45" i="3"/>
  <c r="U69" i="3"/>
  <c r="U51" i="3"/>
  <c r="U40" i="3"/>
  <c r="U33" i="3"/>
  <c r="U48" i="3"/>
  <c r="U73" i="3"/>
  <c r="U54" i="3"/>
  <c r="U72" i="3"/>
  <c r="U62" i="3"/>
  <c r="U46" i="3"/>
  <c r="U68" i="3"/>
  <c r="U58" i="3"/>
  <c r="U37" i="3"/>
  <c r="U44" i="3"/>
  <c r="U39" i="3"/>
  <c r="U26" i="3"/>
  <c r="U38" i="3"/>
  <c r="U76" i="3"/>
  <c r="U55" i="3"/>
  <c r="U66" i="3"/>
  <c r="U59" i="3"/>
  <c r="U18" i="3"/>
  <c r="U47" i="3"/>
  <c r="U67" i="3"/>
  <c r="U19" i="3"/>
  <c r="U53" i="3"/>
  <c r="U83" i="3"/>
  <c r="U80" i="3"/>
  <c r="U25" i="3"/>
  <c r="U32" i="3"/>
  <c r="U82" i="3"/>
  <c r="U16" i="3"/>
  <c r="U79" i="3"/>
  <c r="U27" i="3"/>
  <c r="V8" i="3"/>
  <c r="U11" i="3"/>
  <c r="U12" i="3"/>
  <c r="V79" i="3" l="1"/>
  <c r="V9" i="3"/>
  <c r="V35" i="3"/>
  <c r="V36" i="3"/>
  <c r="V56" i="3"/>
  <c r="V43" i="3"/>
  <c r="Z8" i="11" s="1"/>
  <c r="V49" i="3"/>
  <c r="V57" i="3"/>
  <c r="V42" i="3"/>
  <c r="V50" i="3"/>
  <c r="Z8" i="12" s="1"/>
  <c r="V63" i="3"/>
  <c r="V64" i="3"/>
  <c r="V70" i="3"/>
  <c r="V78" i="3"/>
  <c r="V84" i="3"/>
  <c r="V71" i="3"/>
  <c r="V77" i="3"/>
  <c r="V92" i="3"/>
  <c r="V91" i="3"/>
  <c r="V21" i="3"/>
  <c r="V29" i="3"/>
  <c r="V28" i="3"/>
  <c r="V85" i="3"/>
  <c r="V14" i="3"/>
  <c r="V17" i="3"/>
  <c r="V15" i="3"/>
  <c r="V22" i="3"/>
  <c r="V87" i="3"/>
  <c r="V89" i="3"/>
  <c r="V41" i="3"/>
  <c r="V86" i="3"/>
  <c r="V90" i="3"/>
  <c r="V52" i="3"/>
  <c r="V88" i="3"/>
  <c r="V51" i="3"/>
  <c r="V74" i="3"/>
  <c r="V65" i="3"/>
  <c r="V75" i="3"/>
  <c r="V45" i="3"/>
  <c r="V40" i="3"/>
  <c r="V69" i="3"/>
  <c r="V60" i="3"/>
  <c r="V61" i="3"/>
  <c r="V81" i="3"/>
  <c r="V46" i="3"/>
  <c r="V66" i="3"/>
  <c r="V59" i="3"/>
  <c r="V76" i="3"/>
  <c r="V72" i="3"/>
  <c r="V55" i="3"/>
  <c r="V33" i="3"/>
  <c r="V48" i="3"/>
  <c r="V44" i="3"/>
  <c r="V73" i="3"/>
  <c r="V62" i="3"/>
  <c r="V39" i="3"/>
  <c r="V68" i="3"/>
  <c r="V38" i="3"/>
  <c r="V58" i="3"/>
  <c r="V53" i="3"/>
  <c r="V37" i="3"/>
  <c r="V54" i="3"/>
  <c r="V26" i="3"/>
  <c r="V18" i="3"/>
  <c r="V47" i="3"/>
  <c r="V67" i="3"/>
  <c r="V19" i="3"/>
  <c r="V32" i="3"/>
  <c r="V80" i="3"/>
  <c r="V83" i="3"/>
  <c r="V25" i="3"/>
  <c r="V82" i="3"/>
  <c r="V16" i="3"/>
  <c r="V27" i="3"/>
  <c r="V20" i="3"/>
  <c r="V23" i="3"/>
  <c r="V30" i="3"/>
  <c r="V24" i="3"/>
  <c r="V31" i="3"/>
  <c r="T3" i="10" s="1"/>
  <c r="V34" i="3"/>
  <c r="W8" i="3"/>
  <c r="V11" i="3"/>
  <c r="V12" i="3"/>
  <c r="V10" i="3"/>
  <c r="V13" i="3"/>
  <c r="W10" i="3" l="1"/>
  <c r="W9" i="3"/>
  <c r="W13" i="3"/>
  <c r="W35" i="3"/>
  <c r="W36" i="3"/>
  <c r="W20" i="3"/>
  <c r="W30" i="3"/>
  <c r="W16" i="3"/>
  <c r="W24" i="3"/>
  <c r="W27" i="3"/>
  <c r="W23" i="3"/>
  <c r="W31" i="3"/>
  <c r="U3" i="10" s="1"/>
  <c r="W42" i="3"/>
  <c r="W50" i="3"/>
  <c r="AA8" i="12" s="1"/>
  <c r="W56" i="3"/>
  <c r="W43" i="3"/>
  <c r="AA8" i="11" s="1"/>
  <c r="W49" i="3"/>
  <c r="W57" i="3"/>
  <c r="W71" i="3"/>
  <c r="W77" i="3"/>
  <c r="W63" i="3"/>
  <c r="W64" i="3"/>
  <c r="W70" i="3"/>
  <c r="W78" i="3"/>
  <c r="W84" i="3"/>
  <c r="W85" i="3"/>
  <c r="W92" i="3"/>
  <c r="W91" i="3"/>
  <c r="W21" i="3"/>
  <c r="W29" i="3"/>
  <c r="W28" i="3"/>
  <c r="W14" i="3"/>
  <c r="W17" i="3"/>
  <c r="W15" i="3"/>
  <c r="W22" i="3"/>
  <c r="W89" i="3"/>
  <c r="W86" i="3"/>
  <c r="W52" i="3"/>
  <c r="W87" i="3"/>
  <c r="W90" i="3"/>
  <c r="W88" i="3"/>
  <c r="W41" i="3"/>
  <c r="W51" i="3"/>
  <c r="W81" i="3"/>
  <c r="W65" i="3"/>
  <c r="W75" i="3"/>
  <c r="W60" i="3"/>
  <c r="W45" i="3"/>
  <c r="W61" i="3"/>
  <c r="W40" i="3"/>
  <c r="W74" i="3"/>
  <c r="W69" i="3"/>
  <c r="W55" i="3"/>
  <c r="W66" i="3"/>
  <c r="W59" i="3"/>
  <c r="W18" i="3"/>
  <c r="W38" i="3"/>
  <c r="W62" i="3"/>
  <c r="W37" i="3"/>
  <c r="W33" i="3"/>
  <c r="W48" i="3"/>
  <c r="W39" i="3"/>
  <c r="W46" i="3"/>
  <c r="W68" i="3"/>
  <c r="W47" i="3"/>
  <c r="W72" i="3"/>
  <c r="W58" i="3"/>
  <c r="W44" i="3"/>
  <c r="W73" i="3"/>
  <c r="W54" i="3"/>
  <c r="W26" i="3"/>
  <c r="W76" i="3"/>
  <c r="W67" i="3"/>
  <c r="W53" i="3"/>
  <c r="W19" i="3"/>
  <c r="W80" i="3"/>
  <c r="W83" i="3"/>
  <c r="W32" i="3"/>
  <c r="W25" i="3"/>
  <c r="W82" i="3"/>
  <c r="W79" i="3"/>
  <c r="W34" i="3"/>
  <c r="X8" i="3"/>
  <c r="W11" i="3"/>
  <c r="W12" i="3"/>
  <c r="X9" i="3" l="1"/>
  <c r="X30" i="3"/>
  <c r="X35" i="3"/>
  <c r="X36" i="3"/>
  <c r="X20" i="3"/>
  <c r="X57" i="3"/>
  <c r="X42" i="3"/>
  <c r="X50" i="3"/>
  <c r="AB8" i="12" s="1"/>
  <c r="X56" i="3"/>
  <c r="X43" i="3"/>
  <c r="AB8" i="11" s="1"/>
  <c r="X49" i="3"/>
  <c r="X84" i="3"/>
  <c r="X71" i="3"/>
  <c r="X77" i="3"/>
  <c r="X63" i="3"/>
  <c r="X64" i="3"/>
  <c r="X70" i="3"/>
  <c r="X78" i="3"/>
  <c r="X91" i="3"/>
  <c r="X92" i="3"/>
  <c r="X21" i="3"/>
  <c r="X29" i="3"/>
  <c r="X85" i="3"/>
  <c r="X28" i="3"/>
  <c r="X14" i="3"/>
  <c r="X17" i="3"/>
  <c r="X22" i="3"/>
  <c r="X15" i="3"/>
  <c r="X89" i="3"/>
  <c r="X87" i="3"/>
  <c r="X51" i="3"/>
  <c r="X52" i="3"/>
  <c r="X41" i="3"/>
  <c r="X90" i="3"/>
  <c r="X88" i="3"/>
  <c r="X86" i="3"/>
  <c r="X65" i="3"/>
  <c r="X75" i="3"/>
  <c r="X45" i="3"/>
  <c r="X81" i="3"/>
  <c r="X60" i="3"/>
  <c r="X74" i="3"/>
  <c r="X61" i="3"/>
  <c r="X40" i="3"/>
  <c r="X69" i="3"/>
  <c r="X33" i="3"/>
  <c r="X48" i="3"/>
  <c r="X59" i="3"/>
  <c r="X54" i="3"/>
  <c r="X26" i="3"/>
  <c r="X38" i="3"/>
  <c r="X62" i="3"/>
  <c r="X53" i="3"/>
  <c r="X37" i="3"/>
  <c r="X66" i="3"/>
  <c r="X44" i="3"/>
  <c r="X18" i="3"/>
  <c r="X76" i="3"/>
  <c r="X47" i="3"/>
  <c r="X72" i="3"/>
  <c r="X58" i="3"/>
  <c r="X55" i="3"/>
  <c r="X46" i="3"/>
  <c r="X39" i="3"/>
  <c r="X73" i="3"/>
  <c r="X68" i="3"/>
  <c r="X67" i="3"/>
  <c r="X19" i="3"/>
  <c r="X83" i="3"/>
  <c r="X80" i="3"/>
  <c r="X32" i="3"/>
  <c r="X25" i="3"/>
  <c r="X82" i="3"/>
  <c r="X34" i="3"/>
  <c r="X27" i="3"/>
  <c r="X79" i="3"/>
  <c r="X16" i="3"/>
  <c r="X24" i="3"/>
  <c r="X23" i="3"/>
  <c r="X31" i="3"/>
  <c r="V3" i="10" s="1"/>
  <c r="Y8" i="3"/>
  <c r="X11" i="3"/>
  <c r="X12" i="3"/>
  <c r="X10" i="3"/>
  <c r="X13" i="3"/>
  <c r="Y13" i="3" l="1"/>
  <c r="Y9" i="3"/>
  <c r="Y10" i="3"/>
  <c r="Y35" i="3"/>
  <c r="Y36" i="3"/>
  <c r="Y43" i="3"/>
  <c r="AC8" i="11" s="1"/>
  <c r="Y49" i="3"/>
  <c r="Y57" i="3"/>
  <c r="Y63" i="3"/>
  <c r="Y42" i="3"/>
  <c r="Y50" i="3"/>
  <c r="AC8" i="12" s="1"/>
  <c r="Y56" i="3"/>
  <c r="Y64" i="3"/>
  <c r="Y70" i="3"/>
  <c r="Y78" i="3"/>
  <c r="Y84" i="3"/>
  <c r="Y71" i="3"/>
  <c r="Y77" i="3"/>
  <c r="Y91" i="3"/>
  <c r="Y92" i="3"/>
  <c r="Y29" i="3"/>
  <c r="Y85" i="3"/>
  <c r="Y28" i="3"/>
  <c r="Y21" i="3"/>
  <c r="Y14" i="3"/>
  <c r="Y17" i="3"/>
  <c r="Y15" i="3"/>
  <c r="Y22" i="3"/>
  <c r="Y90" i="3"/>
  <c r="Y88" i="3"/>
  <c r="Y89" i="3"/>
  <c r="Y41" i="3"/>
  <c r="Y86" i="3"/>
  <c r="Y52" i="3"/>
  <c r="Y87" i="3"/>
  <c r="Y40" i="3"/>
  <c r="Y81" i="3"/>
  <c r="Y74" i="3"/>
  <c r="Y65" i="3"/>
  <c r="Y69" i="3"/>
  <c r="Y60" i="3"/>
  <c r="Y51" i="3"/>
  <c r="Y75" i="3"/>
  <c r="Y61" i="3"/>
  <c r="Y45" i="3"/>
  <c r="Y66" i="3"/>
  <c r="Y48" i="3"/>
  <c r="Y59" i="3"/>
  <c r="Y18" i="3"/>
  <c r="Y47" i="3"/>
  <c r="Y67" i="3"/>
  <c r="Y33" i="3"/>
  <c r="Y73" i="3"/>
  <c r="Y54" i="3"/>
  <c r="Y72" i="3"/>
  <c r="Y62" i="3"/>
  <c r="Y53" i="3"/>
  <c r="Y46" i="3"/>
  <c r="Y68" i="3"/>
  <c r="Y38" i="3"/>
  <c r="Y58" i="3"/>
  <c r="Y55" i="3"/>
  <c r="Y37" i="3"/>
  <c r="Y44" i="3"/>
  <c r="Y39" i="3"/>
  <c r="Y26" i="3"/>
  <c r="Y76" i="3"/>
  <c r="Y19" i="3"/>
  <c r="Y32" i="3"/>
  <c r="Y82" i="3"/>
  <c r="Y83" i="3"/>
  <c r="Y80" i="3"/>
  <c r="Y25" i="3"/>
  <c r="Y34" i="3"/>
  <c r="Y79" i="3"/>
  <c r="Y24" i="3"/>
  <c r="Y27" i="3"/>
  <c r="Y31" i="3"/>
  <c r="W3" i="10" s="1"/>
  <c r="Y23" i="3"/>
  <c r="Y30" i="3"/>
  <c r="Y20" i="3"/>
  <c r="Y16" i="3"/>
  <c r="Z8" i="3"/>
  <c r="Y11" i="3"/>
  <c r="Y12" i="3"/>
  <c r="Z20" i="3" l="1"/>
  <c r="Z9" i="3"/>
  <c r="Z35" i="3"/>
  <c r="Z36" i="3"/>
  <c r="Z56" i="3"/>
  <c r="Z43" i="3"/>
  <c r="AD8" i="11" s="1"/>
  <c r="Z49" i="3"/>
  <c r="Z57" i="3"/>
  <c r="Z42" i="3"/>
  <c r="Z50" i="3"/>
  <c r="AD8" i="12" s="1"/>
  <c r="Z64" i="3"/>
  <c r="Z70" i="3"/>
  <c r="Z78" i="3"/>
  <c r="Z84" i="3"/>
  <c r="Z63" i="3"/>
  <c r="Z71" i="3"/>
  <c r="Z77" i="3"/>
  <c r="Z92" i="3"/>
  <c r="Z91" i="3"/>
  <c r="Z29" i="3"/>
  <c r="Z28" i="3"/>
  <c r="Z21" i="3"/>
  <c r="Z85" i="3"/>
  <c r="Z14" i="3"/>
  <c r="Z17" i="3"/>
  <c r="Z22" i="3"/>
  <c r="Z15" i="3"/>
  <c r="Z90" i="3"/>
  <c r="Z52" i="3"/>
  <c r="Z88" i="3"/>
  <c r="Z89" i="3"/>
  <c r="Z87" i="3"/>
  <c r="Z41" i="3"/>
  <c r="Z86" i="3"/>
  <c r="Z61" i="3"/>
  <c r="Z45" i="3"/>
  <c r="Z40" i="3"/>
  <c r="Z81" i="3"/>
  <c r="Z65" i="3"/>
  <c r="Z74" i="3"/>
  <c r="Z51" i="3"/>
  <c r="Z75" i="3"/>
  <c r="Z69" i="3"/>
  <c r="Z60" i="3"/>
  <c r="Z37" i="3"/>
  <c r="Z54" i="3"/>
  <c r="Z26" i="3"/>
  <c r="Z18" i="3"/>
  <c r="Z46" i="3"/>
  <c r="Z66" i="3"/>
  <c r="Z59" i="3"/>
  <c r="Z47" i="3"/>
  <c r="Z76" i="3"/>
  <c r="Z72" i="3"/>
  <c r="Z55" i="3"/>
  <c r="Z33" i="3"/>
  <c r="Z48" i="3"/>
  <c r="Z44" i="3"/>
  <c r="Z73" i="3"/>
  <c r="Z67" i="3"/>
  <c r="Z62" i="3"/>
  <c r="Z39" i="3"/>
  <c r="Z68" i="3"/>
  <c r="Z38" i="3"/>
  <c r="Z58" i="3"/>
  <c r="Z53" i="3"/>
  <c r="Z19" i="3"/>
  <c r="Z32" i="3"/>
  <c r="Z25" i="3"/>
  <c r="Z82" i="3"/>
  <c r="Z80" i="3"/>
  <c r="Z83" i="3"/>
  <c r="Z34" i="3"/>
  <c r="Z31" i="3"/>
  <c r="X3" i="10" s="1"/>
  <c r="Z23" i="3"/>
  <c r="Z27" i="3"/>
  <c r="Z30" i="3"/>
  <c r="Z16" i="3"/>
  <c r="Z79" i="3"/>
  <c r="Z24" i="3"/>
  <c r="AA8" i="3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Z11" i="3"/>
  <c r="Z12" i="3"/>
  <c r="Z10" i="3"/>
  <c r="Z13" i="3"/>
  <c r="AN8" i="3" l="1"/>
  <c r="AM26" i="3"/>
  <c r="AM42" i="3"/>
  <c r="AM50" i="3"/>
  <c r="AQ8" i="12" s="1"/>
  <c r="AM58" i="3"/>
  <c r="AM66" i="3"/>
  <c r="AM74" i="3"/>
  <c r="AM82" i="3"/>
  <c r="AM90" i="3"/>
  <c r="AM19" i="3"/>
  <c r="AM39" i="3"/>
  <c r="AM47" i="3"/>
  <c r="AM55" i="3"/>
  <c r="AM63" i="3"/>
  <c r="AM71" i="3"/>
  <c r="AM87" i="3"/>
  <c r="AM33" i="3"/>
  <c r="AM44" i="3"/>
  <c r="AM52" i="3"/>
  <c r="AM60" i="3"/>
  <c r="AM68" i="3"/>
  <c r="AM76" i="3"/>
  <c r="AM84" i="3"/>
  <c r="AM92" i="3"/>
  <c r="AM25" i="3"/>
  <c r="AM41" i="3"/>
  <c r="AM49" i="3"/>
  <c r="AM57" i="3"/>
  <c r="AM65" i="3"/>
  <c r="AM73" i="3"/>
  <c r="AM81" i="3"/>
  <c r="AM89" i="3"/>
  <c r="AM18" i="3"/>
  <c r="AM38" i="3"/>
  <c r="AM46" i="3"/>
  <c r="AM54" i="3"/>
  <c r="AM62" i="3"/>
  <c r="AM70" i="3"/>
  <c r="AM78" i="3"/>
  <c r="AM86" i="3"/>
  <c r="AM32" i="3"/>
  <c r="AM43" i="3"/>
  <c r="AQ8" i="11" s="1"/>
  <c r="AM59" i="3"/>
  <c r="AM67" i="3"/>
  <c r="AM75" i="3"/>
  <c r="AM83" i="3"/>
  <c r="AM91" i="3"/>
  <c r="AM40" i="3"/>
  <c r="AM48" i="3"/>
  <c r="AM56" i="3"/>
  <c r="AM64" i="3"/>
  <c r="AM72" i="3"/>
  <c r="AM80" i="3"/>
  <c r="AM88" i="3"/>
  <c r="AM77" i="3"/>
  <c r="AM85" i="3"/>
  <c r="AM37" i="3"/>
  <c r="AM45" i="3"/>
  <c r="AM53" i="3"/>
  <c r="AM61" i="3"/>
  <c r="AM69" i="3"/>
  <c r="AM21" i="3"/>
  <c r="AM35" i="3"/>
  <c r="AM14" i="3"/>
  <c r="AM17" i="3"/>
  <c r="AM51" i="3"/>
  <c r="AM23" i="3"/>
  <c r="AM11" i="3"/>
  <c r="AM36" i="3"/>
  <c r="AM15" i="3"/>
  <c r="AM22" i="3"/>
  <c r="AM79" i="3"/>
  <c r="AM13" i="3"/>
  <c r="AM12" i="3"/>
  <c r="AM16" i="3"/>
  <c r="AM30" i="3"/>
  <c r="AM9" i="3"/>
  <c r="AM20" i="3"/>
  <c r="AM31" i="3"/>
  <c r="AM24" i="3"/>
  <c r="AM27" i="3"/>
  <c r="AM34" i="3"/>
  <c r="AM10" i="3"/>
  <c r="AA13" i="3"/>
  <c r="AA9" i="3"/>
  <c r="AA10" i="3"/>
  <c r="AA35" i="3"/>
  <c r="AA36" i="3"/>
  <c r="AA42" i="3"/>
  <c r="AA50" i="3"/>
  <c r="AE8" i="12" s="1"/>
  <c r="AA56" i="3"/>
  <c r="AA43" i="3"/>
  <c r="AE8" i="11" s="1"/>
  <c r="AA49" i="3"/>
  <c r="AA57" i="3"/>
  <c r="AA63" i="3"/>
  <c r="AA71" i="3"/>
  <c r="AA77" i="3"/>
  <c r="AA64" i="3"/>
  <c r="AA70" i="3"/>
  <c r="AA78" i="3"/>
  <c r="AA84" i="3"/>
  <c r="AA85" i="3"/>
  <c r="AA92" i="3"/>
  <c r="AA91" i="3"/>
  <c r="AA21" i="3"/>
  <c r="AA28" i="3"/>
  <c r="AA29" i="3"/>
  <c r="AA14" i="3"/>
  <c r="AA17" i="3"/>
  <c r="AA15" i="3"/>
  <c r="AA22" i="3"/>
  <c r="AA90" i="3"/>
  <c r="AA88" i="3"/>
  <c r="AA41" i="3"/>
  <c r="AA87" i="3"/>
  <c r="AA86" i="3"/>
  <c r="AA89" i="3"/>
  <c r="AA52" i="3"/>
  <c r="AA61" i="3"/>
  <c r="AA40" i="3"/>
  <c r="AA74" i="3"/>
  <c r="AA69" i="3"/>
  <c r="AA65" i="3"/>
  <c r="AA51" i="3"/>
  <c r="AA75" i="3"/>
  <c r="AA60" i="3"/>
  <c r="AA45" i="3"/>
  <c r="AA81" i="3"/>
  <c r="AA44" i="3"/>
  <c r="AA73" i="3"/>
  <c r="AA54" i="3"/>
  <c r="AA26" i="3"/>
  <c r="AA47" i="3"/>
  <c r="AA76" i="3"/>
  <c r="AA67" i="3"/>
  <c r="AA55" i="3"/>
  <c r="AA66" i="3"/>
  <c r="AA59" i="3"/>
  <c r="AA38" i="3"/>
  <c r="AA62" i="3"/>
  <c r="AA37" i="3"/>
  <c r="AA33" i="3"/>
  <c r="AA48" i="3"/>
  <c r="AA39" i="3"/>
  <c r="AA18" i="3"/>
  <c r="AA46" i="3"/>
  <c r="AA68" i="3"/>
  <c r="AA72" i="3"/>
  <c r="AA58" i="3"/>
  <c r="AA53" i="3"/>
  <c r="AA19" i="3"/>
  <c r="AA32" i="3"/>
  <c r="AA25" i="3"/>
  <c r="AA82" i="3"/>
  <c r="AA80" i="3"/>
  <c r="AA83" i="3"/>
  <c r="AA30" i="3"/>
  <c r="AA27" i="3"/>
  <c r="AA34" i="3"/>
  <c r="AA31" i="3"/>
  <c r="Y3" i="10" s="1"/>
  <c r="AA23" i="3"/>
  <c r="AA16" i="3"/>
  <c r="AA20" i="3"/>
  <c r="AA79" i="3"/>
  <c r="AA24" i="3"/>
  <c r="AB9" i="3"/>
  <c r="AA11" i="3"/>
  <c r="AA12" i="3"/>
  <c r="AO8" i="3" l="1"/>
  <c r="AN41" i="3"/>
  <c r="AN26" i="3"/>
  <c r="AN42" i="3"/>
  <c r="AN50" i="3"/>
  <c r="AN58" i="3"/>
  <c r="AN66" i="3"/>
  <c r="AN74" i="3"/>
  <c r="AN82" i="3"/>
  <c r="AN90" i="3"/>
  <c r="AN19" i="3"/>
  <c r="AN39" i="3"/>
  <c r="AN47" i="3"/>
  <c r="AN55" i="3"/>
  <c r="AN63" i="3"/>
  <c r="AN71" i="3"/>
  <c r="AN87" i="3"/>
  <c r="AN25" i="3"/>
  <c r="AN57" i="3"/>
  <c r="AN49" i="3"/>
  <c r="AN81" i="3"/>
  <c r="AN33" i="3"/>
  <c r="AN44" i="3"/>
  <c r="AN52" i="3"/>
  <c r="AN60" i="3"/>
  <c r="AN68" i="3"/>
  <c r="AN76" i="3"/>
  <c r="AN84" i="3"/>
  <c r="AN92" i="3"/>
  <c r="AN65" i="3"/>
  <c r="AN89" i="3"/>
  <c r="AN18" i="3"/>
  <c r="AN38" i="3"/>
  <c r="AN46" i="3"/>
  <c r="AN54" i="3"/>
  <c r="AN62" i="3"/>
  <c r="AN70" i="3"/>
  <c r="AN78" i="3"/>
  <c r="AN86" i="3"/>
  <c r="AN32" i="3"/>
  <c r="AN43" i="3"/>
  <c r="AN59" i="3"/>
  <c r="AN67" i="3"/>
  <c r="AN75" i="3"/>
  <c r="AN83" i="3"/>
  <c r="AN91" i="3"/>
  <c r="AN73" i="3"/>
  <c r="AN40" i="3"/>
  <c r="AN48" i="3"/>
  <c r="AN56" i="3"/>
  <c r="AN64" i="3"/>
  <c r="AN72" i="3"/>
  <c r="AN80" i="3"/>
  <c r="AN88" i="3"/>
  <c r="AN37" i="3"/>
  <c r="AN45" i="3"/>
  <c r="AN53" i="3"/>
  <c r="AN61" i="3"/>
  <c r="AN69" i="3"/>
  <c r="AN77" i="3"/>
  <c r="AN85" i="3"/>
  <c r="AN21" i="3"/>
  <c r="AN35" i="3"/>
  <c r="AN14" i="3"/>
  <c r="AN17" i="3"/>
  <c r="AN23" i="3"/>
  <c r="AN51" i="3"/>
  <c r="AN79" i="3"/>
  <c r="AN11" i="3"/>
  <c r="AN22" i="3"/>
  <c r="AN36" i="3"/>
  <c r="AN13" i="3"/>
  <c r="AN15" i="3"/>
  <c r="AN12" i="3"/>
  <c r="AN30" i="3"/>
  <c r="AN27" i="3"/>
  <c r="AN31" i="3"/>
  <c r="AN16" i="3"/>
  <c r="AN9" i="3"/>
  <c r="AN24" i="3"/>
  <c r="AN10" i="3"/>
  <c r="AN34" i="3"/>
  <c r="AN20" i="3"/>
  <c r="AB35" i="3"/>
  <c r="AB36" i="3"/>
  <c r="AB57" i="3"/>
  <c r="AB42" i="3"/>
  <c r="AB50" i="3"/>
  <c r="AF8" i="12" s="1"/>
  <c r="AB56" i="3"/>
  <c r="AB43" i="3"/>
  <c r="AF8" i="11" s="1"/>
  <c r="AB49" i="3"/>
  <c r="AB84" i="3"/>
  <c r="AB63" i="3"/>
  <c r="AB71" i="3"/>
  <c r="AB77" i="3"/>
  <c r="AB64" i="3"/>
  <c r="AB70" i="3"/>
  <c r="AB78" i="3"/>
  <c r="AB91" i="3"/>
  <c r="AB92" i="3"/>
  <c r="AB21" i="3"/>
  <c r="AB28" i="3"/>
  <c r="AB29" i="3"/>
  <c r="AB85" i="3"/>
  <c r="AB14" i="3"/>
  <c r="AB17" i="3"/>
  <c r="AB15" i="3"/>
  <c r="AB90" i="3"/>
  <c r="AB88" i="3"/>
  <c r="AB89" i="3"/>
  <c r="AB87" i="3"/>
  <c r="AB41" i="3"/>
  <c r="AB86" i="3"/>
  <c r="AB22" i="3"/>
  <c r="AB52" i="3"/>
  <c r="AB51" i="3"/>
  <c r="AB61" i="3"/>
  <c r="AB40" i="3"/>
  <c r="AB69" i="3"/>
  <c r="AB65" i="3"/>
  <c r="AB75" i="3"/>
  <c r="AB45" i="3"/>
  <c r="AB81" i="3"/>
  <c r="AB60" i="3"/>
  <c r="AB74" i="3"/>
  <c r="AB55" i="3"/>
  <c r="AB37" i="3"/>
  <c r="AB66" i="3"/>
  <c r="AB73" i="3"/>
  <c r="AB67" i="3"/>
  <c r="AB46" i="3"/>
  <c r="AB48" i="3"/>
  <c r="AB59" i="3"/>
  <c r="AB54" i="3"/>
  <c r="AB38" i="3"/>
  <c r="AB62" i="3"/>
  <c r="AB39" i="3"/>
  <c r="AB68" i="3"/>
  <c r="AB18" i="3"/>
  <c r="AB76" i="3"/>
  <c r="AB33" i="3"/>
  <c r="AB44" i="3"/>
  <c r="AB26" i="3"/>
  <c r="AB47" i="3"/>
  <c r="AB72" i="3"/>
  <c r="AB58" i="3"/>
  <c r="AB53" i="3"/>
  <c r="AB19" i="3"/>
  <c r="AB32" i="3"/>
  <c r="AB25" i="3"/>
  <c r="AB82" i="3"/>
  <c r="AB83" i="3"/>
  <c r="AB80" i="3"/>
  <c r="AB34" i="3"/>
  <c r="AB79" i="3"/>
  <c r="AB30" i="3"/>
  <c r="AB31" i="3"/>
  <c r="Z3" i="10" s="1"/>
  <c r="AB16" i="3"/>
  <c r="AB23" i="3"/>
  <c r="AB24" i="3"/>
  <c r="AB27" i="3"/>
  <c r="AB20" i="3"/>
  <c r="AB11" i="3"/>
  <c r="AB12" i="3"/>
  <c r="AB10" i="3"/>
  <c r="AB13" i="3"/>
  <c r="AP8" i="3" l="1"/>
  <c r="AO37" i="3"/>
  <c r="AO45" i="3"/>
  <c r="AO53" i="3"/>
  <c r="AO61" i="3"/>
  <c r="AO69" i="3"/>
  <c r="AO77" i="3"/>
  <c r="AO85" i="3"/>
  <c r="AO26" i="3"/>
  <c r="AO42" i="3"/>
  <c r="AO50" i="3"/>
  <c r="AO58" i="3"/>
  <c r="AO66" i="3"/>
  <c r="AO74" i="3"/>
  <c r="AO82" i="3"/>
  <c r="AO90" i="3"/>
  <c r="AO19" i="3"/>
  <c r="AO39" i="3"/>
  <c r="AO47" i="3"/>
  <c r="AO55" i="3"/>
  <c r="AO63" i="3"/>
  <c r="AO71" i="3"/>
  <c r="AO87" i="3"/>
  <c r="AO33" i="3"/>
  <c r="AO44" i="3"/>
  <c r="AO52" i="3"/>
  <c r="AO60" i="3"/>
  <c r="AO68" i="3"/>
  <c r="AO76" i="3"/>
  <c r="AO84" i="3"/>
  <c r="AO92" i="3"/>
  <c r="AO25" i="3"/>
  <c r="AO41" i="3"/>
  <c r="AO49" i="3"/>
  <c r="AO57" i="3"/>
  <c r="AO65" i="3"/>
  <c r="AO73" i="3"/>
  <c r="AO81" i="3"/>
  <c r="AO89" i="3"/>
  <c r="AO80" i="3"/>
  <c r="AO88" i="3"/>
  <c r="AO18" i="3"/>
  <c r="AO38" i="3"/>
  <c r="AO46" i="3"/>
  <c r="AO54" i="3"/>
  <c r="AO62" i="3"/>
  <c r="AO70" i="3"/>
  <c r="AO78" i="3"/>
  <c r="AO86" i="3"/>
  <c r="AO72" i="3"/>
  <c r="AO32" i="3"/>
  <c r="AO43" i="3"/>
  <c r="AO59" i="3"/>
  <c r="AO67" i="3"/>
  <c r="AO75" i="3"/>
  <c r="AO83" i="3"/>
  <c r="AO91" i="3"/>
  <c r="AO40" i="3"/>
  <c r="AO48" i="3"/>
  <c r="AO56" i="3"/>
  <c r="AO64" i="3"/>
  <c r="AO21" i="3"/>
  <c r="AO35" i="3"/>
  <c r="AO14" i="3"/>
  <c r="AO17" i="3"/>
  <c r="AO23" i="3"/>
  <c r="AO79" i="3"/>
  <c r="AO11" i="3"/>
  <c r="AO51" i="3"/>
  <c r="AO15" i="3"/>
  <c r="AO36" i="3"/>
  <c r="AO22" i="3"/>
  <c r="AO13" i="3"/>
  <c r="AO12" i="3"/>
  <c r="AO9" i="3"/>
  <c r="AO34" i="3"/>
  <c r="AO27" i="3"/>
  <c r="AO30" i="3"/>
  <c r="AO10" i="3"/>
  <c r="AO16" i="3"/>
  <c r="AO24" i="3"/>
  <c r="AO31" i="3"/>
  <c r="AO20" i="3"/>
  <c r="AC13" i="3"/>
  <c r="AC9" i="3"/>
  <c r="AC10" i="3"/>
  <c r="AC35" i="3"/>
  <c r="AC36" i="3"/>
  <c r="AC43" i="3"/>
  <c r="AG8" i="11" s="1"/>
  <c r="AC49" i="3"/>
  <c r="AC57" i="3"/>
  <c r="AC63" i="3"/>
  <c r="AC42" i="3"/>
  <c r="AC50" i="3"/>
  <c r="AG8" i="12" s="1"/>
  <c r="AC56" i="3"/>
  <c r="AC64" i="3"/>
  <c r="AC70" i="3"/>
  <c r="AC78" i="3"/>
  <c r="AC84" i="3"/>
  <c r="AC71" i="3"/>
  <c r="AC77" i="3"/>
  <c r="AC91" i="3"/>
  <c r="AC92" i="3"/>
  <c r="AC21" i="3"/>
  <c r="AC85" i="3"/>
  <c r="AC28" i="3"/>
  <c r="AC29" i="3"/>
  <c r="AC14" i="3"/>
  <c r="AC17" i="3"/>
  <c r="AC15" i="3"/>
  <c r="AC22" i="3"/>
  <c r="AC52" i="3"/>
  <c r="AC86" i="3"/>
  <c r="AC90" i="3"/>
  <c r="AC88" i="3"/>
  <c r="AC89" i="3"/>
  <c r="AC41" i="3"/>
  <c r="AC87" i="3"/>
  <c r="AC51" i="3"/>
  <c r="AC75" i="3"/>
  <c r="AC61" i="3"/>
  <c r="AC45" i="3"/>
  <c r="AC40" i="3"/>
  <c r="AC81" i="3"/>
  <c r="AC74" i="3"/>
  <c r="AC65" i="3"/>
  <c r="AC69" i="3"/>
  <c r="AC60" i="3"/>
  <c r="AC55" i="3"/>
  <c r="AC37" i="3"/>
  <c r="AC44" i="3"/>
  <c r="AC39" i="3"/>
  <c r="AC26" i="3"/>
  <c r="AC76" i="3"/>
  <c r="AC66" i="3"/>
  <c r="AC48" i="3"/>
  <c r="AC59" i="3"/>
  <c r="AC18" i="3"/>
  <c r="AC47" i="3"/>
  <c r="AC72" i="3"/>
  <c r="AC67" i="3"/>
  <c r="AC33" i="3"/>
  <c r="AC73" i="3"/>
  <c r="AC54" i="3"/>
  <c r="AC62" i="3"/>
  <c r="AC46" i="3"/>
  <c r="AC68" i="3"/>
  <c r="AC38" i="3"/>
  <c r="AC58" i="3"/>
  <c r="AC53" i="3"/>
  <c r="AC19" i="3"/>
  <c r="AC25" i="3"/>
  <c r="AC32" i="3"/>
  <c r="AC82" i="3"/>
  <c r="AC83" i="3"/>
  <c r="AC80" i="3"/>
  <c r="AC34" i="3"/>
  <c r="AC79" i="3"/>
  <c r="AC30" i="3"/>
  <c r="AC27" i="3"/>
  <c r="AC31" i="3"/>
  <c r="AA3" i="10" s="1"/>
  <c r="AC24" i="3"/>
  <c r="AC16" i="3"/>
  <c r="AC23" i="3"/>
  <c r="AC20" i="3"/>
  <c r="AD9" i="3"/>
  <c r="AC11" i="3"/>
  <c r="AC12" i="3"/>
  <c r="AQ8" i="3" l="1"/>
  <c r="AP37" i="3"/>
  <c r="AP45" i="3"/>
  <c r="AP53" i="3"/>
  <c r="AP61" i="3"/>
  <c r="AP69" i="3"/>
  <c r="AP77" i="3"/>
  <c r="AP85" i="3"/>
  <c r="AP26" i="3"/>
  <c r="AP42" i="3"/>
  <c r="AP50" i="3"/>
  <c r="AP58" i="3"/>
  <c r="AP66" i="3"/>
  <c r="AP74" i="3"/>
  <c r="AP82" i="3"/>
  <c r="AP90" i="3"/>
  <c r="AP76" i="3"/>
  <c r="AP33" i="3"/>
  <c r="AP19" i="3"/>
  <c r="AP39" i="3"/>
  <c r="AP47" i="3"/>
  <c r="AP55" i="3"/>
  <c r="AP63" i="3"/>
  <c r="AP71" i="3"/>
  <c r="AP87" i="3"/>
  <c r="AP60" i="3"/>
  <c r="AP84" i="3"/>
  <c r="AP52" i="3"/>
  <c r="AP25" i="3"/>
  <c r="AP41" i="3"/>
  <c r="AP49" i="3"/>
  <c r="AP57" i="3"/>
  <c r="AP65" i="3"/>
  <c r="AP73" i="3"/>
  <c r="AP81" i="3"/>
  <c r="AP89" i="3"/>
  <c r="AP18" i="3"/>
  <c r="AP38" i="3"/>
  <c r="AP46" i="3"/>
  <c r="AP54" i="3"/>
  <c r="AP62" i="3"/>
  <c r="AP70" i="3"/>
  <c r="AP78" i="3"/>
  <c r="AP86" i="3"/>
  <c r="AP32" i="3"/>
  <c r="AP43" i="3"/>
  <c r="AP59" i="3"/>
  <c r="AP67" i="3"/>
  <c r="AP75" i="3"/>
  <c r="AP83" i="3"/>
  <c r="AP91" i="3"/>
  <c r="AP92" i="3"/>
  <c r="AP40" i="3"/>
  <c r="AP48" i="3"/>
  <c r="AP56" i="3"/>
  <c r="AP64" i="3"/>
  <c r="AP72" i="3"/>
  <c r="AP80" i="3"/>
  <c r="AP88" i="3"/>
  <c r="AP44" i="3"/>
  <c r="AP68" i="3"/>
  <c r="AP21" i="3"/>
  <c r="AP35" i="3"/>
  <c r="AP14" i="3"/>
  <c r="AP17" i="3"/>
  <c r="AP23" i="3"/>
  <c r="AP79" i="3"/>
  <c r="AP36" i="3"/>
  <c r="AP11" i="3"/>
  <c r="AP15" i="3"/>
  <c r="AP51" i="3"/>
  <c r="AP22" i="3"/>
  <c r="AP13" i="3"/>
  <c r="AP12" i="3"/>
  <c r="AP9" i="3"/>
  <c r="AP27" i="3"/>
  <c r="AP16" i="3"/>
  <c r="AP20" i="3"/>
  <c r="AP31" i="3"/>
  <c r="AP34" i="3"/>
  <c r="AP24" i="3"/>
  <c r="AP10" i="3"/>
  <c r="AP30" i="3"/>
  <c r="AD35" i="3"/>
  <c r="AD36" i="3"/>
  <c r="AD56" i="3"/>
  <c r="AD43" i="3"/>
  <c r="AH8" i="11" s="1"/>
  <c r="AD49" i="3"/>
  <c r="AD57" i="3"/>
  <c r="AD42" i="3"/>
  <c r="AD50" i="3"/>
  <c r="AH8" i="12" s="1"/>
  <c r="AD64" i="3"/>
  <c r="AD70" i="3"/>
  <c r="AD78" i="3"/>
  <c r="AD63" i="3"/>
  <c r="AD84" i="3"/>
  <c r="AD71" i="3"/>
  <c r="AD77" i="3"/>
  <c r="AD92" i="3"/>
  <c r="AD91" i="3"/>
  <c r="AD28" i="3"/>
  <c r="AD85" i="3"/>
  <c r="AD21" i="3"/>
  <c r="AD29" i="3"/>
  <c r="AD14" i="3"/>
  <c r="AD17" i="3"/>
  <c r="AD15" i="3"/>
  <c r="AD22" i="3"/>
  <c r="AD87" i="3"/>
  <c r="AD86" i="3"/>
  <c r="AD90" i="3"/>
  <c r="AD52" i="3"/>
  <c r="AD88" i="3"/>
  <c r="AD51" i="3"/>
  <c r="AD89" i="3"/>
  <c r="AD41" i="3"/>
  <c r="AD60" i="3"/>
  <c r="AD55" i="3"/>
  <c r="AD61" i="3"/>
  <c r="AD81" i="3"/>
  <c r="AD65" i="3"/>
  <c r="AD45" i="3"/>
  <c r="AD40" i="3"/>
  <c r="AD74" i="3"/>
  <c r="AD75" i="3"/>
  <c r="AD69" i="3"/>
  <c r="AD39" i="3"/>
  <c r="AD68" i="3"/>
  <c r="AD54" i="3"/>
  <c r="AD67" i="3"/>
  <c r="AD58" i="3"/>
  <c r="AD53" i="3"/>
  <c r="AD46" i="3"/>
  <c r="AD37" i="3"/>
  <c r="AD26" i="3"/>
  <c r="AD18" i="3"/>
  <c r="AD72" i="3"/>
  <c r="AD66" i="3"/>
  <c r="AD44" i="3"/>
  <c r="AD59" i="3"/>
  <c r="AD76" i="3"/>
  <c r="AD33" i="3"/>
  <c r="AD48" i="3"/>
  <c r="AD73" i="3"/>
  <c r="AD47" i="3"/>
  <c r="AD38" i="3"/>
  <c r="AD62" i="3"/>
  <c r="AD19" i="3"/>
  <c r="AD83" i="3"/>
  <c r="AD25" i="3"/>
  <c r="AD82" i="3"/>
  <c r="AD32" i="3"/>
  <c r="AD80" i="3"/>
  <c r="AD34" i="3"/>
  <c r="AD23" i="3"/>
  <c r="AD27" i="3"/>
  <c r="AD30" i="3"/>
  <c r="AD24" i="3"/>
  <c r="AD16" i="3"/>
  <c r="AD79" i="3"/>
  <c r="AD31" i="3"/>
  <c r="AB3" i="10" s="1"/>
  <c r="AD20" i="3"/>
  <c r="AE9" i="3"/>
  <c r="AD11" i="3"/>
  <c r="AD12" i="3"/>
  <c r="AD13" i="3"/>
  <c r="AD10" i="3"/>
  <c r="AR8" i="3" l="1"/>
  <c r="AQ40" i="3"/>
  <c r="AQ48" i="3"/>
  <c r="AQ56" i="3"/>
  <c r="AQ64" i="3"/>
  <c r="AQ72" i="3"/>
  <c r="AQ80" i="3"/>
  <c r="AQ37" i="3"/>
  <c r="AQ45" i="3"/>
  <c r="AQ53" i="3"/>
  <c r="AQ61" i="3"/>
  <c r="AQ69" i="3"/>
  <c r="AQ77" i="3"/>
  <c r="AQ85" i="3"/>
  <c r="AQ26" i="3"/>
  <c r="AQ42" i="3"/>
  <c r="AQ50" i="3"/>
  <c r="AQ58" i="3"/>
  <c r="AQ66" i="3"/>
  <c r="AQ74" i="3"/>
  <c r="AQ82" i="3"/>
  <c r="AQ90" i="3"/>
  <c r="AQ19" i="3"/>
  <c r="AQ39" i="3"/>
  <c r="AQ47" i="3"/>
  <c r="AQ55" i="3"/>
  <c r="AQ63" i="3"/>
  <c r="AQ71" i="3"/>
  <c r="AQ87" i="3"/>
  <c r="AQ33" i="3"/>
  <c r="AQ44" i="3"/>
  <c r="AQ52" i="3"/>
  <c r="AQ60" i="3"/>
  <c r="AQ68" i="3"/>
  <c r="AQ76" i="3"/>
  <c r="AQ84" i="3"/>
  <c r="AQ92" i="3"/>
  <c r="AQ91" i="3"/>
  <c r="AQ25" i="3"/>
  <c r="AQ41" i="3"/>
  <c r="AQ49" i="3"/>
  <c r="AQ57" i="3"/>
  <c r="AQ65" i="3"/>
  <c r="AQ73" i="3"/>
  <c r="AQ81" i="3"/>
  <c r="AQ89" i="3"/>
  <c r="AQ83" i="3"/>
  <c r="AQ75" i="3"/>
  <c r="AQ18" i="3"/>
  <c r="AQ38" i="3"/>
  <c r="AQ46" i="3"/>
  <c r="AQ54" i="3"/>
  <c r="AQ62" i="3"/>
  <c r="AQ70" i="3"/>
  <c r="AQ78" i="3"/>
  <c r="AQ86" i="3"/>
  <c r="AQ67" i="3"/>
  <c r="AQ32" i="3"/>
  <c r="AQ43" i="3"/>
  <c r="AQ59" i="3"/>
  <c r="AQ88" i="3"/>
  <c r="AQ21" i="3"/>
  <c r="AQ35" i="3"/>
  <c r="AQ14" i="3"/>
  <c r="AQ17" i="3"/>
  <c r="AQ79" i="3"/>
  <c r="AQ23" i="3"/>
  <c r="AQ51" i="3"/>
  <c r="AQ11" i="3"/>
  <c r="AQ36" i="3"/>
  <c r="AQ15" i="3"/>
  <c r="AQ13" i="3"/>
  <c r="AQ22" i="3"/>
  <c r="AQ12" i="3"/>
  <c r="AQ24" i="3"/>
  <c r="AQ9" i="3"/>
  <c r="AQ31" i="3"/>
  <c r="AQ16" i="3"/>
  <c r="AQ30" i="3"/>
  <c r="AQ20" i="3"/>
  <c r="AQ34" i="3"/>
  <c r="AQ27" i="3"/>
  <c r="AQ10" i="3"/>
  <c r="AE35" i="3"/>
  <c r="AE36" i="3"/>
  <c r="AE42" i="3"/>
  <c r="AE50" i="3"/>
  <c r="AI8" i="12" s="1"/>
  <c r="AE56" i="3"/>
  <c r="AE43" i="3"/>
  <c r="AI8" i="11" s="1"/>
  <c r="AE49" i="3"/>
  <c r="AE57" i="3"/>
  <c r="AE71" i="3"/>
  <c r="AE77" i="3"/>
  <c r="AE64" i="3"/>
  <c r="AE70" i="3"/>
  <c r="AE78" i="3"/>
  <c r="AE63" i="3"/>
  <c r="AE84" i="3"/>
  <c r="AE92" i="3"/>
  <c r="AE85" i="3"/>
  <c r="AE91" i="3"/>
  <c r="AE28" i="3"/>
  <c r="AE21" i="3"/>
  <c r="AE29" i="3"/>
  <c r="AE14" i="3"/>
  <c r="AE17" i="3"/>
  <c r="AE22" i="3"/>
  <c r="AE15" i="3"/>
  <c r="AE52" i="3"/>
  <c r="AE90" i="3"/>
  <c r="AE88" i="3"/>
  <c r="AE41" i="3"/>
  <c r="AE51" i="3"/>
  <c r="AE89" i="3"/>
  <c r="AE87" i="3"/>
  <c r="AE86" i="3"/>
  <c r="AE45" i="3"/>
  <c r="AE61" i="3"/>
  <c r="AE40" i="3"/>
  <c r="AE74" i="3"/>
  <c r="AE69" i="3"/>
  <c r="AE65" i="3"/>
  <c r="AE75" i="3"/>
  <c r="AE81" i="3"/>
  <c r="AE60" i="3"/>
  <c r="AE46" i="3"/>
  <c r="AE73" i="3"/>
  <c r="AE68" i="3"/>
  <c r="AE54" i="3"/>
  <c r="AE76" i="3"/>
  <c r="AE72" i="3"/>
  <c r="AE58" i="3"/>
  <c r="AE53" i="3"/>
  <c r="AE44" i="3"/>
  <c r="AE26" i="3"/>
  <c r="AE67" i="3"/>
  <c r="AE55" i="3"/>
  <c r="AE37" i="3"/>
  <c r="AE66" i="3"/>
  <c r="AE59" i="3"/>
  <c r="AE47" i="3"/>
  <c r="AE38" i="3"/>
  <c r="AE62" i="3"/>
  <c r="AE33" i="3"/>
  <c r="AE48" i="3"/>
  <c r="AE39" i="3"/>
  <c r="AE18" i="3"/>
  <c r="AE19" i="3"/>
  <c r="AE83" i="3"/>
  <c r="AE32" i="3"/>
  <c r="AE25" i="3"/>
  <c r="AE82" i="3"/>
  <c r="AE80" i="3"/>
  <c r="AE34" i="3"/>
  <c r="AE24" i="3"/>
  <c r="AE79" i="3"/>
  <c r="AE30" i="3"/>
  <c r="AE23" i="3"/>
  <c r="AE31" i="3"/>
  <c r="AC3" i="10" s="1"/>
  <c r="AE27" i="3"/>
  <c r="AE20" i="3"/>
  <c r="AE16" i="3"/>
  <c r="AF9" i="3"/>
  <c r="AE11" i="3"/>
  <c r="AE12" i="3"/>
  <c r="AE13" i="3"/>
  <c r="AE10" i="3"/>
  <c r="AS8" i="3" l="1"/>
  <c r="AR55" i="3"/>
  <c r="AR40" i="3"/>
  <c r="AR48" i="3"/>
  <c r="AR56" i="3"/>
  <c r="AR64" i="3"/>
  <c r="AR72" i="3"/>
  <c r="AR80" i="3"/>
  <c r="AR88" i="3"/>
  <c r="AR19" i="3"/>
  <c r="AR47" i="3"/>
  <c r="AR37" i="3"/>
  <c r="AR45" i="3"/>
  <c r="AR53" i="3"/>
  <c r="AR61" i="3"/>
  <c r="AR69" i="3"/>
  <c r="AR77" i="3"/>
  <c r="AR85" i="3"/>
  <c r="AR26" i="3"/>
  <c r="AR42" i="3"/>
  <c r="AR50" i="3"/>
  <c r="AR58" i="3"/>
  <c r="AR66" i="3"/>
  <c r="AR74" i="3"/>
  <c r="AR82" i="3"/>
  <c r="AR90" i="3"/>
  <c r="AR39" i="3"/>
  <c r="AR33" i="3"/>
  <c r="AR44" i="3"/>
  <c r="AR52" i="3"/>
  <c r="AR60" i="3"/>
  <c r="AR68" i="3"/>
  <c r="AR76" i="3"/>
  <c r="AR84" i="3"/>
  <c r="AR92" i="3"/>
  <c r="AR71" i="3"/>
  <c r="AR63" i="3"/>
  <c r="AR87" i="3"/>
  <c r="AR25" i="3"/>
  <c r="AR41" i="3"/>
  <c r="AR49" i="3"/>
  <c r="AR57" i="3"/>
  <c r="AR65" i="3"/>
  <c r="AR73" i="3"/>
  <c r="AR81" i="3"/>
  <c r="AR89" i="3"/>
  <c r="AR18" i="3"/>
  <c r="AR38" i="3"/>
  <c r="AR46" i="3"/>
  <c r="AR54" i="3"/>
  <c r="AR62" i="3"/>
  <c r="AR70" i="3"/>
  <c r="AR78" i="3"/>
  <c r="AR86" i="3"/>
  <c r="AR32" i="3"/>
  <c r="AR43" i="3"/>
  <c r="AR59" i="3"/>
  <c r="AR67" i="3"/>
  <c r="AR75" i="3"/>
  <c r="AR83" i="3"/>
  <c r="AR91" i="3"/>
  <c r="AR35" i="3"/>
  <c r="AR21" i="3"/>
  <c r="AR14" i="3"/>
  <c r="AR17" i="3"/>
  <c r="AR51" i="3"/>
  <c r="AR23" i="3"/>
  <c r="AR79" i="3"/>
  <c r="AR11" i="3"/>
  <c r="AR36" i="3"/>
  <c r="AR22" i="3"/>
  <c r="AR15" i="3"/>
  <c r="AR13" i="3"/>
  <c r="AR12" i="3"/>
  <c r="AR9" i="3"/>
  <c r="AR24" i="3"/>
  <c r="AR30" i="3"/>
  <c r="AR27" i="3"/>
  <c r="AR10" i="3"/>
  <c r="AR16" i="3"/>
  <c r="AR20" i="3"/>
  <c r="AR31" i="3"/>
  <c r="AR34" i="3"/>
  <c r="AF35" i="3"/>
  <c r="AF36" i="3"/>
  <c r="AF57" i="3"/>
  <c r="AF42" i="3"/>
  <c r="AF50" i="3"/>
  <c r="AJ8" i="12" s="1"/>
  <c r="AF56" i="3"/>
  <c r="AF43" i="3"/>
  <c r="AJ8" i="11" s="1"/>
  <c r="AF49" i="3"/>
  <c r="AF63" i="3"/>
  <c r="AF71" i="3"/>
  <c r="AF77" i="3"/>
  <c r="AF64" i="3"/>
  <c r="AF70" i="3"/>
  <c r="AF78" i="3"/>
  <c r="AF91" i="3"/>
  <c r="AF92" i="3"/>
  <c r="AF84" i="3"/>
  <c r="AF21" i="3"/>
  <c r="AF28" i="3"/>
  <c r="AF29" i="3"/>
  <c r="AF85" i="3"/>
  <c r="AF14" i="3"/>
  <c r="AF17" i="3"/>
  <c r="AF22" i="3"/>
  <c r="AF15" i="3"/>
  <c r="AF52" i="3"/>
  <c r="AF41" i="3"/>
  <c r="AF90" i="3"/>
  <c r="AF88" i="3"/>
  <c r="AF89" i="3"/>
  <c r="AF87" i="3"/>
  <c r="AF86" i="3"/>
  <c r="AF74" i="3"/>
  <c r="AF51" i="3"/>
  <c r="AF61" i="3"/>
  <c r="AF40" i="3"/>
  <c r="AF69" i="3"/>
  <c r="AF45" i="3"/>
  <c r="AF65" i="3"/>
  <c r="AF75" i="3"/>
  <c r="AF81" i="3"/>
  <c r="AF60" i="3"/>
  <c r="AF55" i="3"/>
  <c r="AF46" i="3"/>
  <c r="AF39" i="3"/>
  <c r="AF73" i="3"/>
  <c r="AF68" i="3"/>
  <c r="AF72" i="3"/>
  <c r="AF58" i="3"/>
  <c r="AF33" i="3"/>
  <c r="AF48" i="3"/>
  <c r="AF26" i="3"/>
  <c r="AF47" i="3"/>
  <c r="AF67" i="3"/>
  <c r="AF53" i="3"/>
  <c r="AF37" i="3"/>
  <c r="AF66" i="3"/>
  <c r="AF44" i="3"/>
  <c r="AF59" i="3"/>
  <c r="AF54" i="3"/>
  <c r="AF38" i="3"/>
  <c r="AF62" i="3"/>
  <c r="AF18" i="3"/>
  <c r="AF76" i="3"/>
  <c r="AF19" i="3"/>
  <c r="AF32" i="3"/>
  <c r="AF25" i="3"/>
  <c r="AF82" i="3"/>
  <c r="AF83" i="3"/>
  <c r="AF80" i="3"/>
  <c r="AF34" i="3"/>
  <c r="AF31" i="3"/>
  <c r="AD3" i="10" s="1"/>
  <c r="AF79" i="3"/>
  <c r="AF30" i="3"/>
  <c r="AF16" i="3"/>
  <c r="AF23" i="3"/>
  <c r="AF27" i="3"/>
  <c r="AF20" i="3"/>
  <c r="AF24" i="3"/>
  <c r="AG9" i="3"/>
  <c r="AF11" i="3"/>
  <c r="AF12" i="3"/>
  <c r="AF13" i="3"/>
  <c r="AF10" i="3"/>
  <c r="AT8" i="3" l="1"/>
  <c r="AS32" i="3"/>
  <c r="AS43" i="3"/>
  <c r="AS59" i="3"/>
  <c r="AS67" i="3"/>
  <c r="AS75" i="3"/>
  <c r="AS83" i="3"/>
  <c r="AS40" i="3"/>
  <c r="AS48" i="3"/>
  <c r="AS56" i="3"/>
  <c r="AS64" i="3"/>
  <c r="AS72" i="3"/>
  <c r="AS80" i="3"/>
  <c r="AS88" i="3"/>
  <c r="AS37" i="3"/>
  <c r="AS45" i="3"/>
  <c r="AS53" i="3"/>
  <c r="AS61" i="3"/>
  <c r="AS69" i="3"/>
  <c r="AS77" i="3"/>
  <c r="AS85" i="3"/>
  <c r="AS26" i="3"/>
  <c r="AS42" i="3"/>
  <c r="AS50" i="3"/>
  <c r="AS58" i="3"/>
  <c r="AS66" i="3"/>
  <c r="AS74" i="3"/>
  <c r="AS82" i="3"/>
  <c r="AS90" i="3"/>
  <c r="AS19" i="3"/>
  <c r="AS39" i="3"/>
  <c r="AS47" i="3"/>
  <c r="AS55" i="3"/>
  <c r="AS63" i="3"/>
  <c r="AS71" i="3"/>
  <c r="AS87" i="3"/>
  <c r="AS70" i="3"/>
  <c r="AS33" i="3"/>
  <c r="AS44" i="3"/>
  <c r="AS52" i="3"/>
  <c r="AS60" i="3"/>
  <c r="AS68" i="3"/>
  <c r="AS76" i="3"/>
  <c r="AS84" i="3"/>
  <c r="AS92" i="3"/>
  <c r="AS25" i="3"/>
  <c r="AS41" i="3"/>
  <c r="AS49" i="3"/>
  <c r="AS57" i="3"/>
  <c r="AS65" i="3"/>
  <c r="AS73" i="3"/>
  <c r="AS81" i="3"/>
  <c r="AS89" i="3"/>
  <c r="AS18" i="3"/>
  <c r="AS38" i="3"/>
  <c r="AS46" i="3"/>
  <c r="AS54" i="3"/>
  <c r="AS62" i="3"/>
  <c r="AS78" i="3"/>
  <c r="AS86" i="3"/>
  <c r="AS91" i="3"/>
  <c r="AS21" i="3"/>
  <c r="AS35" i="3"/>
  <c r="AS14" i="3"/>
  <c r="AS17" i="3"/>
  <c r="AS51" i="3"/>
  <c r="AS23" i="3"/>
  <c r="AS79" i="3"/>
  <c r="AS11" i="3"/>
  <c r="AS22" i="3"/>
  <c r="AS15" i="3"/>
  <c r="AS13" i="3"/>
  <c r="AS36" i="3"/>
  <c r="AS12" i="3"/>
  <c r="AS16" i="3"/>
  <c r="AS24" i="3"/>
  <c r="AS30" i="3"/>
  <c r="AS34" i="3"/>
  <c r="AS9" i="3"/>
  <c r="AS31" i="3"/>
  <c r="AS27" i="3"/>
  <c r="AS10" i="3"/>
  <c r="AS20" i="3"/>
  <c r="AG35" i="3"/>
  <c r="AG36" i="3"/>
  <c r="AG43" i="3"/>
  <c r="AK8" i="11" s="1"/>
  <c r="AG49" i="3"/>
  <c r="AG57" i="3"/>
  <c r="AG63" i="3"/>
  <c r="AG42" i="3"/>
  <c r="AG50" i="3"/>
  <c r="AK8" i="12" s="1"/>
  <c r="AG56" i="3"/>
  <c r="AG64" i="3"/>
  <c r="AG70" i="3"/>
  <c r="AG78" i="3"/>
  <c r="AG84" i="3"/>
  <c r="AG71" i="3"/>
  <c r="AG77" i="3"/>
  <c r="AG91" i="3"/>
  <c r="AG92" i="3"/>
  <c r="AG21" i="3"/>
  <c r="AG29" i="3"/>
  <c r="AG85" i="3"/>
  <c r="AG28" i="3"/>
  <c r="AG14" i="3"/>
  <c r="AG17" i="3"/>
  <c r="AG22" i="3"/>
  <c r="AG15" i="3"/>
  <c r="AG52" i="3"/>
  <c r="AG90" i="3"/>
  <c r="AG88" i="3"/>
  <c r="AG87" i="3"/>
  <c r="AG89" i="3"/>
  <c r="AG86" i="3"/>
  <c r="AG41" i="3"/>
  <c r="AG51" i="3"/>
  <c r="AG60" i="3"/>
  <c r="AG61" i="3"/>
  <c r="AG45" i="3"/>
  <c r="AG75" i="3"/>
  <c r="AG40" i="3"/>
  <c r="AG81" i="3"/>
  <c r="AG74" i="3"/>
  <c r="AG69" i="3"/>
  <c r="AG65" i="3"/>
  <c r="AG55" i="3"/>
  <c r="AG46" i="3"/>
  <c r="AG68" i="3"/>
  <c r="AG18" i="3"/>
  <c r="AG58" i="3"/>
  <c r="AG37" i="3"/>
  <c r="AG48" i="3"/>
  <c r="AG44" i="3"/>
  <c r="AG39" i="3"/>
  <c r="AG26" i="3"/>
  <c r="AG76" i="3"/>
  <c r="AG66" i="3"/>
  <c r="AG59" i="3"/>
  <c r="AG47" i="3"/>
  <c r="AG72" i="3"/>
  <c r="AG67" i="3"/>
  <c r="AG33" i="3"/>
  <c r="AG73" i="3"/>
  <c r="AG54" i="3"/>
  <c r="AG38" i="3"/>
  <c r="AG62" i="3"/>
  <c r="AG53" i="3"/>
  <c r="AG19" i="3"/>
  <c r="AG83" i="3"/>
  <c r="AG80" i="3"/>
  <c r="AG25" i="3"/>
  <c r="AG32" i="3"/>
  <c r="AG82" i="3"/>
  <c r="AG24" i="3"/>
  <c r="AG34" i="3"/>
  <c r="AG27" i="3"/>
  <c r="AG30" i="3"/>
  <c r="AG31" i="3"/>
  <c r="AE3" i="10" s="1"/>
  <c r="AG79" i="3"/>
  <c r="AG23" i="3"/>
  <c r="AG20" i="3"/>
  <c r="AG16" i="3"/>
  <c r="AH9" i="3"/>
  <c r="AG11" i="3"/>
  <c r="AG12" i="3"/>
  <c r="AG10" i="3"/>
  <c r="AG13" i="3"/>
  <c r="AT32" i="3" l="1"/>
  <c r="AT43" i="3"/>
  <c r="AT59" i="3"/>
  <c r="AT67" i="3"/>
  <c r="AT75" i="3"/>
  <c r="AT83" i="3"/>
  <c r="AT91" i="3"/>
  <c r="AT26" i="3"/>
  <c r="AT42" i="3"/>
  <c r="AT74" i="3"/>
  <c r="AT40" i="3"/>
  <c r="AT48" i="3"/>
  <c r="AT56" i="3"/>
  <c r="AT64" i="3"/>
  <c r="AT72" i="3"/>
  <c r="AT80" i="3"/>
  <c r="AT88" i="3"/>
  <c r="AT58" i="3"/>
  <c r="AT37" i="3"/>
  <c r="AT45" i="3"/>
  <c r="AT53" i="3"/>
  <c r="AT61" i="3"/>
  <c r="AT69" i="3"/>
  <c r="AT77" i="3"/>
  <c r="AT85" i="3"/>
  <c r="AT50" i="3"/>
  <c r="AT82" i="3"/>
  <c r="AT19" i="3"/>
  <c r="AT39" i="3"/>
  <c r="AT47" i="3"/>
  <c r="AT55" i="3"/>
  <c r="AT63" i="3"/>
  <c r="AT71" i="3"/>
  <c r="AT87" i="3"/>
  <c r="AT33" i="3"/>
  <c r="AT44" i="3"/>
  <c r="AT52" i="3"/>
  <c r="AT60" i="3"/>
  <c r="AT68" i="3"/>
  <c r="AT76" i="3"/>
  <c r="AT84" i="3"/>
  <c r="AT92" i="3"/>
  <c r="AU8" i="3"/>
  <c r="AT25" i="3"/>
  <c r="AT41" i="3"/>
  <c r="AT49" i="3"/>
  <c r="AT57" i="3"/>
  <c r="AT65" i="3"/>
  <c r="AT73" i="3"/>
  <c r="AT81" i="3"/>
  <c r="AT89" i="3"/>
  <c r="AT66" i="3"/>
  <c r="AT90" i="3"/>
  <c r="AT18" i="3"/>
  <c r="AT38" i="3"/>
  <c r="AT46" i="3"/>
  <c r="AT54" i="3"/>
  <c r="AT62" i="3"/>
  <c r="AT70" i="3"/>
  <c r="AT78" i="3"/>
  <c r="AT86" i="3"/>
  <c r="AT35" i="3"/>
  <c r="AT21" i="3"/>
  <c r="AT14" i="3"/>
  <c r="AT17" i="3"/>
  <c r="AT51" i="3"/>
  <c r="AT79" i="3"/>
  <c r="AT23" i="3"/>
  <c r="AT11" i="3"/>
  <c r="AT22" i="3"/>
  <c r="AT15" i="3"/>
  <c r="AT36" i="3"/>
  <c r="AT13" i="3"/>
  <c r="AT12" i="3"/>
  <c r="AT34" i="3"/>
  <c r="AT24" i="3"/>
  <c r="AT16" i="3"/>
  <c r="AT30" i="3"/>
  <c r="AT27" i="3"/>
  <c r="AT31" i="3"/>
  <c r="AT9" i="3"/>
  <c r="AT10" i="3"/>
  <c r="AT20" i="3"/>
  <c r="AH35" i="3"/>
  <c r="AH36" i="3"/>
  <c r="AH56" i="3"/>
  <c r="AH43" i="3"/>
  <c r="AL8" i="11" s="1"/>
  <c r="AH49" i="3"/>
  <c r="AH57" i="3"/>
  <c r="AH42" i="3"/>
  <c r="AH50" i="3"/>
  <c r="AL8" i="12" s="1"/>
  <c r="AH63" i="3"/>
  <c r="AH64" i="3"/>
  <c r="AH70" i="3"/>
  <c r="AH78" i="3"/>
  <c r="AH84" i="3"/>
  <c r="AH71" i="3"/>
  <c r="AH77" i="3"/>
  <c r="AH92" i="3"/>
  <c r="AH91" i="3"/>
  <c r="AH21" i="3"/>
  <c r="AH85" i="3"/>
  <c r="AH28" i="3"/>
  <c r="AH29" i="3"/>
  <c r="AH14" i="3"/>
  <c r="AH17" i="3"/>
  <c r="AH22" i="3"/>
  <c r="AH89" i="3"/>
  <c r="AH87" i="3"/>
  <c r="AH86" i="3"/>
  <c r="AH41" i="3"/>
  <c r="AH90" i="3"/>
  <c r="AH52" i="3"/>
  <c r="AH88" i="3"/>
  <c r="AH15" i="3"/>
  <c r="AH75" i="3"/>
  <c r="AH40" i="3"/>
  <c r="AH69" i="3"/>
  <c r="AH45" i="3"/>
  <c r="AH60" i="3"/>
  <c r="AH61" i="3"/>
  <c r="AH81" i="3"/>
  <c r="AH51" i="3"/>
  <c r="AH74" i="3"/>
  <c r="AH65" i="3"/>
  <c r="AH33" i="3"/>
  <c r="AH48" i="3"/>
  <c r="AH73" i="3"/>
  <c r="AH47" i="3"/>
  <c r="AH38" i="3"/>
  <c r="AH62" i="3"/>
  <c r="AH39" i="3"/>
  <c r="AH68" i="3"/>
  <c r="AH54" i="3"/>
  <c r="AH58" i="3"/>
  <c r="AH53" i="3"/>
  <c r="AH46" i="3"/>
  <c r="AH37" i="3"/>
  <c r="AH26" i="3"/>
  <c r="AH18" i="3"/>
  <c r="AH72" i="3"/>
  <c r="AH67" i="3"/>
  <c r="AH55" i="3"/>
  <c r="AH66" i="3"/>
  <c r="AH44" i="3"/>
  <c r="AH59" i="3"/>
  <c r="AH76" i="3"/>
  <c r="AH19" i="3"/>
  <c r="AH80" i="3"/>
  <c r="AH83" i="3"/>
  <c r="AH25" i="3"/>
  <c r="AH82" i="3"/>
  <c r="AH32" i="3"/>
  <c r="AH34" i="3"/>
  <c r="AH79" i="3"/>
  <c r="AH27" i="3"/>
  <c r="AH23" i="3"/>
  <c r="AH31" i="3"/>
  <c r="AF3" i="10" s="1"/>
  <c r="AH20" i="3"/>
  <c r="AH30" i="3"/>
  <c r="AH24" i="3"/>
  <c r="AH16" i="3"/>
  <c r="AI9" i="3"/>
  <c r="AH11" i="3"/>
  <c r="AH12" i="3"/>
  <c r="AH13" i="3"/>
  <c r="AH10" i="3"/>
  <c r="AU18" i="3" l="1"/>
  <c r="AU38" i="3"/>
  <c r="AU46" i="3"/>
  <c r="AU54" i="3"/>
  <c r="AU62" i="3"/>
  <c r="AU70" i="3"/>
  <c r="AU78" i="3"/>
  <c r="AU86" i="3"/>
  <c r="AU32" i="3"/>
  <c r="AU43" i="3"/>
  <c r="AU59" i="3"/>
  <c r="AU67" i="3"/>
  <c r="AU75" i="3"/>
  <c r="AU83" i="3"/>
  <c r="AU91" i="3"/>
  <c r="AU40" i="3"/>
  <c r="AU48" i="3"/>
  <c r="AU56" i="3"/>
  <c r="AU64" i="3"/>
  <c r="AU72" i="3"/>
  <c r="AU80" i="3"/>
  <c r="AU88" i="3"/>
  <c r="AU37" i="3"/>
  <c r="AU45" i="3"/>
  <c r="AU53" i="3"/>
  <c r="AU61" i="3"/>
  <c r="AU69" i="3"/>
  <c r="AU77" i="3"/>
  <c r="AU85" i="3"/>
  <c r="AU26" i="3"/>
  <c r="AU42" i="3"/>
  <c r="AU50" i="3"/>
  <c r="AU58" i="3"/>
  <c r="AU66" i="3"/>
  <c r="AU74" i="3"/>
  <c r="AU82" i="3"/>
  <c r="AU90" i="3"/>
  <c r="AU73" i="3"/>
  <c r="AU19" i="3"/>
  <c r="AU39" i="3"/>
  <c r="AU47" i="3"/>
  <c r="AU55" i="3"/>
  <c r="AU63" i="3"/>
  <c r="AU71" i="3"/>
  <c r="AU87" i="3"/>
  <c r="AU92" i="3"/>
  <c r="AU89" i="3"/>
  <c r="AU33" i="3"/>
  <c r="AU44" i="3"/>
  <c r="AU52" i="3"/>
  <c r="AU60" i="3"/>
  <c r="AU68" i="3"/>
  <c r="AU76" i="3"/>
  <c r="AU84" i="3"/>
  <c r="AU81" i="3"/>
  <c r="AU65" i="3"/>
  <c r="AU25" i="3"/>
  <c r="AU41" i="3"/>
  <c r="AU49" i="3"/>
  <c r="AU57" i="3"/>
  <c r="AV8" i="3"/>
  <c r="AU21" i="3"/>
  <c r="AU35" i="3"/>
  <c r="AU14" i="3"/>
  <c r="AU17" i="3"/>
  <c r="AU23" i="3"/>
  <c r="AU79" i="3"/>
  <c r="AU15" i="3"/>
  <c r="AU22" i="3"/>
  <c r="AU11" i="3"/>
  <c r="AU51" i="3"/>
  <c r="AU36" i="3"/>
  <c r="AU13" i="3"/>
  <c r="AU12" i="3"/>
  <c r="AU31" i="3"/>
  <c r="AU34" i="3"/>
  <c r="AU9" i="3"/>
  <c r="AU30" i="3"/>
  <c r="AU24" i="3"/>
  <c r="AU16" i="3"/>
  <c r="AU27" i="3"/>
  <c r="AU10" i="3"/>
  <c r="AU20" i="3"/>
  <c r="AI35" i="3"/>
  <c r="AI36" i="3"/>
  <c r="AI42" i="3"/>
  <c r="AI50" i="3"/>
  <c r="AM8" i="12" s="1"/>
  <c r="AI56" i="3"/>
  <c r="AI43" i="3"/>
  <c r="AM8" i="11" s="1"/>
  <c r="AI49" i="3"/>
  <c r="AI57" i="3"/>
  <c r="AI71" i="3"/>
  <c r="AI77" i="3"/>
  <c r="AI85" i="3"/>
  <c r="AI63" i="3"/>
  <c r="AI64" i="3"/>
  <c r="AI70" i="3"/>
  <c r="AI78" i="3"/>
  <c r="AI84" i="3"/>
  <c r="AI92" i="3"/>
  <c r="AI91" i="3"/>
  <c r="AI29" i="3"/>
  <c r="AI28" i="3"/>
  <c r="AI21" i="3"/>
  <c r="AI14" i="3"/>
  <c r="AI17" i="3"/>
  <c r="AI15" i="3"/>
  <c r="AI22" i="3"/>
  <c r="AI89" i="3"/>
  <c r="AI52" i="3"/>
  <c r="AI87" i="3"/>
  <c r="AI86" i="3"/>
  <c r="AI90" i="3"/>
  <c r="AI88" i="3"/>
  <c r="AI41" i="3"/>
  <c r="AI75" i="3"/>
  <c r="AI60" i="3"/>
  <c r="AI45" i="3"/>
  <c r="AI81" i="3"/>
  <c r="AI61" i="3"/>
  <c r="AI40" i="3"/>
  <c r="AI74" i="3"/>
  <c r="AI69" i="3"/>
  <c r="AI51" i="3"/>
  <c r="AI65" i="3"/>
  <c r="AI33" i="3"/>
  <c r="AI48" i="3"/>
  <c r="AI39" i="3"/>
  <c r="AI46" i="3"/>
  <c r="AI73" i="3"/>
  <c r="AI68" i="3"/>
  <c r="AI54" i="3"/>
  <c r="AI18" i="3"/>
  <c r="AI76" i="3"/>
  <c r="AI72" i="3"/>
  <c r="AI58" i="3"/>
  <c r="AI53" i="3"/>
  <c r="AI44" i="3"/>
  <c r="AI26" i="3"/>
  <c r="AI67" i="3"/>
  <c r="AI55" i="3"/>
  <c r="AI37" i="3"/>
  <c r="AI66" i="3"/>
  <c r="AI59" i="3"/>
  <c r="AI47" i="3"/>
  <c r="AI38" i="3"/>
  <c r="AI62" i="3"/>
  <c r="AI19" i="3"/>
  <c r="AI80" i="3"/>
  <c r="AI83" i="3"/>
  <c r="AI32" i="3"/>
  <c r="AI25" i="3"/>
  <c r="AI82" i="3"/>
  <c r="AI34" i="3"/>
  <c r="AI30" i="3"/>
  <c r="AI31" i="3"/>
  <c r="AI27" i="3"/>
  <c r="AI23" i="3"/>
  <c r="AI20" i="3"/>
  <c r="AI24" i="3"/>
  <c r="AI79" i="3"/>
  <c r="AI16" i="3"/>
  <c r="AJ9" i="3"/>
  <c r="AI11" i="3"/>
  <c r="AI12" i="3"/>
  <c r="AI10" i="3"/>
  <c r="AI13" i="3"/>
  <c r="AV18" i="3" l="1"/>
  <c r="AV38" i="3"/>
  <c r="AV46" i="3"/>
  <c r="AV54" i="3"/>
  <c r="AV62" i="3"/>
  <c r="AV70" i="3"/>
  <c r="AV78" i="3"/>
  <c r="AV86" i="3"/>
  <c r="AV53" i="3"/>
  <c r="AV61" i="3"/>
  <c r="AV85" i="3"/>
  <c r="AV32" i="3"/>
  <c r="AV43" i="3"/>
  <c r="AV59" i="3"/>
  <c r="AV67" i="3"/>
  <c r="AV75" i="3"/>
  <c r="AV83" i="3"/>
  <c r="AV91" i="3"/>
  <c r="AV45" i="3"/>
  <c r="AV40" i="3"/>
  <c r="AV48" i="3"/>
  <c r="AV56" i="3"/>
  <c r="AV64" i="3"/>
  <c r="AV72" i="3"/>
  <c r="AV80" i="3"/>
  <c r="AV88" i="3"/>
  <c r="AV37" i="3"/>
  <c r="AV26" i="3"/>
  <c r="AV42" i="3"/>
  <c r="AV50" i="3"/>
  <c r="AV58" i="3"/>
  <c r="AV66" i="3"/>
  <c r="AV74" i="3"/>
  <c r="AV82" i="3"/>
  <c r="AV90" i="3"/>
  <c r="AV19" i="3"/>
  <c r="AV39" i="3"/>
  <c r="AV47" i="3"/>
  <c r="AV55" i="3"/>
  <c r="AV63" i="3"/>
  <c r="AV71" i="3"/>
  <c r="AV87" i="3"/>
  <c r="AV77" i="3"/>
  <c r="AV33" i="3"/>
  <c r="AV44" i="3"/>
  <c r="AV52" i="3"/>
  <c r="AV60" i="3"/>
  <c r="AV68" i="3"/>
  <c r="AV76" i="3"/>
  <c r="AV84" i="3"/>
  <c r="AV92" i="3"/>
  <c r="AV69" i="3"/>
  <c r="AV25" i="3"/>
  <c r="AV41" i="3"/>
  <c r="AV49" i="3"/>
  <c r="AV57" i="3"/>
  <c r="AV65" i="3"/>
  <c r="AV73" i="3"/>
  <c r="AV81" i="3"/>
  <c r="AV89" i="3"/>
  <c r="AV21" i="3"/>
  <c r="AV35" i="3"/>
  <c r="AV14" i="3"/>
  <c r="AV17" i="3"/>
  <c r="AV79" i="3"/>
  <c r="AV51" i="3"/>
  <c r="AV15" i="3"/>
  <c r="AV11" i="3"/>
  <c r="AV36" i="3"/>
  <c r="AV23" i="3"/>
  <c r="AV22" i="3"/>
  <c r="AV13" i="3"/>
  <c r="AV12" i="3"/>
  <c r="AV30" i="3"/>
  <c r="AV24" i="3"/>
  <c r="AV9" i="3"/>
  <c r="AV16" i="3"/>
  <c r="AV27" i="3"/>
  <c r="AV20" i="3"/>
  <c r="AV10" i="3"/>
  <c r="AV34" i="3"/>
  <c r="AV31" i="3"/>
  <c r="AJ35" i="3"/>
  <c r="AJ36" i="3"/>
  <c r="AJ57" i="3"/>
  <c r="AJ42" i="3"/>
  <c r="AJ50" i="3"/>
  <c r="AN8" i="12" s="1"/>
  <c r="AJ56" i="3"/>
  <c r="AJ43" i="3"/>
  <c r="AN8" i="11" s="1"/>
  <c r="AJ49" i="3"/>
  <c r="AJ71" i="3"/>
  <c r="AJ77" i="3"/>
  <c r="AJ63" i="3"/>
  <c r="AJ64" i="3"/>
  <c r="AJ70" i="3"/>
  <c r="AJ78" i="3"/>
  <c r="AJ84" i="3"/>
  <c r="AJ91" i="3"/>
  <c r="AJ92" i="3"/>
  <c r="AJ21" i="3"/>
  <c r="AJ29" i="3"/>
  <c r="AJ85" i="3"/>
  <c r="AJ28" i="3"/>
  <c r="AJ14" i="3"/>
  <c r="AJ17" i="3"/>
  <c r="AJ22" i="3"/>
  <c r="AJ15" i="3"/>
  <c r="AJ86" i="3"/>
  <c r="AJ52" i="3"/>
  <c r="AJ90" i="3"/>
  <c r="AJ88" i="3"/>
  <c r="AJ89" i="3"/>
  <c r="AJ87" i="3"/>
  <c r="AJ41" i="3"/>
  <c r="AJ75" i="3"/>
  <c r="AJ81" i="3"/>
  <c r="AJ60" i="3"/>
  <c r="AJ51" i="3"/>
  <c r="AJ74" i="3"/>
  <c r="AJ61" i="3"/>
  <c r="AJ40" i="3"/>
  <c r="AJ69" i="3"/>
  <c r="AJ45" i="3"/>
  <c r="AJ65" i="3"/>
  <c r="AJ66" i="3"/>
  <c r="AJ44" i="3"/>
  <c r="AJ18" i="3"/>
  <c r="AJ76" i="3"/>
  <c r="AJ55" i="3"/>
  <c r="AJ37" i="3"/>
  <c r="AJ73" i="3"/>
  <c r="AJ72" i="3"/>
  <c r="AJ58" i="3"/>
  <c r="AJ46" i="3"/>
  <c r="AJ48" i="3"/>
  <c r="AJ39" i="3"/>
  <c r="AJ68" i="3"/>
  <c r="AJ67" i="3"/>
  <c r="AJ33" i="3"/>
  <c r="AJ59" i="3"/>
  <c r="AJ54" i="3"/>
  <c r="AJ26" i="3"/>
  <c r="AJ47" i="3"/>
  <c r="AJ38" i="3"/>
  <c r="AJ62" i="3"/>
  <c r="AJ53" i="3"/>
  <c r="AJ19" i="3"/>
  <c r="AJ83" i="3"/>
  <c r="AJ80" i="3"/>
  <c r="AJ32" i="3"/>
  <c r="AJ25" i="3"/>
  <c r="AJ82" i="3"/>
  <c r="AJ34" i="3"/>
  <c r="AJ27" i="3"/>
  <c r="AJ30" i="3"/>
  <c r="AJ31" i="3"/>
  <c r="AJ79" i="3"/>
  <c r="AJ23" i="3"/>
  <c r="AJ24" i="3"/>
  <c r="AJ16" i="3"/>
  <c r="AJ20" i="3"/>
  <c r="AK9" i="3"/>
  <c r="AJ11" i="3"/>
  <c r="AJ12" i="3"/>
  <c r="AJ13" i="3"/>
  <c r="AJ10" i="3"/>
  <c r="AK35" i="3" l="1"/>
  <c r="AK36" i="3"/>
  <c r="AK43" i="3"/>
  <c r="AO8" i="11" s="1"/>
  <c r="AK49" i="3"/>
  <c r="AK57" i="3"/>
  <c r="AK63" i="3"/>
  <c r="AK28" i="3"/>
  <c r="AK42" i="3"/>
  <c r="AK50" i="3"/>
  <c r="AO8" i="12" s="1"/>
  <c r="AK56" i="3"/>
  <c r="AK64" i="3"/>
  <c r="AK70" i="3"/>
  <c r="AK78" i="3"/>
  <c r="AK84" i="3"/>
  <c r="AK71" i="3"/>
  <c r="AK77" i="3"/>
  <c r="AK91" i="3"/>
  <c r="AK92" i="3"/>
  <c r="AK29" i="3"/>
  <c r="AK21" i="3"/>
  <c r="AK85" i="3"/>
  <c r="AK14" i="3"/>
  <c r="AK17" i="3"/>
  <c r="AK15" i="3"/>
  <c r="AK22" i="3"/>
  <c r="AK89" i="3"/>
  <c r="AK87" i="3"/>
  <c r="AK41" i="3"/>
  <c r="AK52" i="3"/>
  <c r="AK90" i="3"/>
  <c r="AK88" i="3"/>
  <c r="AK86" i="3"/>
  <c r="AK81" i="3"/>
  <c r="AK74" i="3"/>
  <c r="AK69" i="3"/>
  <c r="AK65" i="3"/>
  <c r="AK51" i="3"/>
  <c r="AK75" i="3"/>
  <c r="AK60" i="3"/>
  <c r="AK61" i="3"/>
  <c r="AK45" i="3"/>
  <c r="AK40" i="3"/>
  <c r="AK33" i="3"/>
  <c r="AK73" i="3"/>
  <c r="AK54" i="3"/>
  <c r="AK38" i="3"/>
  <c r="AK62" i="3"/>
  <c r="AK55" i="3"/>
  <c r="AK46" i="3"/>
  <c r="AK68" i="3"/>
  <c r="AK58" i="3"/>
  <c r="AK37" i="3"/>
  <c r="AK48" i="3"/>
  <c r="AK44" i="3"/>
  <c r="AK39" i="3"/>
  <c r="AK26" i="3"/>
  <c r="AK18" i="3"/>
  <c r="AK47" i="3"/>
  <c r="AK76" i="3"/>
  <c r="AK72" i="3"/>
  <c r="AK66" i="3"/>
  <c r="AK59" i="3"/>
  <c r="AK67" i="3"/>
  <c r="AK53" i="3"/>
  <c r="AK19" i="3"/>
  <c r="AK83" i="3"/>
  <c r="AK80" i="3"/>
  <c r="AK25" i="3"/>
  <c r="AK32" i="3"/>
  <c r="AK82" i="3"/>
  <c r="AK30" i="3"/>
  <c r="AK34" i="3"/>
  <c r="AK27" i="3"/>
  <c r="AK24" i="3"/>
  <c r="AK79" i="3"/>
  <c r="AK16" i="3"/>
  <c r="AK20" i="3"/>
  <c r="AK23" i="3"/>
  <c r="AK31" i="3"/>
  <c r="AL9" i="3"/>
  <c r="AK11" i="3"/>
  <c r="AK12" i="3"/>
  <c r="AK13" i="3"/>
  <c r="AK10" i="3"/>
  <c r="AL35" i="3" l="1"/>
  <c r="AL36" i="3"/>
  <c r="AL56" i="3"/>
  <c r="AL43" i="3"/>
  <c r="AP8" i="11" s="1"/>
  <c r="AL49" i="3"/>
  <c r="AL57" i="3"/>
  <c r="AL42" i="3"/>
  <c r="AL50" i="3"/>
  <c r="AP8" i="12" s="1"/>
  <c r="AL63" i="3"/>
  <c r="AL64" i="3"/>
  <c r="AL70" i="3"/>
  <c r="AL78" i="3"/>
  <c r="AL71" i="3"/>
  <c r="AL77" i="3"/>
  <c r="AL92" i="3"/>
  <c r="AL84" i="3"/>
  <c r="AL91" i="3"/>
  <c r="AL28" i="3"/>
  <c r="AL21" i="3"/>
  <c r="AL29" i="3"/>
  <c r="AL85" i="3"/>
  <c r="AL14" i="3"/>
  <c r="AL17" i="3"/>
  <c r="AL15" i="3"/>
  <c r="AL22" i="3"/>
  <c r="AL89" i="3"/>
  <c r="AL86" i="3"/>
  <c r="AL41" i="3"/>
  <c r="AL90" i="3"/>
  <c r="AL52" i="3"/>
  <c r="AL88" i="3"/>
  <c r="AL87" i="3"/>
  <c r="AL51" i="3"/>
  <c r="AL74" i="3"/>
  <c r="AL69" i="3"/>
  <c r="AL75" i="3"/>
  <c r="AL65" i="3"/>
  <c r="AL40" i="3"/>
  <c r="AL61" i="3"/>
  <c r="AL45" i="3"/>
  <c r="AL81" i="3"/>
  <c r="AL55" i="3"/>
  <c r="AL66" i="3"/>
  <c r="AL59" i="3"/>
  <c r="AL38" i="3"/>
  <c r="AL76" i="3"/>
  <c r="AL67" i="3"/>
  <c r="AL33" i="3"/>
  <c r="AL48" i="3"/>
  <c r="AL73" i="3"/>
  <c r="AL54" i="3"/>
  <c r="AL47" i="3"/>
  <c r="AL62" i="3"/>
  <c r="AL60" i="3"/>
  <c r="AL46" i="3"/>
  <c r="AL39" i="3"/>
  <c r="AL68" i="3"/>
  <c r="AL72" i="3"/>
  <c r="AL58" i="3"/>
  <c r="AL37" i="3"/>
  <c r="AL44" i="3"/>
  <c r="AL26" i="3"/>
  <c r="AL18" i="3"/>
  <c r="AL53" i="3"/>
  <c r="AL19" i="3"/>
  <c r="AL80" i="3"/>
  <c r="AL32" i="3"/>
  <c r="AL83" i="3"/>
  <c r="AL25" i="3"/>
  <c r="AL82" i="3"/>
  <c r="AL34" i="3"/>
  <c r="AL23" i="3"/>
  <c r="AL31" i="3"/>
  <c r="AL79" i="3"/>
  <c r="AL24" i="3"/>
  <c r="AL27" i="3"/>
  <c r="AL30" i="3"/>
  <c r="AL20" i="3"/>
  <c r="AL16" i="3"/>
  <c r="AL11" i="3"/>
  <c r="AL12" i="3"/>
  <c r="AL13" i="3"/>
  <c r="AL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<sst xmlns="http://schemas.openxmlformats.org/spreadsheetml/2006/main" count="2464" uniqueCount="1063">
  <si>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</si>
  <si>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</si>
  <si>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</si>
  <si>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</si>
  <si>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</si>
  <si>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</si>
  <si>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</si>
  <si>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</si>
  <si>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</si>
  <si>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</si>
  <si>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</si>
  <si>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</si>
  <si>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</si>
  <si>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</si>
  <si>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</si>
  <si>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</si>
  <si>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</si>
  <si>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</si>
  <si>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</si>
  <si>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</si>
  <si>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</si>
  <si>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</si>
  <si>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</si>
  <si>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</si>
  <si>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</si>
  <si>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</si>
  <si>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</si>
  <si>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</si>
  <si>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</si>
  <si>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</si>
  <si>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</si>
  <si>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</si>
  <si>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</si>
  <si>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</si>
  <si>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</si>
  <si>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</si>
  <si>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</si>
  <si>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</si>
  <si>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</si>
  <si>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</si>
  <si>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</si>
  <si>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</si>
  <si>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</si>
  <si>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</si>
  <si>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</si>
  <si>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</si>
  <si>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</si>
  <si>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</si>
  <si>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</si>
  <si>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</si>
  <si>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</si>
  <si>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</si>
  <si>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</si>
  <si>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</si>
  <si>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</si>
  <si>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</si>
  <si>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</si>
  <si>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</si>
  <si>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</si>
  <si>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</si>
  <si>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</si>
  <si>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</si>
  <si>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</si>
  <si>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</si>
  <si>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</si>
  <si>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</si>
  <si>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</si>
  <si>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</si>
  <si>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</si>
  <si>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</si>
  <si>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</si>
  <si>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</si>
  <si>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</si>
  <si>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</si>
  <si>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</si>
  <si>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</si>
  <si>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</si>
  <si>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</si>
  <si>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LDVs (battery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</si>
  <si>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</si>
  <si>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</si>
  <si>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</si>
  <si>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</si>
  <si>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</si>
  <si>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</si>
  <si>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</si>
  <si>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</si>
  <si>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</si>
  <si>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</si>
  <si>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</si>
  <si>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</si>
  <si>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</si>
  <si>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</si>
  <si>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</si>
  <si>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</si>
  <si>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</si>
  <si>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</si>
  <si>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</si>
  <si>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</si>
  <si>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</si>
  <si>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</si>
  <si>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</si>
  <si>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</si>
  <si>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</si>
  <si>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</si>
  <si>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</si>
  <si>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</si>
  <si>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</si>
  <si>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</si>
  <si>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</si>
  <si>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</si>
  <si>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</si>
  <si>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</si>
  <si>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</si>
  <si>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</si>
  <si>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</si>
  <si>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</si>
  <si>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</si>
  <si>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</si>
  <si>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</si>
  <si>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</si>
  <si>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</si>
  <si>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</si>
  <si>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</si>
  <si>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</si>
  <si>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</si>
  <si>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</si>
  <si>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</si>
  <si>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</si>
  <si>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</si>
  <si>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</si>
  <si>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</si>
  <si>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</si>
  <si>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</si>
  <si>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</si>
  <si>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</si>
  <si>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</si>
  <si>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</si>
  <si>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LDV 100% sales</t>
  </si>
  <si>
    <t xml:space="preserve">We calibrate the year in which the max sales share for battery </t>
  </si>
  <si>
    <t xml:space="preserve">electric passenger LDVs reaches 100% and the s-curve paramters based </t>
  </si>
  <si>
    <t>EEI/IEI sales %</t>
  </si>
  <si>
    <t>EPS sales % (found by running Vensim)</t>
  </si>
  <si>
    <t>Sigmoidal Curve Values for battery electric passenger LDV Technologies</t>
  </si>
  <si>
    <t>Sigmoidal Curve Values for Vehicle Technologies (all except battery electric passenger LDVs)</t>
  </si>
  <si>
    <t>Electric Vehicle Sales Forecast and the Charging Infrastructure Required Through 2030</t>
  </si>
  <si>
    <t>http://www.ehcar.net/library/rapport/rapport233.pdf</t>
  </si>
  <si>
    <t>The Edison Foundation Institute for Electric Innovation</t>
  </si>
  <si>
    <t>Figure 2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</si>
  <si>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</si>
  <si>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</si>
  <si>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</si>
  <si>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</si>
  <si>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</si>
  <si>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</si>
  <si>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</si>
  <si>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</si>
  <si>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</si>
  <si>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</si>
  <si>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</si>
  <si>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</si>
  <si>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</si>
  <si>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</si>
  <si>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</si>
  <si>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</si>
  <si>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</si>
  <si>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</si>
  <si>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</si>
  <si>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</si>
  <si>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</si>
  <si>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</si>
  <si>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</si>
  <si>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</si>
  <si>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</si>
  <si>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</si>
  <si>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</si>
  <si>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</si>
  <si>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</si>
  <si>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</si>
  <si>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</si>
  <si>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</si>
  <si>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</si>
  <si>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</si>
  <si>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</si>
  <si>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</si>
  <si>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</si>
  <si>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</si>
  <si>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</si>
  <si>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</si>
  <si>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</si>
  <si>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</si>
  <si>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</si>
  <si>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</si>
  <si>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</si>
  <si>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</si>
  <si>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</si>
  <si>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</si>
  <si>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</si>
  <si>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</si>
  <si>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</si>
  <si>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</si>
  <si>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</si>
  <si>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</si>
  <si>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</si>
  <si>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</si>
  <si>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</si>
  <si>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</si>
  <si>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</si>
  <si>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</si>
  <si>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</si>
  <si>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</si>
  <si>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</si>
  <si>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</si>
  <si>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</si>
  <si>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</si>
  <si>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</si>
  <si>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</si>
  <si>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</si>
  <si>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</si>
  <si>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</si>
  <si>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</si>
  <si>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</si>
  <si>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</si>
  <si>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</si>
  <si>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</si>
  <si>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</si>
  <si>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</si>
  <si>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</si>
  <si>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</si>
  <si>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</si>
  <si>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</si>
  <si>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</si>
  <si>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</si>
  <si>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</si>
  <si>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</si>
  <si>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</si>
  <si>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</si>
  <si>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</si>
  <si>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</si>
  <si>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</si>
  <si>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</si>
  <si>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</si>
  <si>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</si>
  <si>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</si>
  <si>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</si>
  <si>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</si>
  <si>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</si>
  <si>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</si>
  <si>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</si>
  <si>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</si>
  <si>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</si>
  <si>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</si>
  <si>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</si>
  <si>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</si>
  <si>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</si>
  <si>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</si>
  <si>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</si>
  <si>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</si>
  <si>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</si>
  <si>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</si>
  <si>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</si>
  <si>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</si>
  <si>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</si>
  <si>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</si>
  <si>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</si>
  <si>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</si>
  <si>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</si>
  <si>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</si>
  <si>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</si>
  <si>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</si>
  <si>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</si>
  <si>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</si>
  <si>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</si>
  <si>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</si>
  <si>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</si>
  <si>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</si>
  <si>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</si>
  <si>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</si>
  <si>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</si>
  <si>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</si>
  <si>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</si>
  <si>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</si>
  <si>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</si>
  <si>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</si>
  <si>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</si>
  <si>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</si>
  <si>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</si>
  <si>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</si>
  <si>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</si>
  <si>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</si>
  <si>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</si>
  <si>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</si>
  <si>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</si>
  <si>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</si>
  <si>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</si>
  <si>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</si>
  <si>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</si>
  <si>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</si>
  <si>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</si>
  <si>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</si>
  <si>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</si>
  <si>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</si>
  <si>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</si>
  <si>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</si>
  <si>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</si>
  <si>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</si>
  <si>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</si>
  <si>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</si>
  <si>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</si>
  <si>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</si>
  <si>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</si>
  <si>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</si>
  <si>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</si>
  <si>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</si>
  <si>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</si>
  <si>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</si>
  <si>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</si>
  <si>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</si>
  <si>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</si>
  <si>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</si>
  <si>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</si>
  <si>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</si>
  <si>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</si>
  <si>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</si>
  <si>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</si>
  <si>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</si>
  <si>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</si>
  <si>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</si>
  <si>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</si>
  <si>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</si>
  <si>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</si>
  <si>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</si>
  <si>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</si>
  <si>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</si>
  <si>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</si>
  <si>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</si>
  <si>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</si>
  <si>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</si>
  <si>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</si>
  <si>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</si>
  <si>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</si>
  <si>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</si>
  <si>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</si>
  <si>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</si>
  <si>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</si>
  <si>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</si>
  <si>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</si>
  <si>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</si>
  <si>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</si>
  <si>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</si>
  <si>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</si>
  <si>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</si>
  <si>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</si>
  <si>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</si>
  <si>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</si>
  <si>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</si>
  <si>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</si>
  <si>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</si>
  <si>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</si>
  <si>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</si>
  <si>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</si>
  <si>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</si>
  <si>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</si>
  <si>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</si>
  <si>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</si>
  <si>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</si>
  <si>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</si>
  <si>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</si>
  <si>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</si>
  <si>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</si>
  <si>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</si>
  <si>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</si>
  <si>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</si>
  <si>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</si>
  <si>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</si>
  <si>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</si>
  <si>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</si>
  <si>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</si>
  <si>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</si>
  <si>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</si>
  <si>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</si>
  <si>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</si>
  <si>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</si>
  <si>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</si>
  <si>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</si>
  <si>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</si>
  <si>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</si>
  <si>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</si>
  <si>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</si>
  <si>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</si>
  <si>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</si>
  <si>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</si>
  <si>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</si>
  <si>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</si>
  <si>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</si>
  <si>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</si>
  <si>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</si>
  <si>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</si>
  <si>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</si>
  <si>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</si>
  <si>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</si>
  <si>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</si>
  <si>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</si>
  <si>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</si>
  <si>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</si>
  <si>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</si>
  <si>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</si>
  <si>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</si>
  <si>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</si>
  <si>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</si>
  <si>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</si>
  <si>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</si>
  <si>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</si>
  <si>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</si>
  <si>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</si>
  <si>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</si>
  <si>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</si>
  <si>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</si>
  <si>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</si>
  <si>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</si>
  <si>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</si>
  <si>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</si>
  <si>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</si>
  <si>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</si>
  <si>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</si>
  <si>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</si>
  <si>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</si>
  <si>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</si>
  <si>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</si>
  <si>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</si>
  <si>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</si>
  <si>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</si>
  <si>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</si>
  <si>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</si>
  <si>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</si>
  <si>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</si>
  <si>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</si>
  <si>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</si>
  <si>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</si>
  <si>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</si>
  <si>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</si>
  <si>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</si>
  <si>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</si>
  <si>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</si>
  <si>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</si>
  <si>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</si>
  <si>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</si>
  <si>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</si>
  <si>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</si>
  <si>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</si>
  <si>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</si>
  <si>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</si>
  <si>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</si>
  <si>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</si>
  <si>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</si>
  <si>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</si>
  <si>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</si>
  <si>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</si>
  <si>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</si>
  <si>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</si>
  <si>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</si>
  <si>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</si>
  <si>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</si>
  <si>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</si>
  <si>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</si>
  <si>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</si>
  <si>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</si>
  <si>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</si>
  <si>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</si>
  <si>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</si>
  <si>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</si>
  <si>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</si>
  <si>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</si>
  <si>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</si>
  <si>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</si>
  <si>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</si>
  <si>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</si>
  <si>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</si>
  <si>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</si>
  <si>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</si>
  <si>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</si>
  <si>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</si>
  <si>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</si>
  <si>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</si>
  <si>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</si>
  <si>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</si>
  <si>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</si>
  <si>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</si>
  <si>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</si>
  <si>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</si>
  <si>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</si>
  <si>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</si>
  <si>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</si>
  <si>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</si>
  <si>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</si>
  <si>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</si>
  <si>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</si>
  <si>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</si>
  <si>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</si>
  <si>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</si>
  <si>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</si>
  <si>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</si>
  <si>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</si>
  <si>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</si>
  <si>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</si>
  <si>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</si>
  <si>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</si>
  <si>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</si>
  <si>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</si>
  <si>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</si>
  <si>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</si>
  <si>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</si>
  <si>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</si>
  <si>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</si>
  <si>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</si>
  <si>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</si>
  <si>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</si>
  <si>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</si>
  <si>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</si>
  <si>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</si>
  <si>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</si>
  <si>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</si>
  <si>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</si>
  <si>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</si>
  <si>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</si>
  <si>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</si>
  <si>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</si>
  <si>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</si>
  <si>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</si>
  <si>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</si>
  <si>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</si>
  <si>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</si>
  <si>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</si>
  <si>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</si>
  <si>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</si>
  <si>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</si>
  <si>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</si>
  <si>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</si>
  <si>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</si>
  <si>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</si>
  <si>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</si>
  <si>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</si>
  <si>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</si>
  <si>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</si>
  <si>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</si>
  <si>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</si>
  <si>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</si>
  <si>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</si>
  <si>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</si>
  <si>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</si>
  <si>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</si>
  <si>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</si>
  <si>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</si>
  <si>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</si>
  <si>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</si>
  <si>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</si>
  <si>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</si>
  <si>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</si>
  <si>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</si>
  <si>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</si>
  <si>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</si>
  <si>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</si>
  <si>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</si>
  <si>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</si>
  <si>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</si>
  <si>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</si>
  <si>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</si>
  <si>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</si>
  <si>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</si>
  <si>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</si>
  <si>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</si>
  <si>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</si>
  <si>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</si>
  <si>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</si>
  <si>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</si>
  <si>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</si>
  <si>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</si>
  <si>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</si>
  <si>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</si>
  <si>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</si>
  <si>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</si>
  <si>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</si>
  <si>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</si>
  <si>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</si>
  <si>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</si>
  <si>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</si>
  <si>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</si>
  <si>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</si>
  <si>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</si>
  <si>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</si>
  <si>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</si>
  <si>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</si>
  <si>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</si>
  <si>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</si>
  <si>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</si>
  <si>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</si>
  <si>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</si>
  <si>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</si>
  <si>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</si>
  <si>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</si>
  <si>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</si>
  <si>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</si>
  <si>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</si>
  <si>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</si>
  <si>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</si>
  <si>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</si>
  <si>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</si>
  <si>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</si>
  <si>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</si>
  <si>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</si>
  <si>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</si>
  <si>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</si>
  <si>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</si>
  <si>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</si>
  <si>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</si>
  <si>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</si>
  <si>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</si>
  <si>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</si>
  <si>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</si>
  <si>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</si>
  <si>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</si>
  <si>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</si>
  <si>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</si>
  <si>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</si>
  <si>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</si>
  <si>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</si>
  <si>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</si>
  <si>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</si>
  <si>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</si>
  <si>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</si>
  <si>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</si>
  <si>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</si>
  <si>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</si>
  <si>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</si>
  <si>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</si>
  <si>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</si>
  <si>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</si>
  <si>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</si>
  <si>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</si>
  <si>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</si>
  <si>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</si>
  <si>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</si>
  <si>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</si>
  <si>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</si>
  <si>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</si>
  <si>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</si>
  <si>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</si>
  <si>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</si>
  <si>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</si>
  <si>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</si>
  <si>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</si>
  <si>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</si>
  <si>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</si>
  <si>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</si>
  <si>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</si>
  <si>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</si>
  <si>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</si>
  <si>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</si>
  <si>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</si>
  <si>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</si>
  <si>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</si>
  <si>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</si>
  <si>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</si>
  <si>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</si>
  <si>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</si>
  <si>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</si>
  <si>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</si>
  <si>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</si>
  <si>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</si>
  <si>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</si>
  <si>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</si>
  <si>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</si>
  <si>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</si>
  <si>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</si>
  <si>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</si>
  <si>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</si>
  <si>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</si>
  <si>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</si>
  <si>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</si>
  <si>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</si>
  <si>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</si>
  <si>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</si>
  <si>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</si>
  <si>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</si>
  <si>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</si>
  <si>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</si>
  <si>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</si>
  <si>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</si>
  <si>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</si>
  <si>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</si>
  <si>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</si>
  <si>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</si>
  <si>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</si>
  <si>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</si>
  <si>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</si>
  <si>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</si>
  <si>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</si>
  <si>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</si>
  <si>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</si>
  <si>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</si>
  <si>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</si>
  <si>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</si>
  <si>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</si>
  <si>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</si>
  <si>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</si>
  <si>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</si>
  <si>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</si>
  <si>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</si>
  <si>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</si>
  <si>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</si>
  <si>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</si>
  <si>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</si>
  <si>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</si>
  <si>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</si>
  <si>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</si>
  <si>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</si>
  <si>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</si>
  <si>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</si>
  <si>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</si>
  <si>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</si>
  <si>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</si>
  <si>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</si>
  <si>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</si>
  <si>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</si>
  <si>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</si>
  <si>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</si>
  <si>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</si>
  <si>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</si>
  <si>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</si>
  <si>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</si>
  <si>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</si>
  <si>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</si>
  <si>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</si>
  <si>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</si>
  <si>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</si>
  <si>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</si>
  <si>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</si>
  <si>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</si>
  <si>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</si>
  <si>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</si>
  <si>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</si>
  <si>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</si>
  <si>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</si>
  <si>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</si>
  <si>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</si>
  <si>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</si>
  <si>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</si>
  <si>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</si>
  <si>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</si>
  <si>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</si>
  <si>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</si>
  <si>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</si>
  <si>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</si>
  <si>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</si>
  <si>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</si>
  <si>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</si>
  <si>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</si>
  <si>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</si>
  <si>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</si>
  <si>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</si>
  <si>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</si>
  <si>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</si>
  <si>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</si>
  <si>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</si>
  <si>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</si>
  <si>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</si>
  <si>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</si>
  <si>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</si>
  <si>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</si>
  <si>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</si>
  <si>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</si>
  <si>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</si>
  <si>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</si>
  <si>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</si>
  <si>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</si>
  <si>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</si>
  <si>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</si>
  <si>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</si>
  <si>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</si>
  <si>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</si>
  <si>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</si>
  <si>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</si>
  <si>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</si>
  <si>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</si>
  <si>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</si>
  <si>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</si>
  <si>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</si>
  <si>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</si>
  <si>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</si>
  <si>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</si>
  <si>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</si>
  <si>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</si>
  <si>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</si>
  <si>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</si>
  <si>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</si>
  <si>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</si>
  <si>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</si>
  <si>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</si>
  <si>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</si>
  <si>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</si>
  <si>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</si>
  <si>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</si>
  <si>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</si>
  <si>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</si>
  <si>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</si>
  <si>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</si>
  <si>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</si>
  <si>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</si>
  <si>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</si>
  <si>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</si>
  <si>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</si>
  <si>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</si>
  <si>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</si>
  <si>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</si>
  <si>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</si>
  <si>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</si>
  <si>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</si>
  <si>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</si>
  <si>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</si>
  <si>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</si>
  <si>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</si>
  <si>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</si>
  <si>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</si>
  <si>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</si>
  <si>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</si>
  <si>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</si>
  <si>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</si>
  <si>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</si>
  <si>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</si>
  <si>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</si>
  <si>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</si>
  <si>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</si>
  <si>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</si>
  <si>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</si>
  <si>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</si>
  <si>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</si>
  <si>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</si>
  <si>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</si>
  <si>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</si>
  <si>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</si>
  <si>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</si>
  <si>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</si>
  <si>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</si>
  <si>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</si>
  <si>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</si>
  <si>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</si>
  <si>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</si>
  <si>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</si>
  <si>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</si>
  <si>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</si>
  <si>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</si>
  <si>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</si>
  <si>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</si>
  <si>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</si>
  <si>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</si>
  <si>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</si>
  <si>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</si>
  <si>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</si>
  <si>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</si>
  <si>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</si>
  <si>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</si>
  <si>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</si>
  <si>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</si>
  <si>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</si>
  <si>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</si>
  <si>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</si>
  <si>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</si>
  <si>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</si>
  <si>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</si>
  <si>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</si>
  <si>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</si>
  <si>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</si>
  <si>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</si>
  <si>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</si>
  <si>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</si>
  <si>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</si>
  <si>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</si>
  <si>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</si>
  <si>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</si>
  <si>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</si>
  <si>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</si>
  <si>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</si>
  <si>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</si>
  <si>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</si>
  <si>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</si>
  <si>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</si>
  <si>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</si>
  <si>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</si>
  <si>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</si>
  <si>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</si>
  <si>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</si>
  <si>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</si>
  <si>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</si>
  <si>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</si>
  <si>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</si>
  <si>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</si>
  <si>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</si>
  <si>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</si>
  <si>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</si>
  <si>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</si>
  <si>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</si>
  <si>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</si>
  <si>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</si>
  <si>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</si>
  <si>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</si>
  <si>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</si>
  <si>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</si>
  <si>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</si>
  <si>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</si>
  <si>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</si>
  <si>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</si>
  <si>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</si>
  <si>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</si>
  <si>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</si>
  <si>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</si>
  <si>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</si>
  <si>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</si>
  <si>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</si>
  <si>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</si>
  <si>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</si>
  <si>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</si>
  <si>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</si>
  <si>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 xml:space="preserve">on EV projections from the Edison Foundation and BNEF. We find that </t>
  </si>
  <si>
    <t>sector input data, produces EV sale projections in line with these sources (see below).</t>
  </si>
  <si>
    <t>reaching 80% max sales in 250, in combination with our other transportation</t>
  </si>
  <si>
    <t>BNEF sales %</t>
  </si>
  <si>
    <t>in year 2030 as the maximum potential in the first simulated year.</t>
  </si>
  <si>
    <t>forecasts in the start year, since this represents a maximum rather than</t>
  </si>
  <si>
    <t>an actual deployment amount.</t>
  </si>
  <si>
    <t>Bloomberg New Energy Finance</t>
  </si>
  <si>
    <t>Long-term passenger vehicle outlook</t>
  </si>
  <si>
    <t>https://bnef.turtl.co/story/evo-2020/page/3?teaser=yes</t>
  </si>
  <si>
    <t>For the Shandong model, we basically keep the same as the American model, but on this basis,</t>
    <phoneticPr fontId="11" type="noConversion"/>
  </si>
  <si>
    <t>we adjusted the parameter settings to better represent the actual situation of the vehicle market in Shandong Province .</t>
    <phoneticPr fontId="11" type="noConversion"/>
  </si>
  <si>
    <t xml:space="preserve"> The following is the basic construction idea of the US model. For the adjustment of model parameters, please refer to Data Tab.</t>
  </si>
  <si>
    <t xml:space="preserve">according to our understanding of the development of the vehicle market in Shandong Province, </t>
    <phoneticPr fontId="11" type="noConversion"/>
  </si>
  <si>
    <t>载具类型</t>
    <phoneticPr fontId="11" type="noConversion"/>
  </si>
  <si>
    <t>运输类型</t>
    <phoneticPr fontId="11" type="noConversion"/>
  </si>
  <si>
    <t>载具驱动方式</t>
    <phoneticPr fontId="11" type="noConversion"/>
  </si>
  <si>
    <t>Vehicle Type</t>
    <phoneticPr fontId="11" type="noConversion"/>
  </si>
  <si>
    <t>Transport Type</t>
    <phoneticPr fontId="11" type="noConversion"/>
  </si>
  <si>
    <t>Vehicle Tech</t>
    <phoneticPr fontId="11" type="noConversion"/>
  </si>
  <si>
    <t>起始年载具数量</t>
  </si>
  <si>
    <t>应用前景备注</t>
  </si>
  <si>
    <t>BAU用能情况</t>
  </si>
  <si>
    <t>用能类型可能性</t>
  </si>
  <si>
    <t>客运载具</t>
  </si>
  <si>
    <t>货运载具</t>
  </si>
  <si>
    <t>电力</t>
  </si>
  <si>
    <t>柴油</t>
  </si>
  <si>
    <t>生物质柴油</t>
  </si>
  <si>
    <t>汽油</t>
  </si>
  <si>
    <t>生物质汽油</t>
  </si>
  <si>
    <t>氢能</t>
  </si>
  <si>
    <t>天然气</t>
  </si>
  <si>
    <t>液化石油气</t>
  </si>
  <si>
    <t>航天煤油</t>
  </si>
  <si>
    <t>燃料残物油</t>
    <phoneticPr fontId="11" type="noConversion"/>
  </si>
  <si>
    <t>SYVbT
Passenger</t>
    <phoneticPr fontId="11" type="noConversion"/>
  </si>
  <si>
    <t>SYVbT
Freight</t>
    <phoneticPr fontId="11" type="noConversion"/>
  </si>
  <si>
    <t>BPoEFUbVT</t>
  </si>
  <si>
    <t>electricity</t>
  </si>
  <si>
    <t>petroleum diesel</t>
  </si>
  <si>
    <t>biofuel diesel</t>
  </si>
  <si>
    <t>petroleum gasoline</t>
  </si>
  <si>
    <t>biofuel gasoline</t>
  </si>
  <si>
    <t>hydrogen</t>
  </si>
  <si>
    <t>natural gas</t>
  </si>
  <si>
    <t>LPG propane or butane</t>
  </si>
  <si>
    <t>jet fuel</t>
  </si>
  <si>
    <t>heavy or residual fuel oil</t>
  </si>
  <si>
    <t>飞机</t>
  </si>
  <si>
    <t>货运和客运</t>
  </si>
  <si>
    <t>电动机</t>
  </si>
  <si>
    <t>Aircraft</t>
  </si>
  <si>
    <t>freight &amp; passenger</t>
  </si>
  <si>
    <t>battery</t>
  </si>
  <si>
    <t>当前无，面向未来</t>
    <phoneticPr fontId="11" type="noConversion"/>
  </si>
  <si>
    <t>100% electricity</t>
  </si>
  <si>
    <t>100% 纯电</t>
  </si>
  <si>
    <t>✅</t>
  </si>
  <si>
    <t>柴油发动机</t>
  </si>
  <si>
    <t>diesel</t>
  </si>
  <si>
    <t>100% jet fuel</t>
  </si>
  <si>
    <t>100% 航天煤油</t>
  </si>
  <si>
    <t>✅ Max 0.2</t>
  </si>
  <si>
    <t>甲醇、氨、天然气</t>
    <phoneticPr fontId="11" type="noConversion"/>
  </si>
  <si>
    <t>氢燃料电池</t>
  </si>
  <si>
    <t>100% hydrogen</t>
  </si>
  <si>
    <t>100% 氢能</t>
  </si>
  <si>
    <t>天然气发动机</t>
  </si>
  <si>
    <t>100% natural gas</t>
  </si>
  <si>
    <t>100% 天然气</t>
  </si>
  <si>
    <t>汽油发动机</t>
  </si>
  <si>
    <t>gasoline</t>
  </si>
  <si>
    <t>不作为运输考虑</t>
    <phoneticPr fontId="11" type="noConversion"/>
  </si>
  <si>
    <t>重型货车</t>
  </si>
  <si>
    <t>货运</t>
  </si>
  <si>
    <t>Freight</t>
  </si>
  <si>
    <t>100% petroleum diesel</t>
  </si>
  <si>
    <t>100% 柴油</t>
  </si>
  <si>
    <t>100% petroleum gasoline</t>
  </si>
  <si>
    <t>100% 汽油</t>
  </si>
  <si>
    <t>✅ Max 0.25</t>
  </si>
  <si>
    <t>LPG</t>
  </si>
  <si>
    <t>100% LPG</t>
  </si>
  <si>
    <t>插电混合动力</t>
  </si>
  <si>
    <t>plugin hybrid</t>
  </si>
  <si>
    <t>存在，逐渐退出</t>
  </si>
  <si>
    <t>55% electricity  45% petroleum diesel</t>
  </si>
  <si>
    <t>55% 电力 45% 柴油</t>
  </si>
  <si>
    <t>客运</t>
  </si>
  <si>
    <t>Passenger</t>
  </si>
  <si>
    <t>根据数据库查询</t>
    <phoneticPr fontId="11" type="noConversion"/>
  </si>
  <si>
    <t>轻型车</t>
  </si>
  <si>
    <t>存在，逐渐退出</t>
    <phoneticPr fontId="11" type="noConversion"/>
  </si>
  <si>
    <t>55% electricity  45% petroleum gasoline</t>
    <phoneticPr fontId="11" type="noConversion"/>
  </si>
  <si>
    <t>55% 电力 45% 气油</t>
  </si>
  <si>
    <t>摩托车</t>
  </si>
  <si>
    <t>全部驱动类型</t>
    <phoneticPr fontId="11" type="noConversion"/>
  </si>
  <si>
    <t>motorbike</t>
  </si>
  <si>
    <t>Gasoline</t>
  </si>
  <si>
    <t>不考虑货运摩托</t>
    <phoneticPr fontId="11" type="noConversion"/>
  </si>
  <si>
    <t>电动摩托数据要查询</t>
    <phoneticPr fontId="11" type="noConversion"/>
  </si>
  <si>
    <t>极少应用，不考虑</t>
  </si>
  <si>
    <t>不作为运输考虑</t>
  </si>
  <si>
    <t>铁路</t>
  </si>
  <si>
    <t>Pasenger</t>
  </si>
  <si>
    <t>水运</t>
  </si>
  <si>
    <t>Frieght</t>
  </si>
  <si>
    <t>55% petroleum diesel 45% heavy or residual fuel oil</t>
  </si>
  <si>
    <t>55% 柴油 45% 燃料油</t>
  </si>
  <si>
    <t>✅ Max 1</t>
  </si>
  <si>
    <t>natural gas</t>
    <phoneticPr fontId="11" type="noConversion"/>
  </si>
  <si>
    <t>gasoline vehicle</t>
    <phoneticPr fontId="11" type="noConversion"/>
  </si>
  <si>
    <t>Vehicle Tech original</t>
    <phoneticPr fontId="11" type="noConversion"/>
  </si>
  <si>
    <t>Vehicle Type</t>
    <phoneticPr fontId="14" type="noConversion"/>
  </si>
  <si>
    <t>sales</t>
    <phoneticPr fontId="14" type="noConversion"/>
  </si>
  <si>
    <t>total</t>
    <phoneticPr fontId="14" type="noConversion"/>
  </si>
  <si>
    <t>ratio</t>
    <phoneticPr fontId="14" type="noConversion"/>
  </si>
  <si>
    <t>sumed</t>
    <phoneticPr fontId="14" type="noConversion"/>
  </si>
  <si>
    <t>NG</t>
  </si>
  <si>
    <t>methanol</t>
    <phoneticPr fontId="14" type="noConversion"/>
  </si>
  <si>
    <t>ICE-hybrid</t>
    <phoneticPr fontId="14" type="noConversion"/>
  </si>
  <si>
    <t>hybrid</t>
  </si>
  <si>
    <t>REEV</t>
  </si>
  <si>
    <t>PHEV</t>
  </si>
  <si>
    <t>BEV</t>
  </si>
  <si>
    <t>H2</t>
  </si>
  <si>
    <t>all hybrid</t>
    <phoneticPr fontId="14" type="noConversion"/>
  </si>
  <si>
    <t>ZEV</t>
    <phoneticPr fontId="14" type="noConversion"/>
  </si>
  <si>
    <t>"EPS ZEV"</t>
    <phoneticPr fontId="14" type="noConversion"/>
  </si>
  <si>
    <t>HDV-freight</t>
  </si>
  <si>
    <t>LDV-freight</t>
  </si>
  <si>
    <t>HDV-psgr</t>
    <phoneticPr fontId="14" type="noConversion"/>
  </si>
  <si>
    <t>LDV-psgr</t>
    <phoneticPr fontId="14" type="noConversion"/>
  </si>
  <si>
    <t>HDV-psgr-intercity</t>
  </si>
  <si>
    <t>HDV-psgr-bus</t>
    <phoneticPr fontId="14" type="noConversion"/>
  </si>
  <si>
    <t>HDV-psgr-other</t>
    <phoneticPr fontId="14" type="noConversion"/>
  </si>
  <si>
    <t>LDV-psgr-other</t>
  </si>
  <si>
    <t>LDV-psgr-private</t>
  </si>
  <si>
    <t>LDV-psgr-taxi</t>
  </si>
  <si>
    <t>Year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</si>
</sst>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* #,##0.00_);_(* \(#,##0.00\);_(* &quot;-&quot;??_);_(@_)"/>
    <numFmt numFmtId="177" formatCode="0.0000"/>
    <numFmt numFmtId="178" formatCode="_(* #,##0_);_(* \(#,##0\);_(* &quot;-&quot;??_);_(@_)"/>
    <numFmt numFmtId="179" formatCode="0.0"/>
    <numFmt numFmtId="180" formatCode="#,##0_ "/>
    <numFmt numFmtId="181" formatCode="0.000_);[Red]\(0.000\)"/>
    <numFmt numFmtId="182" formatCode="0.0000_ 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17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2" fillId="2" borderId="0" xfId="0" applyFont="1" applyFill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2" fillId="4" borderId="0" xfId="0" applyFont="1" applyFill="1"/>
    <xf numFmtId="177" fontId="0" fillId="0" borderId="0" xfId="0" applyNumberFormat="1"/>
    <xf numFmtId="0" fontId="0" fillId="0" borderId="5" xfId="0" applyBorder="1"/>
    <xf numFmtId="178" fontId="0" fillId="0" borderId="0" xfId="9" applyNumberFormat="1" applyFont="1"/>
    <xf numFmtId="0" fontId="2" fillId="0" borderId="0" xfId="0" applyFont="1" applyAlignment="1">
      <alignment wrapText="1"/>
    </xf>
    <xf numFmtId="177" fontId="0" fillId="0" borderId="5" xfId="0" applyNumberFormat="1" applyBorder="1"/>
    <xf numFmtId="0" fontId="9" fillId="2" borderId="0" xfId="0" applyFont="1" applyFill="1" applyAlignment="1">
      <alignment horizontal="right" wrapText="1"/>
    </xf>
    <xf numFmtId="0" fontId="10" fillId="0" borderId="0" xfId="0" applyFont="1"/>
    <xf numFmtId="9" fontId="10" fillId="0" borderId="0" xfId="10" applyFont="1" applyFill="1"/>
    <xf numFmtId="9" fontId="0" fillId="0" borderId="0" xfId="10" applyFont="1" applyAlignment="1"/>
    <xf numFmtId="0" fontId="7" fillId="0" borderId="0" xfId="8"/>
    <xf numFmtId="179" fontId="0" fillId="0" borderId="0" xfId="0" applyNumberFormat="1"/>
    <xf numFmtId="10" fontId="0" fillId="0" borderId="0" xfId="0" applyNumberFormat="1"/>
    <xf numFmtId="0" fontId="7" fillId="0" borderId="0" xfId="8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2" fillId="0" borderId="12" xfId="11" applyBorder="1" applyAlignment="1">
      <alignment horizontal="center" vertical="center"/>
    </xf>
    <xf numFmtId="0" fontId="12" fillId="0" borderId="12" xfId="11" applyBorder="1" applyAlignment="1">
      <alignment horizontal="center" vertical="center" wrapText="1"/>
    </xf>
    <xf numFmtId="0" fontId="12" fillId="0" borderId="0" xfId="11">
      <alignment vertical="center"/>
    </xf>
    <xf numFmtId="0" fontId="13" fillId="0" borderId="12" xfId="11" applyFont="1" applyBorder="1" applyAlignment="1">
      <alignment horizontal="center" vertical="center" wrapText="1"/>
    </xf>
    <xf numFmtId="0" fontId="12" fillId="5" borderId="12" xfId="11" applyFill="1" applyBorder="1">
      <alignment vertical="center"/>
    </xf>
    <xf numFmtId="180" fontId="13" fillId="5" borderId="12" xfId="11" applyNumberFormat="1" applyFont="1" applyFill="1" applyBorder="1">
      <alignment vertical="center"/>
    </xf>
    <xf numFmtId="0" fontId="12" fillId="0" borderId="12" xfId="11" applyBorder="1">
      <alignment vertical="center"/>
    </xf>
    <xf numFmtId="0" fontId="12" fillId="6" borderId="0" xfId="11" applyFill="1">
      <alignment vertical="center"/>
    </xf>
    <xf numFmtId="0" fontId="12" fillId="3" borderId="12" xfId="11" applyFill="1" applyBorder="1" applyAlignment="1">
      <alignment horizontal="center" vertical="center"/>
    </xf>
    <xf numFmtId="0" fontId="12" fillId="7" borderId="0" xfId="11" applyFill="1">
      <alignment vertical="center"/>
    </xf>
    <xf numFmtId="0" fontId="12" fillId="6" borderId="12" xfId="11" applyFill="1" applyBorder="1">
      <alignment vertical="center"/>
    </xf>
    <xf numFmtId="180" fontId="13" fillId="6" borderId="12" xfId="11" applyNumberFormat="1" applyFont="1" applyFill="1" applyBorder="1">
      <alignment vertical="center"/>
    </xf>
    <xf numFmtId="0" fontId="12" fillId="8" borderId="0" xfId="11" applyFill="1">
      <alignment vertical="center"/>
    </xf>
    <xf numFmtId="0" fontId="12" fillId="3" borderId="12" xfId="11" applyFill="1" applyBorder="1">
      <alignment vertical="center"/>
    </xf>
    <xf numFmtId="0" fontId="12" fillId="9" borderId="0" xfId="11" applyFill="1">
      <alignment vertical="center"/>
    </xf>
    <xf numFmtId="0" fontId="12" fillId="7" borderId="12" xfId="11" applyFill="1" applyBorder="1">
      <alignment vertical="center"/>
    </xf>
    <xf numFmtId="180" fontId="13" fillId="7" borderId="12" xfId="11" applyNumberFormat="1" applyFont="1" applyFill="1" applyBorder="1">
      <alignment vertical="center"/>
    </xf>
    <xf numFmtId="0" fontId="12" fillId="8" borderId="12" xfId="11" applyFill="1" applyBorder="1">
      <alignment vertical="center"/>
    </xf>
    <xf numFmtId="0" fontId="12" fillId="8" borderId="12" xfId="11" applyFill="1" applyBorder="1" applyAlignment="1">
      <alignment horizontal="left" vertical="center"/>
    </xf>
    <xf numFmtId="180" fontId="13" fillId="8" borderId="12" xfId="11" applyNumberFormat="1" applyFont="1" applyFill="1" applyBorder="1">
      <alignment vertical="center"/>
    </xf>
    <xf numFmtId="0" fontId="12" fillId="10" borderId="0" xfId="11" applyFill="1">
      <alignment vertical="center"/>
    </xf>
    <xf numFmtId="0" fontId="12" fillId="9" borderId="12" xfId="11" applyFill="1" applyBorder="1">
      <alignment vertical="center"/>
    </xf>
    <xf numFmtId="180" fontId="13" fillId="9" borderId="12" xfId="11" applyNumberFormat="1" applyFont="1" applyFill="1" applyBorder="1">
      <alignment vertical="center"/>
    </xf>
    <xf numFmtId="0" fontId="12" fillId="5" borderId="0" xfId="11" applyFill="1">
      <alignment vertical="center"/>
    </xf>
    <xf numFmtId="0" fontId="12" fillId="10" borderId="12" xfId="11" applyFill="1" applyBorder="1">
      <alignment vertical="center"/>
    </xf>
    <xf numFmtId="180" fontId="13" fillId="10" borderId="12" xfId="11" applyNumberFormat="1" applyFont="1" applyFill="1" applyBorder="1">
      <alignment vertical="center"/>
    </xf>
    <xf numFmtId="0" fontId="2" fillId="0" borderId="0" xfId="0" applyFont="1" applyAlignment="1">
      <alignment horizontal="right" wrapText="1"/>
    </xf>
    <xf numFmtId="0" fontId="1" fillId="0" borderId="0" xfId="12">
      <alignment vertical="center"/>
    </xf>
    <xf numFmtId="0" fontId="1" fillId="0" borderId="12" xfId="12" applyBorder="1" applyAlignment="1">
      <alignment vertical="center" wrapText="1"/>
    </xf>
    <xf numFmtId="0" fontId="1" fillId="0" borderId="16" xfId="12" applyBorder="1">
      <alignment vertical="center"/>
    </xf>
    <xf numFmtId="0" fontId="1" fillId="0" borderId="17" xfId="12" applyBorder="1">
      <alignment vertical="center"/>
    </xf>
    <xf numFmtId="0" fontId="1" fillId="0" borderId="14" xfId="12" applyBorder="1">
      <alignment vertical="center"/>
    </xf>
    <xf numFmtId="9" fontId="1" fillId="0" borderId="0" xfId="12" applyNumberFormat="1">
      <alignment vertical="center"/>
    </xf>
    <xf numFmtId="9" fontId="1" fillId="0" borderId="17" xfId="12" applyNumberFormat="1" applyBorder="1">
      <alignment vertical="center"/>
    </xf>
    <xf numFmtId="9" fontId="1" fillId="0" borderId="18" xfId="12" applyNumberFormat="1" applyBorder="1">
      <alignment vertical="center"/>
    </xf>
    <xf numFmtId="9" fontId="1" fillId="0" borderId="19" xfId="12" applyNumberFormat="1" applyBorder="1">
      <alignment vertical="center"/>
    </xf>
    <xf numFmtId="9" fontId="1" fillId="0" borderId="20" xfId="12" applyNumberFormat="1" applyBorder="1">
      <alignment vertical="center"/>
    </xf>
    <xf numFmtId="9" fontId="1" fillId="0" borderId="16" xfId="12" applyNumberFormat="1" applyBorder="1">
      <alignment vertical="center"/>
    </xf>
    <xf numFmtId="0" fontId="1" fillId="0" borderId="21" xfId="12" applyBorder="1">
      <alignment vertical="center"/>
    </xf>
    <xf numFmtId="0" fontId="1" fillId="0" borderId="22" xfId="12" applyBorder="1">
      <alignment vertical="center"/>
    </xf>
    <xf numFmtId="0" fontId="1" fillId="0" borderId="23" xfId="12" applyBorder="1">
      <alignment vertical="center"/>
    </xf>
    <xf numFmtId="0" fontId="1" fillId="0" borderId="15" xfId="12" applyBorder="1">
      <alignment vertical="center"/>
    </xf>
    <xf numFmtId="9" fontId="1" fillId="0" borderId="23" xfId="12" applyNumberFormat="1" applyBorder="1">
      <alignment vertical="center"/>
    </xf>
    <xf numFmtId="9" fontId="1" fillId="0" borderId="22" xfId="12" applyNumberFormat="1" applyBorder="1">
      <alignment vertical="center"/>
    </xf>
    <xf numFmtId="9" fontId="1" fillId="0" borderId="21" xfId="12" applyNumberFormat="1" applyBorder="1">
      <alignment vertical="center"/>
    </xf>
    <xf numFmtId="0" fontId="1" fillId="0" borderId="18" xfId="12" applyBorder="1">
      <alignment vertical="center"/>
    </xf>
    <xf numFmtId="0" fontId="1" fillId="0" borderId="20" xfId="12" applyBorder="1">
      <alignment vertical="center"/>
    </xf>
    <xf numFmtId="0" fontId="1" fillId="0" borderId="19" xfId="12" applyBorder="1">
      <alignment vertical="center"/>
    </xf>
    <xf numFmtId="0" fontId="1" fillId="0" borderId="13" xfId="12" applyBorder="1">
      <alignment vertical="center"/>
    </xf>
    <xf numFmtId="181" fontId="0" fillId="0" borderId="0" xfId="0" applyNumberFormat="1"/>
    <xf numFmtId="182" fontId="0" fillId="0" borderId="0" xfId="0" applyNumberFormat="1"/>
    <xf numFmtId="0" fontId="12" fillId="0" borderId="0" xfId="0" applyFont="1" applyAlignment="1">
      <alignment wrapText="1"/>
    </xf>
    <xf numFmtId="0" fontId="1" fillId="0" borderId="12" xfId="12" applyBorder="1" applyAlignment="1">
      <alignment horizontal="center" vertical="center"/>
    </xf>
    <xf numFmtId="0" fontId="1" fillId="0" borderId="13" xfId="12" applyBorder="1" applyAlignment="1">
      <alignment horizontal="center" vertical="center"/>
    </xf>
    <xf numFmtId="0" fontId="1" fillId="0" borderId="15" xfId="12" applyBorder="1" applyAlignment="1">
      <alignment horizontal="center" vertical="center"/>
    </xf>
    <xf numFmtId="0" fontId="12" fillId="0" borderId="12" xfId="11" applyBorder="1" applyAlignment="1">
      <alignment horizontal="center" vertical="center"/>
    </xf>
    <xf numFmtId="0" fontId="12" fillId="0" borderId="12" xfId="11" applyBorder="1" applyAlignment="1">
      <alignment horizontal="center" vertical="center" wrapText="1"/>
    </xf>
  </cellXfs>
  <cellStyles count="13">
    <cellStyle name="Body: normal cell" xfId="4" xr:uid="{00000000-0005-0000-0000-000000000000}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Normal 2" xfId="1" xr:uid="{00000000-0005-0000-0000-000007000000}"/>
    <cellStyle name="Parent row" xfId="3" xr:uid="{00000000-0005-0000-0000-000008000000}"/>
    <cellStyle name="Table title" xfId="7" xr:uid="{00000000-0005-0000-0000-00000A000000}"/>
    <cellStyle name="百分比" xfId="10" builtinId="5"/>
    <cellStyle name="常规" xfId="0" builtinId="0"/>
    <cellStyle name="常规 2" xfId="11" xr:uid="{BE161949-4C66-47F2-AAB4-2EEE94E221E7}"/>
    <cellStyle name="常规 3" xfId="12" xr:uid="{D84F2E6E-2D8A-4405-9953-EF023F26ED04}"/>
    <cellStyle name="超链接" xfId="8" builtinId="8"/>
    <cellStyle name="千位分隔" xfId="9" builtinId="3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Data!$H$9:$AL$9</c:f>
              <c:numCache>
                <c:formatCode>General</c:formatCode>
                <c:ptCount val="31"/>
                <c:pt idx="0" formatCode="0.0000">
                  <c:v>0.2294143659214489</c:v>
                </c:pt>
                <c:pt idx="1">
                  <c:v>0.24327428092975717</c:v>
                </c:pt>
                <c:pt idx="2">
                  <c:v>0.24990962708146122</c:v>
                </c:pt>
                <c:pt idx="3">
                  <c:v>0.25959490925693834</c:v>
                </c:pt>
                <c:pt idx="4">
                  <c:v>0.27358755235450904</c:v>
                </c:pt>
                <c:pt idx="5">
                  <c:v>0.29350605098724092</c:v>
                </c:pt>
                <c:pt idx="6">
                  <c:v>0.32127042517187843</c:v>
                </c:pt>
                <c:pt idx="7">
                  <c:v>0.35885858512656266</c:v>
                </c:pt>
                <c:pt idx="8">
                  <c:v>0.40778584240232829</c:v>
                </c:pt>
                <c:pt idx="9">
                  <c:v>0.46831557696225945</c:v>
                </c:pt>
                <c:pt idx="10">
                  <c:v>0.53865988981724211</c:v>
                </c:pt>
                <c:pt idx="11">
                  <c:v>0.61470718296072446</c:v>
                </c:pt>
                <c:pt idx="12">
                  <c:v>0.69075447610420682</c:v>
                </c:pt>
                <c:pt idx="13">
                  <c:v>0.76109878895918948</c:v>
                </c:pt>
                <c:pt idx="14">
                  <c:v>0.82162852351912063</c:v>
                </c:pt>
                <c:pt idx="15">
                  <c:v>0.87055578079488616</c:v>
                </c:pt>
                <c:pt idx="16">
                  <c:v>0.90814394074957039</c:v>
                </c:pt>
                <c:pt idx="17">
                  <c:v>0.93590831493420801</c:v>
                </c:pt>
                <c:pt idx="18">
                  <c:v>0.95582681356693988</c:v>
                </c:pt>
                <c:pt idx="19">
                  <c:v>0.96981945666451064</c:v>
                </c:pt>
                <c:pt idx="20">
                  <c:v>0.97950473883998757</c:v>
                </c:pt>
                <c:pt idx="21">
                  <c:v>0.9861400849916917</c:v>
                </c:pt>
                <c:pt idx="22">
                  <c:v>0.99065400223726252</c:v>
                </c:pt>
                <c:pt idx="23">
                  <c:v>0.99371003993223095</c:v>
                </c:pt>
                <c:pt idx="24">
                  <c:v>0.9957723368838225</c:v>
                </c:pt>
                <c:pt idx="25">
                  <c:v>0.99716097766099565</c:v>
                </c:pt>
                <c:pt idx="26">
                  <c:v>0.99809463211700733</c:v>
                </c:pt>
                <c:pt idx="27">
                  <c:v>0.99872175171782362</c:v>
                </c:pt>
                <c:pt idx="28">
                  <c:v>0.99914269571568315</c:v>
                </c:pt>
                <c:pt idx="29">
                  <c:v>0.99942512089803714</c:v>
                </c:pt>
                <c:pt idx="30">
                  <c:v>0.99961455221273432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7-4730-8251-10B81757E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142874</xdr:colOff>
      <xdr:row>9</xdr:row>
      <xdr:rowOff>138114</xdr:rowOff>
    </xdr:from>
    <xdr:to>
      <xdr:col>17</xdr:col>
      <xdr:colOff>266699</xdr:colOff>
      <xdr:row>28</xdr:row>
      <xdr:rowOff>61163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5037" y="1766889"/>
          <a:ext cx="5343525" cy="3361574"/>
        </a:xfrm>
        <a:prstGeom prst="rect">
          <a:avLst/>
        </a:prstGeom>
      </xdr:spPr>
    </xdr:pic>
    <xdr:clientData/>
  </xdr:twoCellAnchor>
  <xdr:twoCellAnchor editAs="oneCell">
    <xdr:from>
      <xdr:col>17</xdr:col>
      <xdr:colOff>633412</xdr:colOff>
      <xdr:row>9</xdr:row>
      <xdr:rowOff>57150</xdr:rowOff>
    </xdr:from>
    <xdr:to>
      <xdr:col>25</xdr:col>
      <xdr:colOff>68755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A946A-221E-49C4-BF6B-B3E981277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5" y="1685925"/>
          <a:ext cx="4655043" cy="335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1275272</xdr:colOff>
      <xdr:row>2</xdr:row>
      <xdr:rowOff>141617</xdr:rowOff>
    </xdr:from>
    <xdr:to>
      <xdr:col>7</xdr:col>
      <xdr:colOff>11952</xdr:colOff>
      <xdr:row>13</xdr:row>
      <xdr:rowOff>11952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97276729-B49C-4E05-BA4A-6600DBE5A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gramming\EPS\Github%20Push\China\eps-china2022-smart-trans\InputData\trans\SYVbT\cn%20-%20Start%20Year%20Vehicles%20by%20Technology.xlsx" TargetMode="External"/><Relationship Id="rId1" Type="http://schemas.openxmlformats.org/officeDocument/2006/relationships/externalLinkPath" Target="file:///D:\Programming\EPS\Github%20Push\China\eps-china2022-smart-trans\InputData\trans\SYVbT\cn%20-%20Start%20Year%20Vehicles%20by%20Technolog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2022 China National Data"/>
      <sheetName val="微观数据结果"/>
      <sheetName val="table"/>
      <sheetName val="Motorbike"/>
      <sheetName val="Rail Data"/>
      <sheetName val="SYVbT-passenger"/>
      <sheetName val="SYVbT-freight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>
            <v>0</v>
          </cell>
          <cell r="C4">
            <v>0</v>
          </cell>
          <cell r="D4">
            <v>0</v>
          </cell>
          <cell r="E4">
            <v>3942</v>
          </cell>
          <cell r="H4">
            <v>0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nef.turtl.co/story/evo-2020/page/3?teaser=yes" TargetMode="External"/><Relationship Id="rId2" Type="http://schemas.openxmlformats.org/officeDocument/2006/relationships/hyperlink" Target="https://jgcri.github.io/gcam-doc/choice.html" TargetMode="External"/><Relationship Id="rId1" Type="http://schemas.openxmlformats.org/officeDocument/2006/relationships/hyperlink" Target="http://www.ehcar.net/library/rapport/rapport233.pdf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workbookViewId="0"/>
    <sheetView workbookViewId="1"/>
  </sheetViews>
  <sheetFormatPr defaultColWidth="9.125" defaultRowHeight="12.9" x14ac:dyDescent="0.15"/>
  <cols>
    <col min="1" max="1" width="62" customWidth="1"/>
    <col min="2" max="2" width="56.25" customWidth="1"/>
  </cols>
  <sheetData>
    <row r="1" spans="1:2" x14ac:dyDescent="0.15">
      <c r="A1" s="1" t="s">
        <v>915</v>
      </c>
    </row>
    <row r="3" spans="1:2" x14ac:dyDescent="0.15">
      <c r="A3" s="1" t="s">
        <v>0</v>
      </c>
      <c r="B3" s="12" t="s">
        <v>77</v>
      </c>
    </row>
    <row r="4" spans="1:2" x14ac:dyDescent="0.15">
      <c r="B4" t="s">
        <v>34</v>
      </c>
    </row>
    <row r="5" spans="1:2" x14ac:dyDescent="0.15">
      <c r="B5" s="3">
        <v>2020</v>
      </c>
    </row>
    <row r="6" spans="1:2" x14ac:dyDescent="0.15">
      <c r="B6" t="s">
        <v>130</v>
      </c>
    </row>
    <row r="7" spans="1:2" x14ac:dyDescent="0.15">
      <c r="B7" t="s">
        <v>133</v>
      </c>
    </row>
    <row r="8" spans="1:2" x14ac:dyDescent="0.15">
      <c r="B8" t="s">
        <v>131</v>
      </c>
    </row>
    <row r="10" spans="1:2" x14ac:dyDescent="0.15">
      <c r="B10" s="12" t="s">
        <v>78</v>
      </c>
    </row>
    <row r="11" spans="1:2" x14ac:dyDescent="0.15">
      <c r="B11" t="s">
        <v>147</v>
      </c>
    </row>
    <row r="12" spans="1:2" x14ac:dyDescent="0.15">
      <c r="B12" s="3">
        <v>2018</v>
      </c>
    </row>
    <row r="13" spans="1:2" x14ac:dyDescent="0.15">
      <c r="B13" t="s">
        <v>145</v>
      </c>
    </row>
    <row r="14" spans="1:2" x14ac:dyDescent="0.15">
      <c r="B14" s="31" t="s">
        <v>146</v>
      </c>
    </row>
    <row r="15" spans="1:2" x14ac:dyDescent="0.15">
      <c r="B15" t="s">
        <v>148</v>
      </c>
    </row>
    <row r="17" spans="2:2" x14ac:dyDescent="0.15">
      <c r="B17" t="s">
        <v>929</v>
      </c>
    </row>
    <row r="18" spans="2:2" x14ac:dyDescent="0.15">
      <c r="B18" s="3">
        <v>2020</v>
      </c>
    </row>
    <row r="19" spans="2:2" x14ac:dyDescent="0.15">
      <c r="B19" t="s">
        <v>930</v>
      </c>
    </row>
    <row r="20" spans="2:2" x14ac:dyDescent="0.15">
      <c r="B20" s="34" t="s">
        <v>931</v>
      </c>
    </row>
    <row r="21" spans="2:2" x14ac:dyDescent="0.15">
      <c r="B21" t="s">
        <v>148</v>
      </c>
    </row>
    <row r="23" spans="2:2" x14ac:dyDescent="0.15">
      <c r="B23" s="12" t="s">
        <v>79</v>
      </c>
    </row>
    <row r="24" spans="2:2" x14ac:dyDescent="0.15">
      <c r="B24" t="s">
        <v>34</v>
      </c>
    </row>
    <row r="25" spans="2:2" x14ac:dyDescent="0.15">
      <c r="B25" s="3">
        <v>2020</v>
      </c>
    </row>
    <row r="26" spans="2:2" x14ac:dyDescent="0.15">
      <c r="B26" t="s">
        <v>130</v>
      </c>
    </row>
    <row r="27" spans="2:2" x14ac:dyDescent="0.15">
      <c r="B27" t="s">
        <v>134</v>
      </c>
    </row>
    <row r="28" spans="2:2" x14ac:dyDescent="0.15">
      <c r="B28" t="s">
        <v>132</v>
      </c>
    </row>
    <row r="30" spans="2:2" x14ac:dyDescent="0.15">
      <c r="B30" s="12" t="s">
        <v>80</v>
      </c>
    </row>
    <row r="31" spans="2:2" x14ac:dyDescent="0.15">
      <c r="B31" s="13" t="s">
        <v>46</v>
      </c>
    </row>
    <row r="33" spans="1:2" x14ac:dyDescent="0.15">
      <c r="B33" s="12" t="s">
        <v>81</v>
      </c>
    </row>
    <row r="34" spans="1:2" x14ac:dyDescent="0.15">
      <c r="B34" t="s">
        <v>56</v>
      </c>
    </row>
    <row r="35" spans="1:2" x14ac:dyDescent="0.15">
      <c r="B35" s="3">
        <v>2014</v>
      </c>
    </row>
    <row r="36" spans="1:2" x14ac:dyDescent="0.15">
      <c r="B36" t="s">
        <v>57</v>
      </c>
    </row>
    <row r="37" spans="1:2" x14ac:dyDescent="0.15">
      <c r="B37" t="s">
        <v>58</v>
      </c>
    </row>
    <row r="39" spans="1:2" x14ac:dyDescent="0.15">
      <c r="B39" t="s">
        <v>59</v>
      </c>
    </row>
    <row r="40" spans="1:2" x14ac:dyDescent="0.15">
      <c r="B40" s="3">
        <v>2015</v>
      </c>
    </row>
    <row r="41" spans="1:2" x14ac:dyDescent="0.15">
      <c r="B41" t="s">
        <v>60</v>
      </c>
    </row>
    <row r="42" spans="1:2" x14ac:dyDescent="0.15">
      <c r="B42" t="s">
        <v>61</v>
      </c>
    </row>
    <row r="44" spans="1:2" x14ac:dyDescent="0.15">
      <c r="A44" s="1" t="s">
        <v>6</v>
      </c>
    </row>
    <row r="45" spans="1:2" x14ac:dyDescent="0.15">
      <c r="A45" t="s">
        <v>917</v>
      </c>
    </row>
    <row r="46" spans="1:2" x14ac:dyDescent="0.15">
      <c r="A46" t="s">
        <v>918</v>
      </c>
    </row>
    <row r="47" spans="1:2" x14ac:dyDescent="0.15">
      <c r="A47" t="s">
        <v>919</v>
      </c>
    </row>
    <row r="48" spans="1:2" x14ac:dyDescent="0.15">
      <c r="A48" s="34" t="s">
        <v>920</v>
      </c>
    </row>
    <row r="49" spans="1:2" x14ac:dyDescent="0.15">
      <c r="A49" s="1"/>
    </row>
    <row r="50" spans="1:2" x14ac:dyDescent="0.15">
      <c r="A50" t="s">
        <v>7</v>
      </c>
    </row>
    <row r="51" spans="1:2" x14ac:dyDescent="0.15">
      <c r="A51" t="s">
        <v>8</v>
      </c>
    </row>
    <row r="53" spans="1:2" x14ac:dyDescent="0.15">
      <c r="A53" t="s">
        <v>108</v>
      </c>
    </row>
    <row r="54" spans="1:2" x14ac:dyDescent="0.15">
      <c r="A54" t="s">
        <v>35</v>
      </c>
    </row>
    <row r="55" spans="1:2" x14ac:dyDescent="0.15">
      <c r="A55" t="s">
        <v>916</v>
      </c>
    </row>
    <row r="56" spans="1:2" x14ac:dyDescent="0.15">
      <c r="A56" t="s">
        <v>36</v>
      </c>
    </row>
    <row r="57" spans="1:2" ht="25.85" x14ac:dyDescent="0.15">
      <c r="A57" s="36" t="s">
        <v>932</v>
      </c>
    </row>
    <row r="58" spans="1:2" ht="25.85" x14ac:dyDescent="0.15">
      <c r="A58" s="35" t="s">
        <v>935</v>
      </c>
    </row>
    <row r="59" spans="1:2" ht="25.85" x14ac:dyDescent="0.15">
      <c r="A59" s="35" t="s">
        <v>933</v>
      </c>
    </row>
    <row r="60" spans="1:2" x14ac:dyDescent="0.15">
      <c r="A60" t="s">
        <v>934</v>
      </c>
    </row>
    <row r="61" spans="1:2" x14ac:dyDescent="0.15">
      <c r="A61" s="12" t="s">
        <v>33</v>
      </c>
      <c r="B61" s="14"/>
    </row>
    <row r="63" spans="1:2" x14ac:dyDescent="0.15">
      <c r="B63" s="12" t="s">
        <v>43</v>
      </c>
    </row>
    <row r="64" spans="1:2" x14ac:dyDescent="0.15">
      <c r="B64" s="1"/>
    </row>
    <row r="65" spans="2:2" x14ac:dyDescent="0.15">
      <c r="B65" t="s">
        <v>28</v>
      </c>
    </row>
    <row r="66" spans="2:2" x14ac:dyDescent="0.15">
      <c r="B66" t="s">
        <v>29</v>
      </c>
    </row>
    <row r="67" spans="2:2" x14ac:dyDescent="0.15">
      <c r="B67" t="s">
        <v>30</v>
      </c>
    </row>
    <row r="69" spans="2:2" x14ac:dyDescent="0.15">
      <c r="B69" t="s">
        <v>31</v>
      </c>
    </row>
    <row r="70" spans="2:2" x14ac:dyDescent="0.15">
      <c r="B70" t="s">
        <v>32</v>
      </c>
    </row>
    <row r="72" spans="2:2" x14ac:dyDescent="0.15">
      <c r="B72" t="s">
        <v>25</v>
      </c>
    </row>
    <row r="73" spans="2:2" x14ac:dyDescent="0.15">
      <c r="B73" t="s">
        <v>26</v>
      </c>
    </row>
    <row r="74" spans="2:2" x14ac:dyDescent="0.15">
      <c r="B74" t="s">
        <v>27</v>
      </c>
    </row>
    <row r="76" spans="2:2" x14ac:dyDescent="0.15">
      <c r="B76" s="12" t="s">
        <v>44</v>
      </c>
    </row>
    <row r="78" spans="2:2" x14ac:dyDescent="0.15">
      <c r="B78" t="s">
        <v>135</v>
      </c>
    </row>
    <row r="79" spans="2:2" x14ac:dyDescent="0.15">
      <c r="B79" t="s">
        <v>926</v>
      </c>
    </row>
    <row r="80" spans="2:2" x14ac:dyDescent="0.15">
      <c r="B80" t="s">
        <v>136</v>
      </c>
    </row>
    <row r="81" spans="2:2" x14ac:dyDescent="0.15">
      <c r="B81" t="s">
        <v>927</v>
      </c>
    </row>
    <row r="82" spans="2:2" x14ac:dyDescent="0.15">
      <c r="B82" t="s">
        <v>928</v>
      </c>
    </row>
    <row r="84" spans="2:2" x14ac:dyDescent="0.15">
      <c r="B84" t="s">
        <v>149</v>
      </c>
    </row>
    <row r="85" spans="2:2" x14ac:dyDescent="0.15">
      <c r="B85" t="s">
        <v>42</v>
      </c>
    </row>
    <row r="87" spans="2:2" x14ac:dyDescent="0.15">
      <c r="B87" t="s">
        <v>921</v>
      </c>
    </row>
    <row r="88" spans="2:2" x14ac:dyDescent="0.15">
      <c r="B88" t="s">
        <v>45</v>
      </c>
    </row>
    <row r="90" spans="2:2" x14ac:dyDescent="0.15">
      <c r="B90" t="s">
        <v>47</v>
      </c>
    </row>
    <row r="91" spans="2:2" x14ac:dyDescent="0.15">
      <c r="B91" t="s">
        <v>45</v>
      </c>
    </row>
    <row r="93" spans="2:2" x14ac:dyDescent="0.15">
      <c r="B93" s="12" t="s">
        <v>48</v>
      </c>
    </row>
    <row r="95" spans="2:2" x14ac:dyDescent="0.15">
      <c r="B95" t="s">
        <v>74</v>
      </c>
    </row>
    <row r="96" spans="2:2" x14ac:dyDescent="0.15">
      <c r="B96" t="s">
        <v>150</v>
      </c>
    </row>
    <row r="97" spans="2:2" x14ac:dyDescent="0.15">
      <c r="B97" t="s">
        <v>151</v>
      </c>
    </row>
    <row r="98" spans="2:2" x14ac:dyDescent="0.15">
      <c r="B98" t="s">
        <v>152</v>
      </c>
    </row>
    <row r="100" spans="2:2" x14ac:dyDescent="0.15">
      <c r="B100" t="s">
        <v>82</v>
      </c>
    </row>
    <row r="101" spans="2:2" x14ac:dyDescent="0.15">
      <c r="B101" t="s">
        <v>75</v>
      </c>
    </row>
    <row r="102" spans="2:2" x14ac:dyDescent="0.15">
      <c r="B102" t="s">
        <v>86</v>
      </c>
    </row>
    <row r="103" spans="2:2" x14ac:dyDescent="0.15">
      <c r="B103" t="s">
        <v>76</v>
      </c>
    </row>
    <row r="104" spans="2:2" x14ac:dyDescent="0.15">
      <c r="B104" t="s">
        <v>87</v>
      </c>
    </row>
    <row r="105" spans="2:2" x14ac:dyDescent="0.15">
      <c r="B105" t="s">
        <v>83</v>
      </c>
    </row>
    <row r="106" spans="2:2" x14ac:dyDescent="0.15">
      <c r="B106" t="s">
        <v>84</v>
      </c>
    </row>
    <row r="107" spans="2:2" x14ac:dyDescent="0.15">
      <c r="B107" t="s">
        <v>85</v>
      </c>
    </row>
    <row r="109" spans="2:2" x14ac:dyDescent="0.15">
      <c r="B109" t="s">
        <v>109</v>
      </c>
    </row>
    <row r="110" spans="2:2" x14ac:dyDescent="0.15">
      <c r="B110" t="s">
        <v>113</v>
      </c>
    </row>
    <row r="111" spans="2:2" x14ac:dyDescent="0.15">
      <c r="B111" t="s">
        <v>110</v>
      </c>
    </row>
    <row r="112" spans="2:2" x14ac:dyDescent="0.15">
      <c r="B112" t="s">
        <v>111</v>
      </c>
    </row>
    <row r="113" spans="2:2" x14ac:dyDescent="0.15">
      <c r="B113" t="s">
        <v>112</v>
      </c>
    </row>
    <row r="115" spans="2:2" x14ac:dyDescent="0.15">
      <c r="B115" t="s">
        <v>68</v>
      </c>
    </row>
    <row r="116" spans="2:2" x14ac:dyDescent="0.15">
      <c r="B116" t="s">
        <v>69</v>
      </c>
    </row>
    <row r="117" spans="2:2" x14ac:dyDescent="0.15">
      <c r="B117" t="s">
        <v>70</v>
      </c>
    </row>
    <row r="118" spans="2:2" x14ac:dyDescent="0.15">
      <c r="B118" t="s">
        <v>71</v>
      </c>
    </row>
    <row r="119" spans="2:2" x14ac:dyDescent="0.15">
      <c r="B119" t="s">
        <v>72</v>
      </c>
    </row>
    <row r="120" spans="2:2" x14ac:dyDescent="0.15">
      <c r="B120" t="s">
        <v>73</v>
      </c>
    </row>
    <row r="122" spans="2:2" x14ac:dyDescent="0.15">
      <c r="B122" t="s">
        <v>124</v>
      </c>
    </row>
    <row r="124" spans="2:2" x14ac:dyDescent="0.15">
      <c r="B124" t="s">
        <v>49</v>
      </c>
    </row>
    <row r="125" spans="2:2" x14ac:dyDescent="0.15">
      <c r="B125" t="s">
        <v>50</v>
      </c>
    </row>
    <row r="126" spans="2:2" x14ac:dyDescent="0.15">
      <c r="B126" t="s">
        <v>51</v>
      </c>
    </row>
    <row r="127" spans="2:2" x14ac:dyDescent="0.15">
      <c r="B127" t="s">
        <v>52</v>
      </c>
    </row>
    <row r="128" spans="2:2" x14ac:dyDescent="0.15">
      <c r="B128" t="s">
        <v>53</v>
      </c>
    </row>
    <row r="129" spans="2:2" x14ac:dyDescent="0.15">
      <c r="B129" t="s">
        <v>54</v>
      </c>
    </row>
    <row r="130" spans="2:2" x14ac:dyDescent="0.15">
      <c r="B130" t="s">
        <v>55</v>
      </c>
    </row>
  </sheetData>
  <phoneticPr fontId="11" type="noConversion"/>
  <hyperlinks>
    <hyperlink ref="B14" r:id="rId1" xr:uid="{00000000-0004-0000-0000-000000000000}"/>
    <hyperlink ref="A48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  <sheetView workbookViewId="1"/>
  </sheetViews>
  <sheetFormatPr defaultRowHeight="12.9" x14ac:dyDescent="0.15"/>
  <sheetData>
    <row r="1" spans="1:36" x14ac:dyDescent="0.1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x14ac:dyDescent="0.15">
      <c r="A10" t="s">
        <v>153</v>
      </c>
    </row>
    <row r="11" spans="1:36" x14ac:dyDescent="0.15">
      <c r="A11" t="s">
        <v>154</v>
      </c>
    </row>
    <row r="12" spans="1:36" x14ac:dyDescent="0.15">
      <c r="A12" t="s">
        <v>155</v>
      </c>
    </row>
    <row r="13" spans="1:36" x14ac:dyDescent="0.15">
      <c r="A13" t="s">
        <v>156</v>
      </c>
    </row>
    <row r="14" spans="1:36" x14ac:dyDescent="0.1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x14ac:dyDescent="0.15">
      <c r="A15" t="s">
        <v>161</v>
      </c>
      <c r="C15" t="s">
        <v>162</v>
      </c>
    </row>
    <row r="16" spans="1:36" x14ac:dyDescent="0.15">
      <c r="A16" t="s">
        <v>163</v>
      </c>
      <c r="C16" t="s">
        <v>164</v>
      </c>
    </row>
    <row r="17" spans="1:36" x14ac:dyDescent="0.15">
      <c r="A17" t="s">
        <v>165</v>
      </c>
      <c r="B17" t="s">
        <v>166</v>
      </c>
      <c r="C17" t="s">
        <v>167</v>
      </c>
      <c r="D17" t="s">
        <v>168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3">
        <v>-1E-3</v>
      </c>
    </row>
    <row r="18" spans="1:36" x14ac:dyDescent="0.15">
      <c r="A18" t="s">
        <v>169</v>
      </c>
      <c r="B18" t="s">
        <v>170</v>
      </c>
      <c r="C18" t="s">
        <v>171</v>
      </c>
      <c r="D18" t="s">
        <v>168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3">
        <v>-8.9999999999999993E-3</v>
      </c>
    </row>
    <row r="19" spans="1:36" x14ac:dyDescent="0.15">
      <c r="A19" t="s">
        <v>172</v>
      </c>
      <c r="B19" t="s">
        <v>173</v>
      </c>
      <c r="C19" t="s">
        <v>174</v>
      </c>
      <c r="D19" t="s">
        <v>168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3">
        <v>-1E-3</v>
      </c>
    </row>
    <row r="20" spans="1:36" x14ac:dyDescent="0.15">
      <c r="A20" t="s">
        <v>175</v>
      </c>
      <c r="C20" t="s">
        <v>176</v>
      </c>
    </row>
    <row r="21" spans="1:36" x14ac:dyDescent="0.15">
      <c r="A21" t="s">
        <v>177</v>
      </c>
      <c r="B21" t="s">
        <v>178</v>
      </c>
      <c r="C21" t="s">
        <v>179</v>
      </c>
      <c r="D21" t="s">
        <v>168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3">
        <v>2E-3</v>
      </c>
    </row>
    <row r="22" spans="1:36" x14ac:dyDescent="0.15">
      <c r="A22" t="s">
        <v>180</v>
      </c>
      <c r="B22" t="s">
        <v>181</v>
      </c>
      <c r="C22" t="s">
        <v>182</v>
      </c>
      <c r="D22" t="s">
        <v>168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3">
        <v>0.02</v>
      </c>
    </row>
    <row r="23" spans="1:36" x14ac:dyDescent="0.15">
      <c r="A23" t="s">
        <v>183</v>
      </c>
      <c r="B23" t="s">
        <v>184</v>
      </c>
      <c r="C23" t="s">
        <v>185</v>
      </c>
      <c r="D23" t="s">
        <v>168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3">
        <v>4.9000000000000002E-2</v>
      </c>
    </row>
    <row r="24" spans="1:36" x14ac:dyDescent="0.15">
      <c r="A24" t="s">
        <v>186</v>
      </c>
      <c r="B24" t="s">
        <v>187</v>
      </c>
      <c r="C24" t="s">
        <v>188</v>
      </c>
      <c r="D24" t="s">
        <v>168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3">
        <v>7.5999999999999998E-2</v>
      </c>
    </row>
    <row r="25" spans="1:36" x14ac:dyDescent="0.15">
      <c r="A25" t="s">
        <v>189</v>
      </c>
      <c r="B25" t="s">
        <v>190</v>
      </c>
      <c r="C25" t="s">
        <v>191</v>
      </c>
      <c r="D25" t="s">
        <v>168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3">
        <v>3.4000000000000002E-2</v>
      </c>
    </row>
    <row r="26" spans="1:36" x14ac:dyDescent="0.15">
      <c r="A26" t="s">
        <v>192</v>
      </c>
      <c r="B26" t="s">
        <v>193</v>
      </c>
      <c r="C26" t="s">
        <v>194</v>
      </c>
      <c r="D26" t="s">
        <v>168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3">
        <v>1.0999999999999999E-2</v>
      </c>
    </row>
    <row r="27" spans="1:36" x14ac:dyDescent="0.15">
      <c r="A27" t="s">
        <v>195</v>
      </c>
      <c r="B27" t="s">
        <v>196</v>
      </c>
      <c r="C27" t="s">
        <v>197</v>
      </c>
      <c r="D27" t="s">
        <v>168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15">
      <c r="A28" t="s">
        <v>198</v>
      </c>
      <c r="B28" t="s">
        <v>199</v>
      </c>
      <c r="C28" t="s">
        <v>200</v>
      </c>
      <c r="D28" t="s">
        <v>168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3">
        <v>4.9000000000000002E-2</v>
      </c>
    </row>
    <row r="29" spans="1:36" x14ac:dyDescent="0.15">
      <c r="A29" t="s">
        <v>201</v>
      </c>
      <c r="B29" t="s">
        <v>202</v>
      </c>
      <c r="C29" t="s">
        <v>203</v>
      </c>
      <c r="D29" t="s">
        <v>168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3">
        <v>1.2E-2</v>
      </c>
    </row>
    <row r="30" spans="1:36" x14ac:dyDescent="0.15">
      <c r="A30" t="s">
        <v>204</v>
      </c>
      <c r="B30" t="s">
        <v>205</v>
      </c>
      <c r="C30" t="s">
        <v>206</v>
      </c>
      <c r="D30" t="s">
        <v>168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3">
        <v>5.0000000000000001E-3</v>
      </c>
    </row>
    <row r="31" spans="1:36" x14ac:dyDescent="0.15">
      <c r="A31" t="s">
        <v>207</v>
      </c>
      <c r="B31" t="s">
        <v>208</v>
      </c>
      <c r="C31" t="s">
        <v>209</v>
      </c>
      <c r="D31" t="s">
        <v>168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3">
        <v>8.0000000000000002E-3</v>
      </c>
    </row>
    <row r="32" spans="1:36" x14ac:dyDescent="0.15">
      <c r="A32" t="s">
        <v>210</v>
      </c>
      <c r="B32" t="s">
        <v>208</v>
      </c>
      <c r="C32" t="s">
        <v>211</v>
      </c>
      <c r="D32" t="s">
        <v>168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3">
        <v>5.0000000000000001E-3</v>
      </c>
    </row>
    <row r="33" spans="1:36" x14ac:dyDescent="0.15">
      <c r="A33" t="s">
        <v>212</v>
      </c>
      <c r="B33" t="s">
        <v>213</v>
      </c>
      <c r="C33" t="s">
        <v>214</v>
      </c>
      <c r="D33" t="s">
        <v>168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15">
      <c r="A34" t="s">
        <v>215</v>
      </c>
      <c r="B34" t="s">
        <v>216</v>
      </c>
      <c r="C34" t="s">
        <v>217</v>
      </c>
      <c r="D34" t="s">
        <v>168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3">
        <v>6.8000000000000005E-2</v>
      </c>
    </row>
    <row r="35" spans="1:36" x14ac:dyDescent="0.15">
      <c r="A35" t="s">
        <v>218</v>
      </c>
      <c r="B35" t="s">
        <v>219</v>
      </c>
      <c r="C35" t="s">
        <v>220</v>
      </c>
      <c r="D35" t="s">
        <v>168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3">
        <v>4.9000000000000002E-2</v>
      </c>
    </row>
    <row r="36" spans="1:36" x14ac:dyDescent="0.15">
      <c r="A36" t="s">
        <v>114</v>
      </c>
      <c r="B36" t="s">
        <v>221</v>
      </c>
      <c r="C36" t="s">
        <v>222</v>
      </c>
      <c r="D36" t="s">
        <v>223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3">
        <v>4.2999999999999997E-2</v>
      </c>
    </row>
    <row r="37" spans="1:36" x14ac:dyDescent="0.15">
      <c r="A37" t="s">
        <v>115</v>
      </c>
      <c r="B37" t="s">
        <v>224</v>
      </c>
      <c r="C37" t="s">
        <v>225</v>
      </c>
      <c r="D37" t="s">
        <v>168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3">
        <v>6.0000000000000001E-3</v>
      </c>
    </row>
    <row r="38" spans="1:36" x14ac:dyDescent="0.15">
      <c r="A38" t="s">
        <v>226</v>
      </c>
      <c r="C38" t="s">
        <v>227</v>
      </c>
    </row>
    <row r="39" spans="1:36" x14ac:dyDescent="0.15">
      <c r="A39" t="s">
        <v>228</v>
      </c>
      <c r="C39" t="s">
        <v>229</v>
      </c>
    </row>
    <row r="40" spans="1:36" x14ac:dyDescent="0.15">
      <c r="A40" t="s">
        <v>165</v>
      </c>
      <c r="B40" t="s">
        <v>230</v>
      </c>
      <c r="C40" t="s">
        <v>231</v>
      </c>
      <c r="D40" t="s">
        <v>168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3">
        <v>3.0000000000000001E-3</v>
      </c>
    </row>
    <row r="41" spans="1:36" x14ac:dyDescent="0.15">
      <c r="A41" t="s">
        <v>169</v>
      </c>
      <c r="B41" t="s">
        <v>232</v>
      </c>
      <c r="C41" t="s">
        <v>233</v>
      </c>
      <c r="D41" t="s">
        <v>168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3">
        <v>3.1E-2</v>
      </c>
    </row>
    <row r="42" spans="1:36" x14ac:dyDescent="0.15">
      <c r="A42" t="s">
        <v>234</v>
      </c>
      <c r="B42" t="s">
        <v>235</v>
      </c>
      <c r="C42" t="s">
        <v>236</v>
      </c>
      <c r="D42" t="s">
        <v>168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3">
        <v>3.0000000000000001E-3</v>
      </c>
    </row>
    <row r="43" spans="1:36" x14ac:dyDescent="0.15">
      <c r="A43" t="s">
        <v>237</v>
      </c>
      <c r="C43" t="s">
        <v>238</v>
      </c>
    </row>
    <row r="44" spans="1:36" x14ac:dyDescent="0.15">
      <c r="A44" t="s">
        <v>177</v>
      </c>
      <c r="B44" t="s">
        <v>239</v>
      </c>
      <c r="C44" t="s">
        <v>240</v>
      </c>
      <c r="D44" t="s">
        <v>168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3">
        <v>1E-3</v>
      </c>
    </row>
    <row r="45" spans="1:36" x14ac:dyDescent="0.15">
      <c r="A45" t="s">
        <v>180</v>
      </c>
      <c r="B45" t="s">
        <v>241</v>
      </c>
      <c r="C45" t="s">
        <v>242</v>
      </c>
      <c r="D45" t="s">
        <v>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15">
      <c r="A46" t="s">
        <v>183</v>
      </c>
      <c r="B46" t="s">
        <v>243</v>
      </c>
      <c r="C46" t="s">
        <v>244</v>
      </c>
      <c r="D46" t="s">
        <v>168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3">
        <v>8.8999999999999996E-2</v>
      </c>
    </row>
    <row r="47" spans="1:36" x14ac:dyDescent="0.15">
      <c r="A47" t="s">
        <v>186</v>
      </c>
      <c r="B47" t="s">
        <v>245</v>
      </c>
      <c r="C47" t="s">
        <v>246</v>
      </c>
      <c r="D47" t="s">
        <v>168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3">
        <v>9.7000000000000003E-2</v>
      </c>
    </row>
    <row r="48" spans="1:36" x14ac:dyDescent="0.15">
      <c r="A48" t="s">
        <v>189</v>
      </c>
      <c r="B48" t="s">
        <v>247</v>
      </c>
      <c r="C48" t="s">
        <v>248</v>
      </c>
      <c r="D48" t="s">
        <v>168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3">
        <v>9.2999999999999999E-2</v>
      </c>
    </row>
    <row r="49" spans="1:36" x14ac:dyDescent="0.15">
      <c r="A49" t="s">
        <v>192</v>
      </c>
      <c r="B49" t="s">
        <v>249</v>
      </c>
      <c r="C49" t="s">
        <v>250</v>
      </c>
      <c r="D49" t="s">
        <v>168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3">
        <v>7.0000000000000007E-2</v>
      </c>
    </row>
    <row r="50" spans="1:36" x14ac:dyDescent="0.15">
      <c r="A50" t="s">
        <v>195</v>
      </c>
      <c r="B50" t="s">
        <v>251</v>
      </c>
      <c r="C50" t="s">
        <v>252</v>
      </c>
      <c r="D50" t="s">
        <v>168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15">
      <c r="A51" t="s">
        <v>198</v>
      </c>
      <c r="B51" t="s">
        <v>253</v>
      </c>
      <c r="C51" t="s">
        <v>254</v>
      </c>
      <c r="D51" t="s">
        <v>168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3">
        <v>3.9E-2</v>
      </c>
    </row>
    <row r="52" spans="1:36" x14ac:dyDescent="0.15">
      <c r="A52" t="s">
        <v>201</v>
      </c>
      <c r="B52" t="s">
        <v>255</v>
      </c>
      <c r="C52" t="s">
        <v>256</v>
      </c>
      <c r="D52" t="s">
        <v>168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3">
        <v>1.2E-2</v>
      </c>
    </row>
    <row r="53" spans="1:36" x14ac:dyDescent="0.15">
      <c r="A53" t="s">
        <v>204</v>
      </c>
      <c r="B53" t="s">
        <v>257</v>
      </c>
      <c r="C53" t="s">
        <v>258</v>
      </c>
      <c r="D53" t="s">
        <v>168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3">
        <v>7.0000000000000001E-3</v>
      </c>
    </row>
    <row r="54" spans="1:36" x14ac:dyDescent="0.15">
      <c r="A54" t="s">
        <v>207</v>
      </c>
      <c r="B54" t="s">
        <v>259</v>
      </c>
      <c r="C54" t="s">
        <v>260</v>
      </c>
      <c r="D54" t="s">
        <v>168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3">
        <v>2.3E-2</v>
      </c>
    </row>
    <row r="55" spans="1:36" x14ac:dyDescent="0.15">
      <c r="A55" t="s">
        <v>210</v>
      </c>
      <c r="B55" t="s">
        <v>261</v>
      </c>
      <c r="C55" t="s">
        <v>262</v>
      </c>
      <c r="D55" t="s">
        <v>168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3">
        <v>7.0000000000000001E-3</v>
      </c>
    </row>
    <row r="56" spans="1:36" x14ac:dyDescent="0.15">
      <c r="A56" t="s">
        <v>212</v>
      </c>
      <c r="B56" t="s">
        <v>263</v>
      </c>
      <c r="C56" t="s">
        <v>264</v>
      </c>
      <c r="D56" t="s">
        <v>168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15">
      <c r="A57" t="s">
        <v>215</v>
      </c>
      <c r="B57" t="s">
        <v>265</v>
      </c>
      <c r="C57" t="s">
        <v>266</v>
      </c>
      <c r="D57" t="s">
        <v>168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3">
        <v>0.14599999999999999</v>
      </c>
    </row>
    <row r="58" spans="1:36" x14ac:dyDescent="0.15">
      <c r="A58" t="s">
        <v>267</v>
      </c>
      <c r="B58" t="s">
        <v>268</v>
      </c>
      <c r="C58" t="s">
        <v>269</v>
      </c>
      <c r="D58" t="s">
        <v>168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3">
        <v>2.8000000000000001E-2</v>
      </c>
    </row>
    <row r="59" spans="1:36" x14ac:dyDescent="0.15">
      <c r="A59" t="s">
        <v>116</v>
      </c>
      <c r="B59" t="s">
        <v>270</v>
      </c>
      <c r="C59" t="s">
        <v>271</v>
      </c>
      <c r="D59" t="s">
        <v>223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3">
        <v>0.02</v>
      </c>
    </row>
    <row r="60" spans="1:36" x14ac:dyDescent="0.15">
      <c r="A60" t="s">
        <v>117</v>
      </c>
      <c r="B60" t="s">
        <v>272</v>
      </c>
      <c r="C60" t="s">
        <v>273</v>
      </c>
      <c r="D60" t="s">
        <v>168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3">
        <v>7.0000000000000001E-3</v>
      </c>
    </row>
    <row r="61" spans="1:36" x14ac:dyDescent="0.15">
      <c r="A61" t="s">
        <v>118</v>
      </c>
      <c r="B61" t="s">
        <v>274</v>
      </c>
      <c r="C61" t="s">
        <v>275</v>
      </c>
      <c r="D61" t="s">
        <v>223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3">
        <v>2.8000000000000001E-2</v>
      </c>
    </row>
    <row r="62" spans="1:36" x14ac:dyDescent="0.15">
      <c r="A62" t="s">
        <v>119</v>
      </c>
      <c r="B62" t="s">
        <v>276</v>
      </c>
      <c r="C62" t="s">
        <v>277</v>
      </c>
      <c r="D62" t="s">
        <v>168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3">
        <v>3.1E-2</v>
      </c>
    </row>
    <row r="63" spans="1:36" x14ac:dyDescent="0.15">
      <c r="A63" t="s">
        <v>120</v>
      </c>
      <c r="B63" t="s">
        <v>278</v>
      </c>
      <c r="C63" t="s">
        <v>279</v>
      </c>
      <c r="D63" t="s">
        <v>168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15">
      <c r="A64" t="s">
        <v>280</v>
      </c>
      <c r="B64" t="s">
        <v>281</v>
      </c>
      <c r="D64" t="s">
        <v>282</v>
      </c>
    </row>
    <row r="65" spans="1:36" x14ac:dyDescent="0.15">
      <c r="A65" t="s">
        <v>283</v>
      </c>
      <c r="B65" t="s">
        <v>284</v>
      </c>
      <c r="C65" t="s">
        <v>285</v>
      </c>
      <c r="D65" t="s">
        <v>168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3">
        <v>1E-3</v>
      </c>
    </row>
    <row r="66" spans="1:36" x14ac:dyDescent="0.15">
      <c r="A66" t="s">
        <v>286</v>
      </c>
      <c r="B66" t="s">
        <v>287</v>
      </c>
      <c r="C66" t="s">
        <v>288</v>
      </c>
      <c r="D66" t="s">
        <v>168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3">
        <v>3.1E-2</v>
      </c>
    </row>
    <row r="67" spans="1:36" x14ac:dyDescent="0.15">
      <c r="A67" t="s">
        <v>289</v>
      </c>
      <c r="B67" t="s">
        <v>290</v>
      </c>
      <c r="C67" t="s">
        <v>291</v>
      </c>
      <c r="D67" t="s">
        <v>168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3">
        <v>2E-3</v>
      </c>
    </row>
    <row r="68" spans="1:36" x14ac:dyDescent="0.15">
      <c r="A68" t="s">
        <v>292</v>
      </c>
      <c r="B68" t="s">
        <v>293</v>
      </c>
      <c r="C68" t="s">
        <v>294</v>
      </c>
      <c r="D68" t="s">
        <v>168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3">
        <v>7.5999999999999998E-2</v>
      </c>
    </row>
    <row r="69" spans="1:36" x14ac:dyDescent="0.15">
      <c r="A69" t="s">
        <v>295</v>
      </c>
      <c r="B69" t="s">
        <v>296</v>
      </c>
      <c r="C69" t="s">
        <v>297</v>
      </c>
      <c r="D69" t="s">
        <v>168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3">
        <v>5.8000000000000003E-2</v>
      </c>
    </row>
    <row r="70" spans="1:36" x14ac:dyDescent="0.15">
      <c r="A70" t="s">
        <v>298</v>
      </c>
      <c r="B70" t="s">
        <v>299</v>
      </c>
      <c r="C70" t="s">
        <v>300</v>
      </c>
      <c r="D70" t="s">
        <v>168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3">
        <v>4.2999999999999997E-2</v>
      </c>
    </row>
    <row r="71" spans="1:36" x14ac:dyDescent="0.15">
      <c r="A71" t="s">
        <v>301</v>
      </c>
      <c r="B71" t="s">
        <v>302</v>
      </c>
      <c r="C71" t="s">
        <v>303</v>
      </c>
      <c r="D71" t="s">
        <v>168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3">
        <v>8.9999999999999993E-3</v>
      </c>
    </row>
    <row r="72" spans="1:36" x14ac:dyDescent="0.15">
      <c r="A72" t="s">
        <v>304</v>
      </c>
      <c r="B72" t="s">
        <v>305</v>
      </c>
      <c r="C72" t="s">
        <v>306</v>
      </c>
      <c r="D72" t="s">
        <v>168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3">
        <v>7.3999999999999996E-2</v>
      </c>
    </row>
    <row r="73" spans="1:36" x14ac:dyDescent="0.15">
      <c r="A73" t="s">
        <v>121</v>
      </c>
      <c r="B73" t="s">
        <v>307</v>
      </c>
      <c r="C73" t="s">
        <v>308</v>
      </c>
      <c r="D73" t="s">
        <v>168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3">
        <v>7.0000000000000001E-3</v>
      </c>
    </row>
    <row r="74" spans="1:36" x14ac:dyDescent="0.15">
      <c r="A74" t="s">
        <v>309</v>
      </c>
      <c r="B74" t="s">
        <v>310</v>
      </c>
      <c r="C74" t="s">
        <v>311</v>
      </c>
      <c r="D74" t="s">
        <v>168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3">
        <v>1.6E-2</v>
      </c>
    </row>
    <row r="75" spans="1:36" x14ac:dyDescent="0.15">
      <c r="A75" t="s">
        <v>312</v>
      </c>
      <c r="B75" t="s">
        <v>313</v>
      </c>
      <c r="C75" t="s">
        <v>314</v>
      </c>
      <c r="D75" t="s">
        <v>168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15">
      <c r="A76" t="s">
        <v>122</v>
      </c>
      <c r="B76" t="s">
        <v>315</v>
      </c>
      <c r="C76" t="s">
        <v>316</v>
      </c>
      <c r="D76" t="s">
        <v>168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3">
        <v>2.1999999999999999E-2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/>
    <sheetView workbookViewId="1"/>
  </sheetViews>
  <sheetFormatPr defaultRowHeight="14.95" customHeight="1" x14ac:dyDescent="0.15"/>
  <sheetData>
    <row r="1" spans="1:36" ht="14.95" customHeight="1" x14ac:dyDescent="0.1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ht="12.9" x14ac:dyDescent="0.15">
      <c r="A10" t="s">
        <v>317</v>
      </c>
    </row>
    <row r="11" spans="1:36" ht="12.9" x14ac:dyDescent="0.15">
      <c r="A11" t="s">
        <v>318</v>
      </c>
    </row>
    <row r="12" spans="1:36" ht="12.9" x14ac:dyDescent="0.15">
      <c r="A12" t="s">
        <v>319</v>
      </c>
    </row>
    <row r="13" spans="1:36" ht="12.9" x14ac:dyDescent="0.15">
      <c r="A13" t="s">
        <v>156</v>
      </c>
    </row>
    <row r="14" spans="1:36" ht="12.9" x14ac:dyDescent="0.1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ht="12.9" x14ac:dyDescent="0.15">
      <c r="A15" t="s">
        <v>320</v>
      </c>
      <c r="C15" t="s">
        <v>361</v>
      </c>
    </row>
    <row r="16" spans="1:36" ht="12.9" x14ac:dyDescent="0.15">
      <c r="A16" t="s">
        <v>163</v>
      </c>
      <c r="C16" t="s">
        <v>362</v>
      </c>
    </row>
    <row r="17" spans="1:36" ht="12.9" x14ac:dyDescent="0.15">
      <c r="A17" t="s">
        <v>165</v>
      </c>
      <c r="B17" t="s">
        <v>321</v>
      </c>
      <c r="C17" t="s">
        <v>363</v>
      </c>
      <c r="D17" t="s">
        <v>364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3">
        <v>-1.0999999999999999E-2</v>
      </c>
    </row>
    <row r="18" spans="1:36" ht="12.9" x14ac:dyDescent="0.15">
      <c r="A18" t="s">
        <v>169</v>
      </c>
      <c r="B18" t="s">
        <v>322</v>
      </c>
      <c r="C18" t="s">
        <v>365</v>
      </c>
      <c r="D18" t="s">
        <v>364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3">
        <v>-0.115</v>
      </c>
    </row>
    <row r="19" spans="1:36" ht="12.9" x14ac:dyDescent="0.15">
      <c r="A19" t="s">
        <v>172</v>
      </c>
      <c r="B19" t="s">
        <v>323</v>
      </c>
      <c r="C19" t="s">
        <v>366</v>
      </c>
      <c r="D19" t="s">
        <v>364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3">
        <v>-1.0999999999999999E-2</v>
      </c>
    </row>
    <row r="20" spans="1:36" ht="12.9" x14ac:dyDescent="0.15">
      <c r="A20" t="s">
        <v>175</v>
      </c>
      <c r="C20" t="s">
        <v>367</v>
      </c>
    </row>
    <row r="21" spans="1:36" ht="12.9" x14ac:dyDescent="0.15">
      <c r="A21" t="s">
        <v>177</v>
      </c>
      <c r="B21" t="s">
        <v>324</v>
      </c>
      <c r="C21" t="s">
        <v>368</v>
      </c>
      <c r="D21" t="s">
        <v>364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3">
        <v>-3.4000000000000002E-2</v>
      </c>
    </row>
    <row r="22" spans="1:36" ht="12.9" x14ac:dyDescent="0.15">
      <c r="A22" t="s">
        <v>180</v>
      </c>
      <c r="B22" t="s">
        <v>325</v>
      </c>
      <c r="C22" t="s">
        <v>369</v>
      </c>
      <c r="D22" t="s">
        <v>364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3">
        <v>-3.6999999999999998E-2</v>
      </c>
    </row>
    <row r="23" spans="1:36" ht="12.9" x14ac:dyDescent="0.15">
      <c r="A23" t="s">
        <v>183</v>
      </c>
      <c r="B23" t="s">
        <v>326</v>
      </c>
      <c r="C23" t="s">
        <v>370</v>
      </c>
      <c r="D23" t="s">
        <v>364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3">
        <v>8.7999999999999995E-2</v>
      </c>
    </row>
    <row r="24" spans="1:36" ht="12.9" x14ac:dyDescent="0.15">
      <c r="A24" t="s">
        <v>186</v>
      </c>
      <c r="B24" t="s">
        <v>327</v>
      </c>
      <c r="C24" t="s">
        <v>371</v>
      </c>
      <c r="D24" t="s">
        <v>364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3">
        <v>0.1</v>
      </c>
    </row>
    <row r="25" spans="1:36" ht="12.9" x14ac:dyDescent="0.15">
      <c r="A25" t="s">
        <v>189</v>
      </c>
      <c r="B25" t="s">
        <v>328</v>
      </c>
      <c r="C25" t="s">
        <v>372</v>
      </c>
      <c r="D25" t="s">
        <v>364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3">
        <v>4.5999999999999999E-2</v>
      </c>
    </row>
    <row r="26" spans="1:36" ht="12.9" x14ac:dyDescent="0.15">
      <c r="A26" t="s">
        <v>192</v>
      </c>
      <c r="B26" t="s">
        <v>329</v>
      </c>
      <c r="C26" t="s">
        <v>373</v>
      </c>
      <c r="D26" t="s">
        <v>364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3">
        <v>-8.9999999999999993E-3</v>
      </c>
    </row>
    <row r="27" spans="1:36" ht="12.9" x14ac:dyDescent="0.15">
      <c r="A27" t="s">
        <v>195</v>
      </c>
      <c r="B27" t="s">
        <v>330</v>
      </c>
      <c r="C27" t="s">
        <v>374</v>
      </c>
      <c r="D27" t="s">
        <v>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ht="12.9" x14ac:dyDescent="0.15">
      <c r="A28" t="s">
        <v>198</v>
      </c>
      <c r="B28" t="s">
        <v>331</v>
      </c>
      <c r="C28" t="s">
        <v>375</v>
      </c>
      <c r="D28" t="s">
        <v>364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3">
        <v>0.02</v>
      </c>
    </row>
    <row r="29" spans="1:36" ht="12.9" x14ac:dyDescent="0.15">
      <c r="A29" t="s">
        <v>201</v>
      </c>
      <c r="B29" t="s">
        <v>332</v>
      </c>
      <c r="C29" t="s">
        <v>376</v>
      </c>
      <c r="D29" t="s">
        <v>364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3">
        <v>-2.1000000000000001E-2</v>
      </c>
    </row>
    <row r="30" spans="1:36" ht="12.9" x14ac:dyDescent="0.15">
      <c r="A30" t="s">
        <v>204</v>
      </c>
      <c r="B30" t="s">
        <v>333</v>
      </c>
      <c r="C30" t="s">
        <v>377</v>
      </c>
      <c r="D30" t="s">
        <v>364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3">
        <v>-1.6E-2</v>
      </c>
    </row>
    <row r="31" spans="1:36" ht="12.9" x14ac:dyDescent="0.15">
      <c r="A31" t="s">
        <v>207</v>
      </c>
      <c r="B31" t="s">
        <v>334</v>
      </c>
      <c r="C31" t="s">
        <v>378</v>
      </c>
      <c r="D31" t="s">
        <v>364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3">
        <v>2.3E-2</v>
      </c>
    </row>
    <row r="32" spans="1:36" ht="12.9" x14ac:dyDescent="0.15">
      <c r="A32" t="s">
        <v>210</v>
      </c>
      <c r="B32" t="s">
        <v>335</v>
      </c>
      <c r="C32" t="s">
        <v>379</v>
      </c>
      <c r="D32" t="s">
        <v>364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3">
        <v>4.0000000000000001E-3</v>
      </c>
    </row>
    <row r="33" spans="1:36" ht="12.9" x14ac:dyDescent="0.15">
      <c r="A33" t="s">
        <v>212</v>
      </c>
      <c r="B33" t="s">
        <v>336</v>
      </c>
      <c r="C33" t="s">
        <v>380</v>
      </c>
      <c r="D33" t="s">
        <v>364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ht="12.9" x14ac:dyDescent="0.15">
      <c r="A34" t="s">
        <v>215</v>
      </c>
      <c r="B34" t="s">
        <v>337</v>
      </c>
      <c r="C34" t="s">
        <v>381</v>
      </c>
      <c r="D34" t="s">
        <v>364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3">
        <v>2.9000000000000001E-2</v>
      </c>
    </row>
    <row r="35" spans="1:36" ht="12.9" x14ac:dyDescent="0.15">
      <c r="A35" t="s">
        <v>218</v>
      </c>
      <c r="B35" t="s">
        <v>338</v>
      </c>
      <c r="C35" t="s">
        <v>382</v>
      </c>
      <c r="D35" t="s">
        <v>364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3">
        <v>2.1999999999999999E-2</v>
      </c>
    </row>
    <row r="36" spans="1:36" ht="12.9" x14ac:dyDescent="0.15">
      <c r="A36" t="s">
        <v>24</v>
      </c>
      <c r="B36" t="s">
        <v>339</v>
      </c>
      <c r="C36" t="s">
        <v>383</v>
      </c>
      <c r="D36" t="s">
        <v>364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3">
        <v>-7.0000000000000001E-3</v>
      </c>
    </row>
    <row r="37" spans="1:36" ht="12.9" x14ac:dyDescent="0.15">
      <c r="A37" t="s">
        <v>340</v>
      </c>
      <c r="C37" t="s">
        <v>384</v>
      </c>
    </row>
    <row r="38" spans="1:36" ht="12.9" x14ac:dyDescent="0.15">
      <c r="A38" t="s">
        <v>228</v>
      </c>
      <c r="C38" t="s">
        <v>385</v>
      </c>
    </row>
    <row r="39" spans="1:36" ht="12.9" x14ac:dyDescent="0.15">
      <c r="A39" t="s">
        <v>165</v>
      </c>
      <c r="B39" t="s">
        <v>341</v>
      </c>
      <c r="C39" t="s">
        <v>386</v>
      </c>
      <c r="D39" t="s">
        <v>364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3">
        <v>7.0000000000000001E-3</v>
      </c>
    </row>
    <row r="40" spans="1:36" ht="12.9" x14ac:dyDescent="0.15">
      <c r="A40" t="s">
        <v>169</v>
      </c>
      <c r="B40" t="s">
        <v>342</v>
      </c>
      <c r="C40" t="s">
        <v>387</v>
      </c>
      <c r="D40" t="s">
        <v>364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3">
        <v>4.7E-2</v>
      </c>
    </row>
    <row r="41" spans="1:36" ht="12.9" x14ac:dyDescent="0.15">
      <c r="A41" t="s">
        <v>234</v>
      </c>
      <c r="B41" t="s">
        <v>343</v>
      </c>
      <c r="C41" t="s">
        <v>388</v>
      </c>
      <c r="D41" t="s">
        <v>364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3">
        <v>7.0000000000000001E-3</v>
      </c>
    </row>
    <row r="42" spans="1:36" ht="12.9" x14ac:dyDescent="0.15">
      <c r="A42" t="s">
        <v>237</v>
      </c>
      <c r="C42" t="s">
        <v>389</v>
      </c>
    </row>
    <row r="43" spans="1:36" ht="12.9" x14ac:dyDescent="0.15">
      <c r="A43" t="s">
        <v>177</v>
      </c>
      <c r="B43" t="s">
        <v>344</v>
      </c>
      <c r="C43" t="s">
        <v>390</v>
      </c>
      <c r="D43" t="s">
        <v>364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3">
        <v>-6.0000000000000001E-3</v>
      </c>
    </row>
    <row r="44" spans="1:36" ht="12.9" x14ac:dyDescent="0.15">
      <c r="A44" t="s">
        <v>180</v>
      </c>
      <c r="B44" t="s">
        <v>345</v>
      </c>
      <c r="C44" t="s">
        <v>391</v>
      </c>
      <c r="D44" t="s">
        <v>364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3">
        <v>-0.11600000000000001</v>
      </c>
    </row>
    <row r="45" spans="1:36" ht="12.9" x14ac:dyDescent="0.15">
      <c r="A45" t="s">
        <v>183</v>
      </c>
      <c r="B45" t="s">
        <v>346</v>
      </c>
      <c r="C45" t="s">
        <v>392</v>
      </c>
      <c r="D45" t="s">
        <v>364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3">
        <v>0.13700000000000001</v>
      </c>
    </row>
    <row r="46" spans="1:36" ht="12.9" x14ac:dyDescent="0.15">
      <c r="A46" t="s">
        <v>186</v>
      </c>
      <c r="B46" t="s">
        <v>347</v>
      </c>
      <c r="C46" t="s">
        <v>393</v>
      </c>
      <c r="D46" t="s">
        <v>364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3">
        <v>0.156</v>
      </c>
    </row>
    <row r="47" spans="1:36" ht="12.9" x14ac:dyDescent="0.15">
      <c r="A47" t="s">
        <v>189</v>
      </c>
      <c r="B47" t="s">
        <v>348</v>
      </c>
      <c r="C47" t="s">
        <v>394</v>
      </c>
      <c r="D47" t="s">
        <v>364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3">
        <v>6.9000000000000006E-2</v>
      </c>
    </row>
    <row r="48" spans="1:36" ht="12.9" x14ac:dyDescent="0.15">
      <c r="A48" t="s">
        <v>192</v>
      </c>
      <c r="B48" t="s">
        <v>349</v>
      </c>
      <c r="C48" t="s">
        <v>395</v>
      </c>
      <c r="D48" t="s">
        <v>364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3">
        <v>0.14499999999999999</v>
      </c>
    </row>
    <row r="49" spans="1:36" ht="12.9" x14ac:dyDescent="0.15">
      <c r="A49" t="s">
        <v>195</v>
      </c>
      <c r="B49" t="s">
        <v>350</v>
      </c>
      <c r="C49" t="s">
        <v>396</v>
      </c>
      <c r="D49" t="s">
        <v>364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ht="12.9" x14ac:dyDescent="0.15">
      <c r="A50" t="s">
        <v>198</v>
      </c>
      <c r="B50" t="s">
        <v>351</v>
      </c>
      <c r="C50" t="s">
        <v>397</v>
      </c>
      <c r="D50" t="s">
        <v>364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3">
        <v>8.1000000000000003E-2</v>
      </c>
    </row>
    <row r="51" spans="1:36" ht="12.9" x14ac:dyDescent="0.15">
      <c r="A51" t="s">
        <v>201</v>
      </c>
      <c r="B51" t="s">
        <v>352</v>
      </c>
      <c r="C51" t="s">
        <v>398</v>
      </c>
      <c r="D51" t="s">
        <v>364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3">
        <v>-5.0000000000000001E-3</v>
      </c>
    </row>
    <row r="52" spans="1:36" ht="12.9" x14ac:dyDescent="0.15">
      <c r="A52" t="s">
        <v>204</v>
      </c>
      <c r="B52" t="s">
        <v>353</v>
      </c>
      <c r="C52" t="s">
        <v>399</v>
      </c>
      <c r="D52" t="s">
        <v>364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3">
        <v>8.0000000000000002E-3</v>
      </c>
    </row>
    <row r="53" spans="1:36" ht="12.9" x14ac:dyDescent="0.15">
      <c r="A53" t="s">
        <v>207</v>
      </c>
      <c r="B53" t="s">
        <v>354</v>
      </c>
      <c r="C53" t="s">
        <v>400</v>
      </c>
      <c r="D53" t="s">
        <v>364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3">
        <v>1.4E-2</v>
      </c>
    </row>
    <row r="54" spans="1:36" ht="12.9" x14ac:dyDescent="0.15">
      <c r="A54" t="s">
        <v>210</v>
      </c>
      <c r="B54" t="s">
        <v>355</v>
      </c>
      <c r="C54" t="s">
        <v>401</v>
      </c>
      <c r="D54" t="s">
        <v>364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3">
        <v>-2.7E-2</v>
      </c>
    </row>
    <row r="55" spans="1:36" ht="12.9" x14ac:dyDescent="0.15">
      <c r="A55" t="s">
        <v>212</v>
      </c>
      <c r="B55" t="s">
        <v>356</v>
      </c>
      <c r="C55" t="s">
        <v>402</v>
      </c>
      <c r="D55" t="s">
        <v>364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ht="12.9" x14ac:dyDescent="0.15">
      <c r="A56" t="s">
        <v>215</v>
      </c>
      <c r="B56" t="s">
        <v>357</v>
      </c>
      <c r="C56" t="s">
        <v>403</v>
      </c>
      <c r="D56" t="s">
        <v>364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3">
        <v>0.245</v>
      </c>
    </row>
    <row r="57" spans="1:36" ht="12.9" x14ac:dyDescent="0.15">
      <c r="A57" t="s">
        <v>267</v>
      </c>
      <c r="B57" t="s">
        <v>358</v>
      </c>
      <c r="C57" t="s">
        <v>404</v>
      </c>
      <c r="D57" t="s">
        <v>364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3">
        <v>2.1999999999999999E-2</v>
      </c>
    </row>
    <row r="58" spans="1:36" ht="12.9" x14ac:dyDescent="0.15">
      <c r="A58" t="s">
        <v>22</v>
      </c>
      <c r="B58" t="s">
        <v>359</v>
      </c>
      <c r="C58" t="s">
        <v>405</v>
      </c>
      <c r="D58" t="s">
        <v>364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3">
        <v>0.01</v>
      </c>
    </row>
    <row r="59" spans="1:36" ht="12.9" x14ac:dyDescent="0.15">
      <c r="A59" t="s">
        <v>21</v>
      </c>
      <c r="B59" t="s">
        <v>360</v>
      </c>
      <c r="C59" t="s">
        <v>406</v>
      </c>
      <c r="D59" t="s">
        <v>364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3">
        <v>2E-3</v>
      </c>
    </row>
  </sheetData>
  <phoneticPr fontId="11" type="noConversion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/>
    <sheetView workbookViewId="1"/>
  </sheetViews>
  <sheetFormatPr defaultRowHeight="14.95" customHeight="1" x14ac:dyDescent="0.15"/>
  <sheetData>
    <row r="1" spans="1:36" ht="14.95" customHeight="1" x14ac:dyDescent="0.1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1" spans="1:36" ht="12.9" x14ac:dyDescent="0.15">
      <c r="A11" t="s">
        <v>407</v>
      </c>
    </row>
    <row r="12" spans="1:36" ht="12.9" x14ac:dyDescent="0.15">
      <c r="A12" t="s">
        <v>408</v>
      </c>
    </row>
    <row r="13" spans="1:36" ht="12.9" x14ac:dyDescent="0.15">
      <c r="A13" t="s">
        <v>409</v>
      </c>
    </row>
    <row r="14" spans="1:36" ht="12.9" x14ac:dyDescent="0.15">
      <c r="A14" t="s">
        <v>156</v>
      </c>
    </row>
    <row r="15" spans="1:36" ht="12.9" x14ac:dyDescent="0.15">
      <c r="B15" t="s">
        <v>157</v>
      </c>
      <c r="C15" t="s">
        <v>158</v>
      </c>
      <c r="D15" t="s">
        <v>159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160</v>
      </c>
    </row>
    <row r="16" spans="1:36" ht="12.9" x14ac:dyDescent="0.15">
      <c r="A16" t="s">
        <v>41</v>
      </c>
      <c r="C16" t="s">
        <v>660</v>
      </c>
    </row>
    <row r="17" spans="1:36" ht="12.9" x14ac:dyDescent="0.15">
      <c r="A17" t="s">
        <v>410</v>
      </c>
      <c r="C17" t="s">
        <v>661</v>
      </c>
    </row>
    <row r="18" spans="1:36" ht="12.9" x14ac:dyDescent="0.15">
      <c r="A18" t="s">
        <v>411</v>
      </c>
      <c r="C18" t="s">
        <v>662</v>
      </c>
    </row>
    <row r="19" spans="1:36" ht="12.9" x14ac:dyDescent="0.15">
      <c r="A19" t="s">
        <v>412</v>
      </c>
      <c r="B19" t="s">
        <v>413</v>
      </c>
      <c r="C19" t="s">
        <v>663</v>
      </c>
      <c r="D19" t="s">
        <v>664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3">
        <v>1.6E-2</v>
      </c>
    </row>
    <row r="20" spans="1:36" ht="12.9" x14ac:dyDescent="0.15">
      <c r="A20" t="s">
        <v>414</v>
      </c>
      <c r="B20" t="s">
        <v>415</v>
      </c>
      <c r="C20" t="s">
        <v>665</v>
      </c>
      <c r="D20" t="s">
        <v>664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3">
        <v>2.4E-2</v>
      </c>
    </row>
    <row r="21" spans="1:36" ht="12.9" x14ac:dyDescent="0.15">
      <c r="A21" t="s">
        <v>416</v>
      </c>
      <c r="B21" t="s">
        <v>417</v>
      </c>
      <c r="C21" t="s">
        <v>666</v>
      </c>
      <c r="D21" t="s">
        <v>664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3">
        <v>0.104</v>
      </c>
    </row>
    <row r="22" spans="1:36" ht="12.9" x14ac:dyDescent="0.15">
      <c r="A22" t="s">
        <v>418</v>
      </c>
      <c r="B22" t="s">
        <v>419</v>
      </c>
      <c r="C22" t="s">
        <v>667</v>
      </c>
      <c r="D22" t="s">
        <v>664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3">
        <v>7.9000000000000001E-2</v>
      </c>
    </row>
    <row r="23" spans="1:36" ht="12.9" x14ac:dyDescent="0.15">
      <c r="A23" t="s">
        <v>420</v>
      </c>
      <c r="B23" t="s">
        <v>421</v>
      </c>
      <c r="C23" t="s">
        <v>668</v>
      </c>
      <c r="D23" t="s">
        <v>664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3">
        <v>5.8000000000000003E-2</v>
      </c>
    </row>
    <row r="24" spans="1:36" ht="12.9" x14ac:dyDescent="0.15">
      <c r="A24" t="s">
        <v>292</v>
      </c>
      <c r="B24" t="s">
        <v>422</v>
      </c>
      <c r="C24" t="s">
        <v>669</v>
      </c>
      <c r="D24" t="s">
        <v>664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3">
        <v>0.13600000000000001</v>
      </c>
    </row>
    <row r="25" spans="1:36" ht="12.9" x14ac:dyDescent="0.15">
      <c r="A25" t="s">
        <v>423</v>
      </c>
      <c r="B25" t="s">
        <v>424</v>
      </c>
      <c r="C25" t="s">
        <v>670</v>
      </c>
      <c r="D25" t="s">
        <v>664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3">
        <v>0.14399999999999999</v>
      </c>
    </row>
    <row r="26" spans="1:36" ht="12.9" x14ac:dyDescent="0.15">
      <c r="A26" t="s">
        <v>425</v>
      </c>
      <c r="B26" t="s">
        <v>426</v>
      </c>
      <c r="C26" t="s">
        <v>671</v>
      </c>
      <c r="D26" t="s">
        <v>664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3">
        <v>0.14399999999999999</v>
      </c>
    </row>
    <row r="27" spans="1:36" ht="12.9" x14ac:dyDescent="0.15">
      <c r="A27" t="s">
        <v>304</v>
      </c>
      <c r="B27" t="s">
        <v>427</v>
      </c>
      <c r="C27" t="s">
        <v>672</v>
      </c>
      <c r="D27" t="s">
        <v>664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3">
        <v>0.106</v>
      </c>
    </row>
    <row r="28" spans="1:36" ht="12.9" x14ac:dyDescent="0.15">
      <c r="A28" t="s">
        <v>428</v>
      </c>
      <c r="B28" t="s">
        <v>429</v>
      </c>
      <c r="C28" t="s">
        <v>673</v>
      </c>
      <c r="D28" t="s">
        <v>664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3">
        <v>2.3E-2</v>
      </c>
    </row>
    <row r="29" spans="1:36" ht="12.9" x14ac:dyDescent="0.15">
      <c r="A29" t="s">
        <v>430</v>
      </c>
      <c r="C29" t="s">
        <v>674</v>
      </c>
    </row>
    <row r="30" spans="1:36" ht="12.9" x14ac:dyDescent="0.15">
      <c r="A30" t="s">
        <v>412</v>
      </c>
      <c r="B30" t="s">
        <v>431</v>
      </c>
      <c r="C30" t="s">
        <v>675</v>
      </c>
      <c r="D30" t="s">
        <v>664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3">
        <v>2.5999999999999999E-2</v>
      </c>
    </row>
    <row r="31" spans="1:36" ht="12.9" x14ac:dyDescent="0.15">
      <c r="A31" t="s">
        <v>414</v>
      </c>
      <c r="B31" t="s">
        <v>432</v>
      </c>
      <c r="C31" t="s">
        <v>676</v>
      </c>
      <c r="D31" t="s">
        <v>664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3">
        <v>1.7999999999999999E-2</v>
      </c>
    </row>
    <row r="32" spans="1:36" ht="12.9" x14ac:dyDescent="0.15">
      <c r="A32" t="s">
        <v>416</v>
      </c>
      <c r="B32" t="s">
        <v>433</v>
      </c>
      <c r="C32" t="s">
        <v>677</v>
      </c>
      <c r="D32" t="s">
        <v>664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3">
        <v>5.1999999999999998E-2</v>
      </c>
    </row>
    <row r="33" spans="1:36" ht="12.9" x14ac:dyDescent="0.15">
      <c r="A33" t="s">
        <v>418</v>
      </c>
      <c r="B33" t="s">
        <v>434</v>
      </c>
      <c r="C33" t="s">
        <v>678</v>
      </c>
      <c r="D33" t="s">
        <v>664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3">
        <v>5.8999999999999997E-2</v>
      </c>
    </row>
    <row r="34" spans="1:36" ht="12.9" x14ac:dyDescent="0.15">
      <c r="A34" t="s">
        <v>420</v>
      </c>
      <c r="B34" t="s">
        <v>435</v>
      </c>
      <c r="C34" t="s">
        <v>679</v>
      </c>
      <c r="D34" t="s">
        <v>664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3">
        <v>6.9000000000000006E-2</v>
      </c>
    </row>
    <row r="35" spans="1:36" ht="12.9" x14ac:dyDescent="0.15">
      <c r="A35" t="s">
        <v>292</v>
      </c>
      <c r="B35" t="s">
        <v>436</v>
      </c>
      <c r="C35" t="s">
        <v>680</v>
      </c>
      <c r="D35" t="s">
        <v>664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3">
        <v>0.129</v>
      </c>
    </row>
    <row r="36" spans="1:36" ht="12.9" x14ac:dyDescent="0.15">
      <c r="A36" t="s">
        <v>423</v>
      </c>
      <c r="B36" t="s">
        <v>437</v>
      </c>
      <c r="C36" t="s">
        <v>681</v>
      </c>
      <c r="D36" t="s">
        <v>664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3">
        <v>0.14499999999999999</v>
      </c>
    </row>
    <row r="37" spans="1:36" ht="12.9" x14ac:dyDescent="0.15">
      <c r="A37" t="s">
        <v>425</v>
      </c>
      <c r="B37" t="s">
        <v>438</v>
      </c>
      <c r="C37" t="s">
        <v>682</v>
      </c>
      <c r="D37" t="s">
        <v>664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3">
        <v>0.14499999999999999</v>
      </c>
    </row>
    <row r="38" spans="1:36" ht="12.9" x14ac:dyDescent="0.15">
      <c r="A38" t="s">
        <v>304</v>
      </c>
      <c r="B38" t="s">
        <v>439</v>
      </c>
      <c r="C38" t="s">
        <v>683</v>
      </c>
      <c r="D38" t="s">
        <v>664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3">
        <v>0.14499999999999999</v>
      </c>
    </row>
    <row r="39" spans="1:36" ht="12.9" x14ac:dyDescent="0.15">
      <c r="A39" t="s">
        <v>440</v>
      </c>
      <c r="B39" t="s">
        <v>441</v>
      </c>
      <c r="C39" t="s">
        <v>684</v>
      </c>
      <c r="D39" t="s">
        <v>664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3">
        <v>2.5000000000000001E-2</v>
      </c>
    </row>
    <row r="40" spans="1:36" ht="12.9" x14ac:dyDescent="0.15">
      <c r="A40" t="s">
        <v>442</v>
      </c>
      <c r="C40" t="s">
        <v>685</v>
      </c>
    </row>
    <row r="41" spans="1:36" ht="12.9" x14ac:dyDescent="0.15">
      <c r="A41" t="s">
        <v>412</v>
      </c>
      <c r="B41" t="s">
        <v>443</v>
      </c>
      <c r="C41" t="s">
        <v>686</v>
      </c>
      <c r="D41" t="s">
        <v>664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3">
        <v>8.9999999999999993E-3</v>
      </c>
    </row>
    <row r="42" spans="1:36" ht="12.9" x14ac:dyDescent="0.15">
      <c r="A42" t="s">
        <v>414</v>
      </c>
      <c r="B42" t="s">
        <v>444</v>
      </c>
      <c r="C42" t="s">
        <v>687</v>
      </c>
      <c r="D42" t="s">
        <v>664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3">
        <v>-1.9E-2</v>
      </c>
    </row>
    <row r="43" spans="1:36" ht="12.9" x14ac:dyDescent="0.15">
      <c r="A43" t="s">
        <v>416</v>
      </c>
      <c r="B43" t="s">
        <v>445</v>
      </c>
      <c r="C43" t="s">
        <v>688</v>
      </c>
      <c r="D43" t="s">
        <v>664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3">
        <v>2.8000000000000001E-2</v>
      </c>
    </row>
    <row r="44" spans="1:36" ht="12.9" x14ac:dyDescent="0.15">
      <c r="A44" t="s">
        <v>418</v>
      </c>
      <c r="B44" t="s">
        <v>446</v>
      </c>
      <c r="C44" t="s">
        <v>689</v>
      </c>
      <c r="D44" t="s">
        <v>664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3">
        <v>2.9000000000000001E-2</v>
      </c>
    </row>
    <row r="45" spans="1:36" ht="12.9" x14ac:dyDescent="0.15">
      <c r="A45" t="s">
        <v>420</v>
      </c>
      <c r="B45" t="s">
        <v>447</v>
      </c>
      <c r="C45" t="s">
        <v>690</v>
      </c>
      <c r="D45" t="s">
        <v>664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ht="12.9" x14ac:dyDescent="0.15">
      <c r="A46" t="s">
        <v>292</v>
      </c>
      <c r="B46" t="s">
        <v>448</v>
      </c>
      <c r="C46" t="s">
        <v>691</v>
      </c>
      <c r="D46" t="s">
        <v>664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3">
        <v>0.127</v>
      </c>
    </row>
    <row r="47" spans="1:36" ht="12.9" x14ac:dyDescent="0.15">
      <c r="A47" t="s">
        <v>423</v>
      </c>
      <c r="B47" t="s">
        <v>449</v>
      </c>
      <c r="C47" t="s">
        <v>692</v>
      </c>
      <c r="D47" t="s">
        <v>664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3">
        <v>0.11600000000000001</v>
      </c>
    </row>
    <row r="48" spans="1:36" ht="12.9" x14ac:dyDescent="0.15">
      <c r="A48" t="s">
        <v>425</v>
      </c>
      <c r="B48" t="s">
        <v>450</v>
      </c>
      <c r="C48" t="s">
        <v>693</v>
      </c>
      <c r="D48" t="s">
        <v>664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3">
        <v>0.11600000000000001</v>
      </c>
    </row>
    <row r="49" spans="1:36" ht="12.9" x14ac:dyDescent="0.15">
      <c r="A49" t="s">
        <v>304</v>
      </c>
      <c r="B49" t="s">
        <v>451</v>
      </c>
      <c r="C49" t="s">
        <v>694</v>
      </c>
      <c r="D49" t="s">
        <v>664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3">
        <v>0.11899999999999999</v>
      </c>
    </row>
    <row r="50" spans="1:36" ht="12.9" x14ac:dyDescent="0.15">
      <c r="A50" t="s">
        <v>452</v>
      </c>
      <c r="B50" t="s">
        <v>453</v>
      </c>
      <c r="C50" t="s">
        <v>695</v>
      </c>
      <c r="D50" t="s">
        <v>664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3">
        <v>8.9999999999999993E-3</v>
      </c>
    </row>
    <row r="51" spans="1:36" ht="12.9" x14ac:dyDescent="0.15">
      <c r="A51" t="s">
        <v>454</v>
      </c>
      <c r="B51" t="s">
        <v>455</v>
      </c>
      <c r="C51" t="s">
        <v>696</v>
      </c>
      <c r="D51" t="s">
        <v>664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3">
        <v>1.6E-2</v>
      </c>
    </row>
    <row r="52" spans="1:36" ht="12.9" x14ac:dyDescent="0.15">
      <c r="A52" t="s">
        <v>456</v>
      </c>
      <c r="C52" t="s">
        <v>697</v>
      </c>
    </row>
    <row r="53" spans="1:36" ht="12.9" x14ac:dyDescent="0.15">
      <c r="A53" t="s">
        <v>411</v>
      </c>
      <c r="C53" t="s">
        <v>698</v>
      </c>
    </row>
    <row r="54" spans="1:36" ht="12.9" x14ac:dyDescent="0.15">
      <c r="A54" t="s">
        <v>412</v>
      </c>
      <c r="B54" t="s">
        <v>457</v>
      </c>
      <c r="C54" t="s">
        <v>699</v>
      </c>
      <c r="D54" t="s">
        <v>700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3">
        <v>8.0000000000000002E-3</v>
      </c>
    </row>
    <row r="55" spans="1:36" ht="12.9" x14ac:dyDescent="0.15">
      <c r="A55" t="s">
        <v>414</v>
      </c>
      <c r="B55" t="s">
        <v>458</v>
      </c>
      <c r="C55" t="s">
        <v>701</v>
      </c>
      <c r="D55" t="s">
        <v>700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3">
        <v>1.2999999999999999E-2</v>
      </c>
    </row>
    <row r="56" spans="1:36" ht="12.9" x14ac:dyDescent="0.15">
      <c r="A56" t="s">
        <v>416</v>
      </c>
      <c r="B56" t="s">
        <v>459</v>
      </c>
      <c r="C56" t="s">
        <v>702</v>
      </c>
      <c r="D56" t="s">
        <v>700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3">
        <v>9.8000000000000004E-2</v>
      </c>
    </row>
    <row r="57" spans="1:36" ht="12.9" x14ac:dyDescent="0.15">
      <c r="A57" t="s">
        <v>418</v>
      </c>
      <c r="B57" t="s">
        <v>460</v>
      </c>
      <c r="C57" t="s">
        <v>703</v>
      </c>
      <c r="D57" t="s">
        <v>700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3">
        <v>7.0999999999999994E-2</v>
      </c>
    </row>
    <row r="58" spans="1:36" ht="12.9" x14ac:dyDescent="0.15">
      <c r="A58" t="s">
        <v>420</v>
      </c>
      <c r="B58" t="s">
        <v>461</v>
      </c>
      <c r="C58" t="s">
        <v>704</v>
      </c>
      <c r="D58" t="s">
        <v>700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3">
        <v>4.8000000000000001E-2</v>
      </c>
    </row>
    <row r="59" spans="1:36" ht="12.9" x14ac:dyDescent="0.15">
      <c r="A59" t="s">
        <v>292</v>
      </c>
      <c r="B59" t="s">
        <v>462</v>
      </c>
      <c r="C59" t="s">
        <v>705</v>
      </c>
      <c r="D59" t="s">
        <v>700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3">
        <v>0.13200000000000001</v>
      </c>
    </row>
    <row r="60" spans="1:36" ht="12.9" x14ac:dyDescent="0.15">
      <c r="A60" t="s">
        <v>423</v>
      </c>
      <c r="B60" t="s">
        <v>463</v>
      </c>
      <c r="C60" t="s">
        <v>706</v>
      </c>
      <c r="D60" t="s">
        <v>700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3">
        <v>0.13500000000000001</v>
      </c>
    </row>
    <row r="61" spans="1:36" ht="12.9" x14ac:dyDescent="0.15">
      <c r="A61" t="s">
        <v>425</v>
      </c>
      <c r="B61" t="s">
        <v>464</v>
      </c>
      <c r="C61" t="s">
        <v>707</v>
      </c>
      <c r="D61" t="s">
        <v>700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3">
        <v>0.14000000000000001</v>
      </c>
    </row>
    <row r="62" spans="1:36" ht="12.9" x14ac:dyDescent="0.15">
      <c r="A62" t="s">
        <v>304</v>
      </c>
      <c r="B62" t="s">
        <v>465</v>
      </c>
      <c r="C62" t="s">
        <v>708</v>
      </c>
      <c r="D62" t="s">
        <v>700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3">
        <v>0.111</v>
      </c>
    </row>
    <row r="63" spans="1:36" ht="12.9" x14ac:dyDescent="0.15">
      <c r="A63" t="s">
        <v>428</v>
      </c>
      <c r="B63" t="s">
        <v>466</v>
      </c>
      <c r="C63" t="s">
        <v>709</v>
      </c>
      <c r="D63" t="s">
        <v>700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3">
        <v>1.4999999999999999E-2</v>
      </c>
    </row>
    <row r="64" spans="1:36" ht="12.9" x14ac:dyDescent="0.15">
      <c r="A64" t="s">
        <v>430</v>
      </c>
      <c r="C64" t="s">
        <v>710</v>
      </c>
    </row>
    <row r="65" spans="1:36" ht="12.9" x14ac:dyDescent="0.15">
      <c r="A65" t="s">
        <v>412</v>
      </c>
      <c r="B65" t="s">
        <v>467</v>
      </c>
      <c r="C65" t="s">
        <v>711</v>
      </c>
      <c r="D65" t="s">
        <v>700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3">
        <v>1.4999999999999999E-2</v>
      </c>
    </row>
    <row r="66" spans="1:36" ht="12.9" x14ac:dyDescent="0.15">
      <c r="A66" t="s">
        <v>414</v>
      </c>
      <c r="B66" t="s">
        <v>468</v>
      </c>
      <c r="C66" t="s">
        <v>712</v>
      </c>
      <c r="D66" t="s">
        <v>700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3">
        <v>8.0000000000000002E-3</v>
      </c>
    </row>
    <row r="67" spans="1:36" ht="12.9" x14ac:dyDescent="0.15">
      <c r="A67" t="s">
        <v>416</v>
      </c>
      <c r="B67" t="s">
        <v>469</v>
      </c>
      <c r="C67" t="s">
        <v>713</v>
      </c>
      <c r="D67" t="s">
        <v>700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3">
        <v>4.1000000000000002E-2</v>
      </c>
    </row>
    <row r="68" spans="1:36" ht="12.9" x14ac:dyDescent="0.15">
      <c r="A68" t="s">
        <v>418</v>
      </c>
      <c r="B68" t="s">
        <v>470</v>
      </c>
      <c r="C68" t="s">
        <v>714</v>
      </c>
      <c r="D68" t="s">
        <v>700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3">
        <v>4.8000000000000001E-2</v>
      </c>
    </row>
    <row r="69" spans="1:36" ht="12.9" x14ac:dyDescent="0.15">
      <c r="A69" t="s">
        <v>420</v>
      </c>
      <c r="B69" t="s">
        <v>471</v>
      </c>
      <c r="C69" t="s">
        <v>715</v>
      </c>
      <c r="D69" t="s">
        <v>700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3">
        <v>5.8999999999999997E-2</v>
      </c>
    </row>
    <row r="70" spans="1:36" ht="12.9" x14ac:dyDescent="0.15">
      <c r="A70" t="s">
        <v>292</v>
      </c>
      <c r="B70" t="s">
        <v>472</v>
      </c>
      <c r="C70" t="s">
        <v>716</v>
      </c>
      <c r="D70" t="s">
        <v>700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3">
        <v>0.123</v>
      </c>
    </row>
    <row r="71" spans="1:36" ht="12.9" x14ac:dyDescent="0.15">
      <c r="A71" t="s">
        <v>423</v>
      </c>
      <c r="B71" t="s">
        <v>473</v>
      </c>
      <c r="C71" t="s">
        <v>717</v>
      </c>
      <c r="D71" t="s">
        <v>700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3">
        <v>0.13500000000000001</v>
      </c>
    </row>
    <row r="72" spans="1:36" ht="12.9" x14ac:dyDescent="0.15">
      <c r="A72" t="s">
        <v>425</v>
      </c>
      <c r="B72" t="s">
        <v>474</v>
      </c>
      <c r="C72" t="s">
        <v>718</v>
      </c>
      <c r="D72" t="s">
        <v>700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3">
        <v>0.13600000000000001</v>
      </c>
    </row>
    <row r="73" spans="1:36" ht="12.9" x14ac:dyDescent="0.15">
      <c r="A73" t="s">
        <v>304</v>
      </c>
      <c r="B73" t="s">
        <v>475</v>
      </c>
      <c r="C73" t="s">
        <v>719</v>
      </c>
      <c r="D73" t="s">
        <v>700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3">
        <v>0.14499999999999999</v>
      </c>
    </row>
    <row r="74" spans="1:36" ht="12.9" x14ac:dyDescent="0.15">
      <c r="A74" t="s">
        <v>440</v>
      </c>
      <c r="B74" t="s">
        <v>476</v>
      </c>
      <c r="C74" t="s">
        <v>720</v>
      </c>
      <c r="D74" t="s">
        <v>700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3">
        <v>1.4E-2</v>
      </c>
    </row>
    <row r="75" spans="1:36" ht="12.9" x14ac:dyDescent="0.15">
      <c r="A75" t="s">
        <v>442</v>
      </c>
      <c r="C75" t="s">
        <v>721</v>
      </c>
    </row>
    <row r="76" spans="1:36" ht="12.9" x14ac:dyDescent="0.15">
      <c r="A76" t="s">
        <v>412</v>
      </c>
      <c r="B76" t="s">
        <v>477</v>
      </c>
      <c r="C76" t="s">
        <v>722</v>
      </c>
      <c r="D76" t="s">
        <v>700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3">
        <v>0</v>
      </c>
    </row>
    <row r="77" spans="1:36" ht="12.9" x14ac:dyDescent="0.15">
      <c r="A77" t="s">
        <v>414</v>
      </c>
      <c r="B77" t="s">
        <v>478</v>
      </c>
      <c r="C77" t="s">
        <v>723</v>
      </c>
      <c r="D77" t="s">
        <v>700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3">
        <v>-2.9000000000000001E-2</v>
      </c>
    </row>
    <row r="78" spans="1:36" ht="12.9" x14ac:dyDescent="0.15">
      <c r="A78" t="s">
        <v>416</v>
      </c>
      <c r="B78" t="s">
        <v>479</v>
      </c>
      <c r="C78" t="s">
        <v>724</v>
      </c>
      <c r="D78" t="s">
        <v>700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3">
        <v>0.02</v>
      </c>
    </row>
    <row r="79" spans="1:36" ht="12.9" x14ac:dyDescent="0.15">
      <c r="A79" t="s">
        <v>418</v>
      </c>
      <c r="B79" t="s">
        <v>480</v>
      </c>
      <c r="C79" t="s">
        <v>725</v>
      </c>
      <c r="D79" t="s">
        <v>700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3">
        <v>2.1000000000000001E-2</v>
      </c>
    </row>
    <row r="80" spans="1:36" ht="12.9" x14ac:dyDescent="0.15">
      <c r="A80" t="s">
        <v>420</v>
      </c>
      <c r="B80" t="s">
        <v>481</v>
      </c>
      <c r="C80" t="s">
        <v>726</v>
      </c>
      <c r="D80" t="s">
        <v>700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ht="12.9" x14ac:dyDescent="0.15">
      <c r="A81" t="s">
        <v>292</v>
      </c>
      <c r="B81" t="s">
        <v>482</v>
      </c>
      <c r="C81" t="s">
        <v>727</v>
      </c>
      <c r="D81" t="s">
        <v>700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3">
        <v>0.113</v>
      </c>
    </row>
    <row r="82" spans="1:36" ht="12.9" x14ac:dyDescent="0.15">
      <c r="A82" t="s">
        <v>423</v>
      </c>
      <c r="B82" t="s">
        <v>483</v>
      </c>
      <c r="C82" t="s">
        <v>728</v>
      </c>
      <c r="D82" t="s">
        <v>700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3">
        <v>7.2999999999999995E-2</v>
      </c>
    </row>
    <row r="83" spans="1:36" ht="12.9" x14ac:dyDescent="0.15">
      <c r="A83" t="s">
        <v>425</v>
      </c>
      <c r="B83" t="s">
        <v>484</v>
      </c>
      <c r="C83" t="s">
        <v>729</v>
      </c>
      <c r="D83" t="s">
        <v>700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3">
        <v>7.2999999999999995E-2</v>
      </c>
    </row>
    <row r="84" spans="1:36" ht="12.9" x14ac:dyDescent="0.15">
      <c r="A84" t="s">
        <v>304</v>
      </c>
      <c r="B84" t="s">
        <v>485</v>
      </c>
      <c r="C84" t="s">
        <v>730</v>
      </c>
      <c r="D84" t="s">
        <v>700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3">
        <v>0.11600000000000001</v>
      </c>
    </row>
    <row r="85" spans="1:36" ht="12.9" x14ac:dyDescent="0.15">
      <c r="A85" t="s">
        <v>452</v>
      </c>
      <c r="B85" t="s">
        <v>486</v>
      </c>
      <c r="C85" t="s">
        <v>731</v>
      </c>
      <c r="D85" t="s">
        <v>700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3">
        <v>1E-3</v>
      </c>
    </row>
    <row r="86" spans="1:36" ht="12.9" x14ac:dyDescent="0.15">
      <c r="A86" t="s">
        <v>411</v>
      </c>
      <c r="B86" t="s">
        <v>487</v>
      </c>
      <c r="C86" t="s">
        <v>732</v>
      </c>
    </row>
    <row r="87" spans="1:36" ht="12.9" x14ac:dyDescent="0.15">
      <c r="A87" t="s">
        <v>412</v>
      </c>
      <c r="B87" t="s">
        <v>488</v>
      </c>
      <c r="C87" t="s">
        <v>733</v>
      </c>
      <c r="D87" t="s">
        <v>700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3">
        <v>3.0000000000000001E-3</v>
      </c>
    </row>
    <row r="88" spans="1:36" ht="12.9" x14ac:dyDescent="0.15">
      <c r="A88" t="s">
        <v>414</v>
      </c>
      <c r="B88" t="s">
        <v>489</v>
      </c>
      <c r="C88" t="s">
        <v>734</v>
      </c>
      <c r="D88" t="s">
        <v>700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3">
        <v>0.01</v>
      </c>
    </row>
    <row r="89" spans="1:36" ht="12.9" x14ac:dyDescent="0.15">
      <c r="A89" t="s">
        <v>416</v>
      </c>
      <c r="B89" t="s">
        <v>490</v>
      </c>
      <c r="C89" t="s">
        <v>735</v>
      </c>
      <c r="D89" t="s">
        <v>700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3">
        <v>4.4999999999999998E-2</v>
      </c>
    </row>
    <row r="90" spans="1:36" ht="12.9" x14ac:dyDescent="0.15">
      <c r="A90" t="s">
        <v>418</v>
      </c>
      <c r="B90" t="s">
        <v>491</v>
      </c>
      <c r="C90" t="s">
        <v>736</v>
      </c>
      <c r="D90" t="s">
        <v>700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3">
        <v>2.1999999999999999E-2</v>
      </c>
    </row>
    <row r="91" spans="1:36" ht="12.9" x14ac:dyDescent="0.15">
      <c r="A91" t="s">
        <v>420</v>
      </c>
      <c r="B91" t="s">
        <v>492</v>
      </c>
      <c r="C91" t="s">
        <v>737</v>
      </c>
      <c r="D91" t="s">
        <v>700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3">
        <v>5.0999999999999997E-2</v>
      </c>
    </row>
    <row r="92" spans="1:36" ht="12.9" x14ac:dyDescent="0.15">
      <c r="A92" t="s">
        <v>292</v>
      </c>
      <c r="B92" t="s">
        <v>493</v>
      </c>
      <c r="C92" t="s">
        <v>738</v>
      </c>
      <c r="D92" t="s">
        <v>700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3">
        <v>0.124</v>
      </c>
    </row>
    <row r="93" spans="1:36" ht="12.9" x14ac:dyDescent="0.15">
      <c r="A93" t="s">
        <v>423</v>
      </c>
      <c r="B93" t="s">
        <v>494</v>
      </c>
      <c r="C93" t="s">
        <v>739</v>
      </c>
      <c r="D93" t="s">
        <v>700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3">
        <v>0.11</v>
      </c>
    </row>
    <row r="94" spans="1:36" ht="12.9" x14ac:dyDescent="0.15">
      <c r="A94" t="s">
        <v>425</v>
      </c>
      <c r="B94" t="s">
        <v>495</v>
      </c>
      <c r="C94" t="s">
        <v>740</v>
      </c>
      <c r="D94" t="s">
        <v>700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3">
        <v>0.114</v>
      </c>
    </row>
    <row r="95" spans="1:36" ht="12.9" x14ac:dyDescent="0.15">
      <c r="A95" t="s">
        <v>304</v>
      </c>
      <c r="B95" t="s">
        <v>496</v>
      </c>
      <c r="C95" t="s">
        <v>741</v>
      </c>
      <c r="D95" t="s">
        <v>700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3">
        <v>0.13400000000000001</v>
      </c>
    </row>
    <row r="96" spans="1:36" ht="12.9" x14ac:dyDescent="0.15">
      <c r="A96" t="s">
        <v>497</v>
      </c>
      <c r="B96" t="s">
        <v>498</v>
      </c>
      <c r="C96" t="s">
        <v>742</v>
      </c>
      <c r="D96" t="s">
        <v>700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3">
        <v>5.0000000000000001E-3</v>
      </c>
    </row>
    <row r="97" spans="1:36" ht="12.9" x14ac:dyDescent="0.15">
      <c r="A97" t="s">
        <v>499</v>
      </c>
      <c r="C97" t="s">
        <v>743</v>
      </c>
    </row>
    <row r="98" spans="1:36" ht="12.9" x14ac:dyDescent="0.15">
      <c r="A98" t="s">
        <v>411</v>
      </c>
      <c r="C98" t="s">
        <v>744</v>
      </c>
    </row>
    <row r="99" spans="1:36" ht="12.9" x14ac:dyDescent="0.15">
      <c r="A99" t="s">
        <v>412</v>
      </c>
      <c r="B99" t="s">
        <v>500</v>
      </c>
      <c r="C99" t="s">
        <v>745</v>
      </c>
      <c r="D99" t="s">
        <v>746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3">
        <v>8.0000000000000002E-3</v>
      </c>
    </row>
    <row r="100" spans="1:36" ht="12.9" x14ac:dyDescent="0.15">
      <c r="A100" t="s">
        <v>414</v>
      </c>
      <c r="B100" t="s">
        <v>501</v>
      </c>
      <c r="C100" t="s">
        <v>747</v>
      </c>
      <c r="D100" t="s">
        <v>748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3">
        <v>1.0999999999999999E-2</v>
      </c>
    </row>
    <row r="101" spans="1:36" ht="12.9" x14ac:dyDescent="0.15">
      <c r="A101" t="s">
        <v>416</v>
      </c>
      <c r="B101" t="s">
        <v>502</v>
      </c>
      <c r="C101" t="s">
        <v>749</v>
      </c>
      <c r="D101" t="s">
        <v>748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3">
        <v>5.0000000000000001E-3</v>
      </c>
    </row>
    <row r="102" spans="1:36" ht="12.9" x14ac:dyDescent="0.15">
      <c r="A102" t="s">
        <v>418</v>
      </c>
      <c r="B102" t="s">
        <v>503</v>
      </c>
      <c r="C102" t="s">
        <v>750</v>
      </c>
      <c r="D102" t="s">
        <v>748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3">
        <v>7.0000000000000001E-3</v>
      </c>
    </row>
    <row r="103" spans="1:36" ht="12.9" x14ac:dyDescent="0.15">
      <c r="A103" t="s">
        <v>420</v>
      </c>
      <c r="B103" t="s">
        <v>504</v>
      </c>
      <c r="C103" t="s">
        <v>751</v>
      </c>
      <c r="D103" t="s">
        <v>748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3">
        <v>8.9999999999999993E-3</v>
      </c>
    </row>
    <row r="104" spans="1:36" ht="12.9" x14ac:dyDescent="0.15">
      <c r="A104" t="s">
        <v>292</v>
      </c>
      <c r="B104" t="s">
        <v>505</v>
      </c>
      <c r="C104" t="s">
        <v>752</v>
      </c>
      <c r="D104" t="s">
        <v>746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3">
        <v>3.0000000000000001E-3</v>
      </c>
    </row>
    <row r="105" spans="1:36" ht="12.9" x14ac:dyDescent="0.15">
      <c r="A105" t="s">
        <v>423</v>
      </c>
      <c r="B105" t="s">
        <v>506</v>
      </c>
      <c r="C105" t="s">
        <v>753</v>
      </c>
      <c r="D105" t="s">
        <v>746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3">
        <v>8.0000000000000002E-3</v>
      </c>
    </row>
    <row r="106" spans="1:36" ht="12.9" x14ac:dyDescent="0.15">
      <c r="A106" t="s">
        <v>425</v>
      </c>
      <c r="B106" t="s">
        <v>507</v>
      </c>
      <c r="C106" t="s">
        <v>754</v>
      </c>
      <c r="D106" t="s">
        <v>748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3">
        <v>4.0000000000000001E-3</v>
      </c>
    </row>
    <row r="107" spans="1:36" ht="12.9" x14ac:dyDescent="0.15">
      <c r="A107" t="s">
        <v>304</v>
      </c>
      <c r="B107" t="s">
        <v>508</v>
      </c>
      <c r="C107" t="s">
        <v>755</v>
      </c>
      <c r="D107" t="s">
        <v>746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3">
        <v>-4.0000000000000001E-3</v>
      </c>
    </row>
    <row r="108" spans="1:36" ht="12.9" x14ac:dyDescent="0.15">
      <c r="A108" t="s">
        <v>509</v>
      </c>
      <c r="B108" t="s">
        <v>510</v>
      </c>
      <c r="C108" t="s">
        <v>756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3">
        <v>8.0000000000000002E-3</v>
      </c>
    </row>
    <row r="109" spans="1:36" ht="12.9" x14ac:dyDescent="0.15">
      <c r="A109" t="s">
        <v>430</v>
      </c>
      <c r="C109" t="s">
        <v>757</v>
      </c>
    </row>
    <row r="110" spans="1:36" ht="12.9" x14ac:dyDescent="0.15">
      <c r="A110" t="s">
        <v>412</v>
      </c>
      <c r="B110" t="s">
        <v>511</v>
      </c>
      <c r="C110" t="s">
        <v>758</v>
      </c>
      <c r="D110" t="s">
        <v>746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3">
        <v>1.2E-2</v>
      </c>
    </row>
    <row r="111" spans="1:36" ht="12.9" x14ac:dyDescent="0.15">
      <c r="A111" t="s">
        <v>414</v>
      </c>
      <c r="B111" t="s">
        <v>512</v>
      </c>
      <c r="C111" t="s">
        <v>759</v>
      </c>
      <c r="D111" t="s">
        <v>748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3">
        <v>0.01</v>
      </c>
    </row>
    <row r="112" spans="1:36" ht="12.9" x14ac:dyDescent="0.15">
      <c r="A112" t="s">
        <v>416</v>
      </c>
      <c r="B112" t="s">
        <v>513</v>
      </c>
      <c r="C112" t="s">
        <v>760</v>
      </c>
      <c r="D112" t="s">
        <v>748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3">
        <v>0.01</v>
      </c>
    </row>
    <row r="113" spans="1:36" ht="12.9" x14ac:dyDescent="0.15">
      <c r="A113" t="s">
        <v>418</v>
      </c>
      <c r="B113" t="s">
        <v>514</v>
      </c>
      <c r="C113" t="s">
        <v>761</v>
      </c>
      <c r="D113" t="s">
        <v>748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3">
        <v>1.0999999999999999E-2</v>
      </c>
    </row>
    <row r="114" spans="1:36" ht="12.9" x14ac:dyDescent="0.15">
      <c r="A114" t="s">
        <v>420</v>
      </c>
      <c r="B114" t="s">
        <v>515</v>
      </c>
      <c r="C114" t="s">
        <v>762</v>
      </c>
      <c r="D114" t="s">
        <v>763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3">
        <v>8.9999999999999993E-3</v>
      </c>
    </row>
    <row r="115" spans="1:36" ht="12.9" x14ac:dyDescent="0.15">
      <c r="A115" t="s">
        <v>292</v>
      </c>
      <c r="B115" t="s">
        <v>516</v>
      </c>
      <c r="C115" t="s">
        <v>764</v>
      </c>
      <c r="D115" t="s">
        <v>748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3">
        <v>5.0000000000000001E-3</v>
      </c>
    </row>
    <row r="116" spans="1:36" ht="12.9" x14ac:dyDescent="0.15">
      <c r="A116" t="s">
        <v>423</v>
      </c>
      <c r="B116" t="s">
        <v>517</v>
      </c>
      <c r="C116" t="s">
        <v>765</v>
      </c>
      <c r="D116" t="s">
        <v>748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3">
        <v>8.0000000000000002E-3</v>
      </c>
    </row>
    <row r="117" spans="1:36" ht="12.9" x14ac:dyDescent="0.15">
      <c r="A117" t="s">
        <v>425</v>
      </c>
      <c r="B117" t="s">
        <v>518</v>
      </c>
      <c r="C117" t="s">
        <v>766</v>
      </c>
      <c r="D117" t="s">
        <v>748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3">
        <v>8.0000000000000002E-3</v>
      </c>
    </row>
    <row r="118" spans="1:36" ht="12.9" x14ac:dyDescent="0.15">
      <c r="A118" t="s">
        <v>304</v>
      </c>
      <c r="B118" t="s">
        <v>519</v>
      </c>
      <c r="C118" t="s">
        <v>767</v>
      </c>
      <c r="D118" t="s">
        <v>748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3">
        <v>0</v>
      </c>
    </row>
    <row r="119" spans="1:36" ht="12.9" x14ac:dyDescent="0.15">
      <c r="A119" t="s">
        <v>520</v>
      </c>
      <c r="B119" t="s">
        <v>521</v>
      </c>
      <c r="C119" t="s">
        <v>768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3">
        <v>1.2E-2</v>
      </c>
    </row>
    <row r="120" spans="1:36" ht="12.9" x14ac:dyDescent="0.15">
      <c r="A120" t="s">
        <v>442</v>
      </c>
      <c r="C120" t="s">
        <v>769</v>
      </c>
    </row>
    <row r="121" spans="1:36" ht="12.9" x14ac:dyDescent="0.15">
      <c r="A121" t="s">
        <v>412</v>
      </c>
      <c r="B121" t="s">
        <v>522</v>
      </c>
      <c r="C121" t="s">
        <v>770</v>
      </c>
      <c r="D121" t="s">
        <v>746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3">
        <v>8.0000000000000002E-3</v>
      </c>
    </row>
    <row r="122" spans="1:36" ht="12.9" x14ac:dyDescent="0.15">
      <c r="A122" t="s">
        <v>414</v>
      </c>
      <c r="B122" t="s">
        <v>523</v>
      </c>
      <c r="C122" t="s">
        <v>771</v>
      </c>
      <c r="D122" t="s">
        <v>748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3">
        <v>0.01</v>
      </c>
    </row>
    <row r="123" spans="1:36" ht="12.9" x14ac:dyDescent="0.15">
      <c r="A123" t="s">
        <v>416</v>
      </c>
      <c r="B123" t="s">
        <v>524</v>
      </c>
      <c r="C123" t="s">
        <v>772</v>
      </c>
      <c r="D123" t="s">
        <v>748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3">
        <v>7.0000000000000001E-3</v>
      </c>
    </row>
    <row r="124" spans="1:36" ht="12.9" x14ac:dyDescent="0.15">
      <c r="A124" t="s">
        <v>418</v>
      </c>
      <c r="B124" t="s">
        <v>525</v>
      </c>
      <c r="C124" t="s">
        <v>773</v>
      </c>
      <c r="D124" t="s">
        <v>746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3">
        <v>8.0000000000000002E-3</v>
      </c>
    </row>
    <row r="125" spans="1:36" ht="12.9" x14ac:dyDescent="0.15">
      <c r="A125" t="s">
        <v>420</v>
      </c>
      <c r="B125" t="s">
        <v>526</v>
      </c>
      <c r="C125" t="s">
        <v>774</v>
      </c>
      <c r="D125" t="s">
        <v>748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ht="12.9" x14ac:dyDescent="0.15">
      <c r="A126" t="s">
        <v>292</v>
      </c>
      <c r="B126" t="s">
        <v>527</v>
      </c>
      <c r="C126" t="s">
        <v>775</v>
      </c>
      <c r="D126" t="s">
        <v>746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3">
        <v>1.2E-2</v>
      </c>
    </row>
    <row r="127" spans="1:36" ht="12.9" x14ac:dyDescent="0.15">
      <c r="A127" t="s">
        <v>423</v>
      </c>
      <c r="B127" t="s">
        <v>528</v>
      </c>
      <c r="C127" t="s">
        <v>776</v>
      </c>
      <c r="D127" t="s">
        <v>746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3">
        <v>0.04</v>
      </c>
    </row>
    <row r="128" spans="1:36" ht="12.9" x14ac:dyDescent="0.15">
      <c r="A128" t="s">
        <v>425</v>
      </c>
      <c r="B128" t="s">
        <v>529</v>
      </c>
      <c r="C128" t="s">
        <v>777</v>
      </c>
      <c r="D128" t="s">
        <v>748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3">
        <v>0.04</v>
      </c>
    </row>
    <row r="129" spans="1:36" ht="12.9" x14ac:dyDescent="0.15">
      <c r="A129" t="s">
        <v>304</v>
      </c>
      <c r="B129" t="s">
        <v>530</v>
      </c>
      <c r="C129" t="s">
        <v>778</v>
      </c>
      <c r="D129" t="s">
        <v>746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3">
        <v>2E-3</v>
      </c>
    </row>
    <row r="130" spans="1:36" ht="12.9" x14ac:dyDescent="0.15">
      <c r="A130" t="s">
        <v>531</v>
      </c>
      <c r="B130" t="s">
        <v>532</v>
      </c>
      <c r="C130" t="s">
        <v>779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3">
        <v>8.0000000000000002E-3</v>
      </c>
    </row>
    <row r="131" spans="1:36" ht="12.9" x14ac:dyDescent="0.15">
      <c r="A131" t="s">
        <v>533</v>
      </c>
      <c r="B131" t="s">
        <v>534</v>
      </c>
      <c r="C131" t="s">
        <v>780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3">
        <v>1.0999999999999999E-2</v>
      </c>
    </row>
    <row r="132" spans="1:36" ht="12.9" x14ac:dyDescent="0.15">
      <c r="A132" t="s">
        <v>535</v>
      </c>
      <c r="C132" t="s">
        <v>781</v>
      </c>
    </row>
    <row r="133" spans="1:36" ht="12.9" x14ac:dyDescent="0.15">
      <c r="A133" t="s">
        <v>411</v>
      </c>
      <c r="C133" t="s">
        <v>782</v>
      </c>
    </row>
    <row r="134" spans="1:36" ht="12.9" x14ac:dyDescent="0.15">
      <c r="A134" t="s">
        <v>412</v>
      </c>
      <c r="B134" t="s">
        <v>536</v>
      </c>
      <c r="C134" t="s">
        <v>783</v>
      </c>
      <c r="D134" t="s">
        <v>364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3">
        <v>2.1999999999999999E-2</v>
      </c>
    </row>
    <row r="135" spans="1:36" ht="12.9" x14ac:dyDescent="0.15">
      <c r="A135" t="s">
        <v>414</v>
      </c>
      <c r="B135" t="s">
        <v>537</v>
      </c>
      <c r="C135" t="s">
        <v>784</v>
      </c>
      <c r="D135" t="s">
        <v>364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3">
        <v>2.1000000000000001E-2</v>
      </c>
    </row>
    <row r="136" spans="1:36" ht="12.9" x14ac:dyDescent="0.15">
      <c r="A136" t="s">
        <v>416</v>
      </c>
      <c r="B136" t="s">
        <v>538</v>
      </c>
      <c r="C136" t="s">
        <v>785</v>
      </c>
      <c r="D136" t="s">
        <v>364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3">
        <v>0.11600000000000001</v>
      </c>
    </row>
    <row r="137" spans="1:36" ht="12.9" x14ac:dyDescent="0.15">
      <c r="A137" t="s">
        <v>418</v>
      </c>
      <c r="B137" t="s">
        <v>539</v>
      </c>
      <c r="C137" t="s">
        <v>786</v>
      </c>
      <c r="D137" t="s">
        <v>364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3">
        <v>0.10100000000000001</v>
      </c>
    </row>
    <row r="138" spans="1:36" ht="12.9" x14ac:dyDescent="0.15">
      <c r="A138" t="s">
        <v>420</v>
      </c>
      <c r="B138" t="s">
        <v>540</v>
      </c>
      <c r="C138" t="s">
        <v>787</v>
      </c>
      <c r="D138" t="s">
        <v>364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3">
        <v>6.6000000000000003E-2</v>
      </c>
    </row>
    <row r="139" spans="1:36" ht="12.9" x14ac:dyDescent="0.15">
      <c r="A139" t="s">
        <v>292</v>
      </c>
      <c r="B139" t="s">
        <v>541</v>
      </c>
      <c r="C139" t="s">
        <v>788</v>
      </c>
      <c r="D139" t="s">
        <v>364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3">
        <v>0.14299999999999999</v>
      </c>
    </row>
    <row r="140" spans="1:36" ht="12.9" x14ac:dyDescent="0.15">
      <c r="A140" t="s">
        <v>423</v>
      </c>
      <c r="B140" t="s">
        <v>542</v>
      </c>
      <c r="C140" t="s">
        <v>789</v>
      </c>
      <c r="D140" t="s">
        <v>364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3">
        <v>0.153</v>
      </c>
    </row>
    <row r="141" spans="1:36" ht="12.9" x14ac:dyDescent="0.15">
      <c r="A141" t="s">
        <v>425</v>
      </c>
      <c r="B141" t="s">
        <v>543</v>
      </c>
      <c r="C141" t="s">
        <v>790</v>
      </c>
      <c r="D141" t="s">
        <v>364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3">
        <v>0.153</v>
      </c>
    </row>
    <row r="142" spans="1:36" ht="12.9" x14ac:dyDescent="0.15">
      <c r="A142" t="s">
        <v>304</v>
      </c>
      <c r="B142" t="s">
        <v>544</v>
      </c>
      <c r="C142" t="s">
        <v>791</v>
      </c>
      <c r="D142" t="s">
        <v>364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3">
        <v>0.123</v>
      </c>
    </row>
    <row r="143" spans="1:36" ht="12.9" x14ac:dyDescent="0.15">
      <c r="A143" t="s">
        <v>428</v>
      </c>
      <c r="B143" t="s">
        <v>545</v>
      </c>
      <c r="C143" t="s">
        <v>792</v>
      </c>
      <c r="D143" t="s">
        <v>364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3">
        <v>2.7E-2</v>
      </c>
    </row>
    <row r="144" spans="1:36" ht="12.9" x14ac:dyDescent="0.15">
      <c r="A144" t="s">
        <v>430</v>
      </c>
      <c r="C144" t="s">
        <v>793</v>
      </c>
    </row>
    <row r="145" spans="1:36" ht="12.9" x14ac:dyDescent="0.15">
      <c r="A145" t="s">
        <v>412</v>
      </c>
      <c r="B145" t="s">
        <v>546</v>
      </c>
      <c r="C145" t="s">
        <v>794</v>
      </c>
      <c r="D145" t="s">
        <v>364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3">
        <v>2.1000000000000001E-2</v>
      </c>
    </row>
    <row r="146" spans="1:36" ht="12.9" x14ac:dyDescent="0.15">
      <c r="A146" t="s">
        <v>414</v>
      </c>
      <c r="B146" t="s">
        <v>547</v>
      </c>
      <c r="C146" t="s">
        <v>795</v>
      </c>
      <c r="D146" t="s">
        <v>364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3">
        <v>1.4E-2</v>
      </c>
    </row>
    <row r="147" spans="1:36" ht="12.9" x14ac:dyDescent="0.15">
      <c r="A147" t="s">
        <v>416</v>
      </c>
      <c r="B147" t="s">
        <v>548</v>
      </c>
      <c r="C147" t="s">
        <v>796</v>
      </c>
      <c r="D147" t="s">
        <v>364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3">
        <v>4.2999999999999997E-2</v>
      </c>
    </row>
    <row r="148" spans="1:36" ht="12.9" x14ac:dyDescent="0.15">
      <c r="A148" t="s">
        <v>418</v>
      </c>
      <c r="B148" t="s">
        <v>549</v>
      </c>
      <c r="C148" t="s">
        <v>797</v>
      </c>
      <c r="D148" t="s">
        <v>364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3">
        <v>6.4000000000000001E-2</v>
      </c>
    </row>
    <row r="149" spans="1:36" ht="12.9" x14ac:dyDescent="0.15">
      <c r="A149" t="s">
        <v>420</v>
      </c>
      <c r="B149" t="s">
        <v>550</v>
      </c>
      <c r="C149" t="s">
        <v>798</v>
      </c>
      <c r="D149" t="s">
        <v>364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3">
        <v>7.3999999999999996E-2</v>
      </c>
    </row>
    <row r="150" spans="1:36" ht="12.9" x14ac:dyDescent="0.15">
      <c r="A150" t="s">
        <v>292</v>
      </c>
      <c r="B150" t="s">
        <v>551</v>
      </c>
      <c r="C150" t="s">
        <v>799</v>
      </c>
      <c r="D150" t="s">
        <v>364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3">
        <v>0.13900000000000001</v>
      </c>
    </row>
    <row r="151" spans="1:36" ht="12.9" x14ac:dyDescent="0.15">
      <c r="A151" t="s">
        <v>423</v>
      </c>
      <c r="B151" t="s">
        <v>552</v>
      </c>
      <c r="C151" t="s">
        <v>800</v>
      </c>
      <c r="D151" t="s">
        <v>364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3">
        <v>0.157</v>
      </c>
    </row>
    <row r="152" spans="1:36" ht="12.9" x14ac:dyDescent="0.15">
      <c r="A152" t="s">
        <v>425</v>
      </c>
      <c r="B152" t="s">
        <v>553</v>
      </c>
      <c r="C152" t="s">
        <v>801</v>
      </c>
      <c r="D152" t="s">
        <v>364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3">
        <v>0.157</v>
      </c>
    </row>
    <row r="153" spans="1:36" ht="12.9" x14ac:dyDescent="0.15">
      <c r="A153" t="s">
        <v>304</v>
      </c>
      <c r="B153" t="s">
        <v>554</v>
      </c>
      <c r="C153" t="s">
        <v>802</v>
      </c>
      <c r="D153" t="s">
        <v>364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3">
        <v>0.157</v>
      </c>
    </row>
    <row r="154" spans="1:36" ht="12.9" x14ac:dyDescent="0.15">
      <c r="A154" t="s">
        <v>440</v>
      </c>
      <c r="B154" t="s">
        <v>555</v>
      </c>
      <c r="C154" t="s">
        <v>803</v>
      </c>
      <c r="D154" t="s">
        <v>364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3">
        <v>0.02</v>
      </c>
    </row>
    <row r="155" spans="1:36" ht="12.9" x14ac:dyDescent="0.15">
      <c r="A155" t="s">
        <v>442</v>
      </c>
      <c r="C155" t="s">
        <v>804</v>
      </c>
    </row>
    <row r="156" spans="1:36" ht="12.9" x14ac:dyDescent="0.15">
      <c r="A156" t="s">
        <v>412</v>
      </c>
      <c r="B156" t="s">
        <v>556</v>
      </c>
      <c r="C156" t="s">
        <v>805</v>
      </c>
      <c r="D156" t="s">
        <v>364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3">
        <v>8.0000000000000002E-3</v>
      </c>
    </row>
    <row r="157" spans="1:36" ht="12.9" x14ac:dyDescent="0.15">
      <c r="A157" t="s">
        <v>414</v>
      </c>
      <c r="B157" t="s">
        <v>557</v>
      </c>
      <c r="C157" t="s">
        <v>806</v>
      </c>
      <c r="D157" t="s">
        <v>364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3">
        <v>-4.2000000000000003E-2</v>
      </c>
    </row>
    <row r="158" spans="1:36" ht="12.9" x14ac:dyDescent="0.15">
      <c r="A158" t="s">
        <v>416</v>
      </c>
      <c r="B158" t="s">
        <v>558</v>
      </c>
      <c r="C158" t="s">
        <v>807</v>
      </c>
      <c r="D158" t="s">
        <v>364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3">
        <v>0.02</v>
      </c>
    </row>
    <row r="159" spans="1:36" ht="12.9" x14ac:dyDescent="0.15">
      <c r="A159" t="s">
        <v>418</v>
      </c>
      <c r="B159" t="s">
        <v>559</v>
      </c>
      <c r="C159" t="s">
        <v>808</v>
      </c>
      <c r="D159" t="s">
        <v>364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3">
        <v>3.4000000000000002E-2</v>
      </c>
    </row>
    <row r="160" spans="1:36" ht="12.9" x14ac:dyDescent="0.15">
      <c r="A160" t="s">
        <v>420</v>
      </c>
      <c r="B160" t="s">
        <v>560</v>
      </c>
      <c r="C160" t="s">
        <v>809</v>
      </c>
      <c r="D160" t="s">
        <v>364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ht="12.9" x14ac:dyDescent="0.15">
      <c r="A161" t="s">
        <v>292</v>
      </c>
      <c r="B161" t="s">
        <v>561</v>
      </c>
      <c r="C161" t="s">
        <v>810</v>
      </c>
      <c r="D161" t="s">
        <v>364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3">
        <v>0.13700000000000001</v>
      </c>
    </row>
    <row r="162" spans="1:36" ht="12.9" x14ac:dyDescent="0.15">
      <c r="A162" t="s">
        <v>423</v>
      </c>
      <c r="B162" t="s">
        <v>562</v>
      </c>
      <c r="C162" t="s">
        <v>811</v>
      </c>
      <c r="D162" t="s">
        <v>364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3">
        <v>0.124</v>
      </c>
    </row>
    <row r="163" spans="1:36" ht="12.9" x14ac:dyDescent="0.15">
      <c r="A163" t="s">
        <v>425</v>
      </c>
      <c r="B163" t="s">
        <v>563</v>
      </c>
      <c r="C163" t="s">
        <v>812</v>
      </c>
      <c r="D163" t="s">
        <v>364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3">
        <v>0.123</v>
      </c>
    </row>
    <row r="164" spans="1:36" ht="12.9" x14ac:dyDescent="0.15">
      <c r="A164" t="s">
        <v>304</v>
      </c>
      <c r="B164" t="s">
        <v>564</v>
      </c>
      <c r="C164" t="s">
        <v>813</v>
      </c>
      <c r="D164" t="s">
        <v>364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3">
        <v>0.126</v>
      </c>
    </row>
    <row r="165" spans="1:36" ht="12.9" x14ac:dyDescent="0.15">
      <c r="A165" t="s">
        <v>452</v>
      </c>
      <c r="B165" t="s">
        <v>565</v>
      </c>
      <c r="C165" t="s">
        <v>814</v>
      </c>
      <c r="D165" t="s">
        <v>364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3">
        <v>8.9999999999999993E-3</v>
      </c>
    </row>
    <row r="166" spans="1:36" ht="12.9" x14ac:dyDescent="0.15">
      <c r="A166" t="s">
        <v>21</v>
      </c>
      <c r="B166" t="s">
        <v>566</v>
      </c>
      <c r="C166" t="s">
        <v>815</v>
      </c>
      <c r="D166" t="s">
        <v>364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3">
        <v>1.7999999999999999E-2</v>
      </c>
    </row>
    <row r="167" spans="1:36" ht="12.9" x14ac:dyDescent="0.15">
      <c r="A167" t="s">
        <v>40</v>
      </c>
      <c r="C167" t="s">
        <v>816</v>
      </c>
    </row>
    <row r="168" spans="1:36" ht="12.9" x14ac:dyDescent="0.15">
      <c r="A168" t="s">
        <v>499</v>
      </c>
      <c r="C168" t="s">
        <v>817</v>
      </c>
    </row>
    <row r="169" spans="1:36" ht="12.9" x14ac:dyDescent="0.15">
      <c r="A169" t="s">
        <v>411</v>
      </c>
      <c r="C169" t="s">
        <v>818</v>
      </c>
    </row>
    <row r="170" spans="1:36" ht="12.9" x14ac:dyDescent="0.15">
      <c r="A170" t="s">
        <v>412</v>
      </c>
      <c r="B170" t="s">
        <v>567</v>
      </c>
      <c r="C170" t="s">
        <v>819</v>
      </c>
      <c r="D170" t="s">
        <v>746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3">
        <v>4.0000000000000001E-3</v>
      </c>
    </row>
    <row r="171" spans="1:36" ht="12.9" x14ac:dyDescent="0.15">
      <c r="A171" t="s">
        <v>414</v>
      </c>
      <c r="B171" t="s">
        <v>568</v>
      </c>
      <c r="C171" t="s">
        <v>820</v>
      </c>
      <c r="D171" t="s">
        <v>748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3">
        <v>7.0000000000000001E-3</v>
      </c>
    </row>
    <row r="172" spans="1:36" ht="12.9" x14ac:dyDescent="0.15">
      <c r="A172" t="s">
        <v>416</v>
      </c>
      <c r="B172" t="s">
        <v>569</v>
      </c>
      <c r="C172" t="s">
        <v>821</v>
      </c>
      <c r="D172" t="s">
        <v>748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3">
        <v>4.0000000000000001E-3</v>
      </c>
    </row>
    <row r="173" spans="1:36" ht="12.9" x14ac:dyDescent="0.15">
      <c r="A173" t="s">
        <v>418</v>
      </c>
      <c r="B173" t="s">
        <v>570</v>
      </c>
      <c r="C173" t="s">
        <v>822</v>
      </c>
      <c r="D173" t="s">
        <v>748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3">
        <v>4.0000000000000001E-3</v>
      </c>
    </row>
    <row r="174" spans="1:36" ht="12.9" x14ac:dyDescent="0.15">
      <c r="A174" t="s">
        <v>420</v>
      </c>
      <c r="B174" t="s">
        <v>571</v>
      </c>
      <c r="C174" t="s">
        <v>823</v>
      </c>
      <c r="D174" t="s">
        <v>748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3">
        <v>7.0000000000000001E-3</v>
      </c>
    </row>
    <row r="175" spans="1:36" ht="12.9" x14ac:dyDescent="0.15">
      <c r="A175" t="s">
        <v>292</v>
      </c>
      <c r="B175" t="s">
        <v>572</v>
      </c>
      <c r="C175" t="s">
        <v>824</v>
      </c>
      <c r="D175" t="s">
        <v>746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3">
        <v>3.0000000000000001E-3</v>
      </c>
    </row>
    <row r="176" spans="1:36" ht="12.9" x14ac:dyDescent="0.15">
      <c r="A176" t="s">
        <v>423</v>
      </c>
      <c r="B176" t="s">
        <v>573</v>
      </c>
      <c r="C176" t="s">
        <v>825</v>
      </c>
      <c r="D176" t="s">
        <v>746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3">
        <v>8.0000000000000002E-3</v>
      </c>
    </row>
    <row r="177" spans="1:36" ht="12.9" x14ac:dyDescent="0.15">
      <c r="A177" t="s">
        <v>425</v>
      </c>
      <c r="B177" t="s">
        <v>574</v>
      </c>
      <c r="C177" t="s">
        <v>826</v>
      </c>
      <c r="D177" t="s">
        <v>748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3">
        <v>4.0000000000000001E-3</v>
      </c>
    </row>
    <row r="178" spans="1:36" ht="12.9" x14ac:dyDescent="0.15">
      <c r="A178" t="s">
        <v>304</v>
      </c>
      <c r="B178" t="s">
        <v>575</v>
      </c>
      <c r="C178" t="s">
        <v>827</v>
      </c>
      <c r="D178" t="s">
        <v>746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3">
        <v>-4.0000000000000001E-3</v>
      </c>
    </row>
    <row r="179" spans="1:36" ht="12.9" x14ac:dyDescent="0.15">
      <c r="A179" t="s">
        <v>509</v>
      </c>
      <c r="B179" t="s">
        <v>576</v>
      </c>
      <c r="C179" t="s">
        <v>828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3">
        <v>4.0000000000000001E-3</v>
      </c>
    </row>
    <row r="180" spans="1:36" ht="12.9" x14ac:dyDescent="0.15">
      <c r="A180" t="s">
        <v>430</v>
      </c>
      <c r="C180" t="s">
        <v>829</v>
      </c>
    </row>
    <row r="181" spans="1:36" ht="12.9" x14ac:dyDescent="0.15">
      <c r="A181" t="s">
        <v>412</v>
      </c>
      <c r="B181" t="s">
        <v>577</v>
      </c>
      <c r="C181" t="s">
        <v>830</v>
      </c>
      <c r="D181" t="s">
        <v>746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3">
        <v>0.01</v>
      </c>
    </row>
    <row r="182" spans="1:36" ht="12.9" x14ac:dyDescent="0.15">
      <c r="A182" t="s">
        <v>414</v>
      </c>
      <c r="B182" t="s">
        <v>578</v>
      </c>
      <c r="C182" t="s">
        <v>831</v>
      </c>
      <c r="D182" t="s">
        <v>748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3">
        <v>8.9999999999999993E-3</v>
      </c>
    </row>
    <row r="183" spans="1:36" ht="12.9" x14ac:dyDescent="0.15">
      <c r="A183" t="s">
        <v>416</v>
      </c>
      <c r="B183" t="s">
        <v>579</v>
      </c>
      <c r="C183" t="s">
        <v>832</v>
      </c>
      <c r="D183" t="s">
        <v>748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3">
        <v>0.01</v>
      </c>
    </row>
    <row r="184" spans="1:36" ht="12.9" x14ac:dyDescent="0.15">
      <c r="A184" t="s">
        <v>418</v>
      </c>
      <c r="B184" t="s">
        <v>580</v>
      </c>
      <c r="C184" t="s">
        <v>833</v>
      </c>
      <c r="D184" t="s">
        <v>748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3">
        <v>0.01</v>
      </c>
    </row>
    <row r="185" spans="1:36" ht="12.9" x14ac:dyDescent="0.15">
      <c r="A185" t="s">
        <v>420</v>
      </c>
      <c r="B185" t="s">
        <v>581</v>
      </c>
      <c r="C185" t="s">
        <v>834</v>
      </c>
      <c r="D185" t="s">
        <v>763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3">
        <v>8.9999999999999993E-3</v>
      </c>
    </row>
    <row r="186" spans="1:36" ht="12.9" x14ac:dyDescent="0.15">
      <c r="A186" t="s">
        <v>292</v>
      </c>
      <c r="B186" t="s">
        <v>582</v>
      </c>
      <c r="C186" t="s">
        <v>835</v>
      </c>
      <c r="D186" t="s">
        <v>748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3">
        <v>7.0000000000000001E-3</v>
      </c>
    </row>
    <row r="187" spans="1:36" ht="12.9" x14ac:dyDescent="0.15">
      <c r="A187" t="s">
        <v>423</v>
      </c>
      <c r="B187" t="s">
        <v>583</v>
      </c>
      <c r="C187" t="s">
        <v>836</v>
      </c>
      <c r="D187" t="s">
        <v>748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3">
        <v>8.9999999999999993E-3</v>
      </c>
    </row>
    <row r="188" spans="1:36" ht="12.9" x14ac:dyDescent="0.15">
      <c r="A188" t="s">
        <v>425</v>
      </c>
      <c r="B188" t="s">
        <v>584</v>
      </c>
      <c r="C188" t="s">
        <v>837</v>
      </c>
      <c r="D188" t="s">
        <v>748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3">
        <v>8.0000000000000002E-3</v>
      </c>
    </row>
    <row r="189" spans="1:36" ht="12.9" x14ac:dyDescent="0.15">
      <c r="A189" t="s">
        <v>304</v>
      </c>
      <c r="B189" t="s">
        <v>585</v>
      </c>
      <c r="C189" t="s">
        <v>838</v>
      </c>
      <c r="D189" t="s">
        <v>748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3">
        <v>0</v>
      </c>
    </row>
    <row r="190" spans="1:36" ht="12.9" x14ac:dyDescent="0.15">
      <c r="A190" t="s">
        <v>520</v>
      </c>
      <c r="B190" t="s">
        <v>586</v>
      </c>
      <c r="C190" t="s">
        <v>839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3">
        <v>8.9999999999999993E-3</v>
      </c>
    </row>
    <row r="191" spans="1:36" ht="12.9" x14ac:dyDescent="0.15">
      <c r="A191" t="s">
        <v>442</v>
      </c>
      <c r="C191" t="s">
        <v>840</v>
      </c>
    </row>
    <row r="192" spans="1:36" ht="12.9" x14ac:dyDescent="0.15">
      <c r="A192" t="s">
        <v>412</v>
      </c>
      <c r="B192" t="s">
        <v>587</v>
      </c>
      <c r="C192" t="s">
        <v>841</v>
      </c>
      <c r="D192" t="s">
        <v>746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3">
        <v>8.0000000000000002E-3</v>
      </c>
    </row>
    <row r="193" spans="1:36" ht="12.9" x14ac:dyDescent="0.15">
      <c r="A193" t="s">
        <v>414</v>
      </c>
      <c r="B193" t="s">
        <v>588</v>
      </c>
      <c r="C193" t="s">
        <v>842</v>
      </c>
      <c r="D193" t="s">
        <v>748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3">
        <v>7.0000000000000001E-3</v>
      </c>
    </row>
    <row r="194" spans="1:36" ht="12.9" x14ac:dyDescent="0.15">
      <c r="A194" t="s">
        <v>416</v>
      </c>
      <c r="B194" t="s">
        <v>589</v>
      </c>
      <c r="C194" t="s">
        <v>843</v>
      </c>
      <c r="D194" t="s">
        <v>748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3">
        <v>6.0000000000000001E-3</v>
      </c>
    </row>
    <row r="195" spans="1:36" ht="12.9" x14ac:dyDescent="0.15">
      <c r="A195" t="s">
        <v>418</v>
      </c>
      <c r="B195" t="s">
        <v>590</v>
      </c>
      <c r="C195" t="s">
        <v>844</v>
      </c>
      <c r="D195" t="s">
        <v>746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3">
        <v>8.9999999999999993E-3</v>
      </c>
    </row>
    <row r="196" spans="1:36" ht="12.9" x14ac:dyDescent="0.15">
      <c r="A196" t="s">
        <v>420</v>
      </c>
      <c r="B196" t="s">
        <v>591</v>
      </c>
      <c r="C196" t="s">
        <v>845</v>
      </c>
      <c r="D196" t="s">
        <v>748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ht="12.9" x14ac:dyDescent="0.15">
      <c r="A197" t="s">
        <v>292</v>
      </c>
      <c r="B197" t="s">
        <v>592</v>
      </c>
      <c r="C197" t="s">
        <v>846</v>
      </c>
      <c r="D197" t="s">
        <v>746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3">
        <v>1.7000000000000001E-2</v>
      </c>
    </row>
    <row r="198" spans="1:36" ht="12.9" x14ac:dyDescent="0.15">
      <c r="A198" t="s">
        <v>423</v>
      </c>
      <c r="B198" t="s">
        <v>593</v>
      </c>
      <c r="C198" t="s">
        <v>847</v>
      </c>
      <c r="D198" t="s">
        <v>746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3">
        <v>0.01</v>
      </c>
    </row>
    <row r="199" spans="1:36" ht="12.9" x14ac:dyDescent="0.15">
      <c r="A199" t="s">
        <v>425</v>
      </c>
      <c r="B199" t="s">
        <v>594</v>
      </c>
      <c r="C199" t="s">
        <v>848</v>
      </c>
      <c r="D199" t="s">
        <v>748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3">
        <v>7.0000000000000001E-3</v>
      </c>
    </row>
    <row r="200" spans="1:36" ht="12.9" x14ac:dyDescent="0.15">
      <c r="A200" t="s">
        <v>304</v>
      </c>
      <c r="B200" t="s">
        <v>595</v>
      </c>
      <c r="C200" t="s">
        <v>849</v>
      </c>
      <c r="D200" t="s">
        <v>746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3">
        <v>3.0000000000000001E-3</v>
      </c>
    </row>
    <row r="201" spans="1:36" ht="12.9" x14ac:dyDescent="0.15">
      <c r="A201" t="s">
        <v>531</v>
      </c>
      <c r="B201" t="s">
        <v>596</v>
      </c>
      <c r="C201" t="s">
        <v>850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3">
        <v>8.0000000000000002E-3</v>
      </c>
    </row>
    <row r="202" spans="1:36" ht="12.9" x14ac:dyDescent="0.15">
      <c r="A202" t="s">
        <v>533</v>
      </c>
      <c r="B202" t="s">
        <v>597</v>
      </c>
      <c r="C202" t="s">
        <v>851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3">
        <v>8.9999999999999993E-3</v>
      </c>
    </row>
    <row r="203" spans="1:36" ht="12.9" x14ac:dyDescent="0.15">
      <c r="A203" t="s">
        <v>598</v>
      </c>
      <c r="C203" t="s">
        <v>852</v>
      </c>
    </row>
    <row r="204" spans="1:36" ht="12.9" x14ac:dyDescent="0.15">
      <c r="A204" t="s">
        <v>411</v>
      </c>
      <c r="C204" t="s">
        <v>853</v>
      </c>
    </row>
    <row r="205" spans="1:36" ht="12.9" x14ac:dyDescent="0.15">
      <c r="A205" t="s">
        <v>412</v>
      </c>
      <c r="B205" t="s">
        <v>599</v>
      </c>
      <c r="C205" t="s">
        <v>854</v>
      </c>
      <c r="D205" t="s">
        <v>168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3">
        <v>7.0000000000000001E-3</v>
      </c>
    </row>
    <row r="206" spans="1:36" ht="12.9" x14ac:dyDescent="0.15">
      <c r="A206" t="s">
        <v>414</v>
      </c>
      <c r="B206" t="s">
        <v>600</v>
      </c>
      <c r="C206" t="s">
        <v>855</v>
      </c>
      <c r="D206" t="s">
        <v>168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3">
        <v>2.7E-2</v>
      </c>
    </row>
    <row r="207" spans="1:36" ht="12.9" x14ac:dyDescent="0.15">
      <c r="A207" t="s">
        <v>416</v>
      </c>
      <c r="B207" t="s">
        <v>601</v>
      </c>
      <c r="C207" t="s">
        <v>856</v>
      </c>
      <c r="D207" t="s">
        <v>168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3">
        <v>4.9000000000000002E-2</v>
      </c>
    </row>
    <row r="208" spans="1:36" ht="12.9" x14ac:dyDescent="0.15">
      <c r="A208" t="s">
        <v>418</v>
      </c>
      <c r="B208" t="s">
        <v>602</v>
      </c>
      <c r="C208" t="s">
        <v>857</v>
      </c>
      <c r="D208" t="s">
        <v>168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3">
        <v>2.4E-2</v>
      </c>
    </row>
    <row r="209" spans="1:36" ht="12.9" x14ac:dyDescent="0.15">
      <c r="A209" t="s">
        <v>420</v>
      </c>
      <c r="B209" t="s">
        <v>603</v>
      </c>
      <c r="C209" t="s">
        <v>858</v>
      </c>
      <c r="D209" t="s">
        <v>168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3">
        <v>4.8000000000000001E-2</v>
      </c>
    </row>
    <row r="210" spans="1:36" ht="12.9" x14ac:dyDescent="0.15">
      <c r="A210" t="s">
        <v>292</v>
      </c>
      <c r="B210" t="s">
        <v>604</v>
      </c>
      <c r="C210" t="s">
        <v>859</v>
      </c>
      <c r="D210" t="s">
        <v>168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3">
        <v>4.8000000000000001E-2</v>
      </c>
    </row>
    <row r="211" spans="1:36" ht="12.9" x14ac:dyDescent="0.15">
      <c r="A211" t="s">
        <v>423</v>
      </c>
      <c r="B211" t="s">
        <v>605</v>
      </c>
      <c r="C211" t="s">
        <v>860</v>
      </c>
      <c r="D211" t="s">
        <v>168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3">
        <v>4.9000000000000002E-2</v>
      </c>
    </row>
    <row r="212" spans="1:36" ht="12.9" x14ac:dyDescent="0.15">
      <c r="A212" t="s">
        <v>425</v>
      </c>
      <c r="B212" t="s">
        <v>606</v>
      </c>
      <c r="C212" t="s">
        <v>861</v>
      </c>
      <c r="D212" t="s">
        <v>168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3">
        <v>4.9000000000000002E-2</v>
      </c>
    </row>
    <row r="213" spans="1:36" ht="12.9" x14ac:dyDescent="0.15">
      <c r="A213" t="s">
        <v>304</v>
      </c>
      <c r="B213" t="s">
        <v>607</v>
      </c>
      <c r="C213" t="s">
        <v>862</v>
      </c>
      <c r="D213" t="s">
        <v>168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3">
        <v>-4.0000000000000001E-3</v>
      </c>
    </row>
    <row r="214" spans="1:36" ht="12.9" x14ac:dyDescent="0.15">
      <c r="A214" t="s">
        <v>428</v>
      </c>
      <c r="B214" t="s">
        <v>608</v>
      </c>
      <c r="C214" t="s">
        <v>863</v>
      </c>
      <c r="D214" t="s">
        <v>168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3">
        <v>1.9E-2</v>
      </c>
    </row>
    <row r="215" spans="1:36" ht="12.9" x14ac:dyDescent="0.15">
      <c r="A215" t="s">
        <v>430</v>
      </c>
      <c r="C215" t="s">
        <v>864</v>
      </c>
    </row>
    <row r="216" spans="1:36" ht="12.9" x14ac:dyDescent="0.15">
      <c r="A216" t="s">
        <v>412</v>
      </c>
      <c r="B216" t="s">
        <v>609</v>
      </c>
      <c r="C216" t="s">
        <v>865</v>
      </c>
      <c r="D216" t="s">
        <v>168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3">
        <v>2.9000000000000001E-2</v>
      </c>
    </row>
    <row r="217" spans="1:36" ht="12.9" x14ac:dyDescent="0.15">
      <c r="A217" t="s">
        <v>414</v>
      </c>
      <c r="B217" t="s">
        <v>610</v>
      </c>
      <c r="C217" t="s">
        <v>866</v>
      </c>
      <c r="D217" t="s">
        <v>168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3">
        <v>2.5999999999999999E-2</v>
      </c>
    </row>
    <row r="218" spans="1:36" ht="12.9" x14ac:dyDescent="0.15">
      <c r="A218" t="s">
        <v>416</v>
      </c>
      <c r="B218" t="s">
        <v>611</v>
      </c>
      <c r="C218" t="s">
        <v>867</v>
      </c>
      <c r="D218" t="s">
        <v>168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3">
        <v>0.06</v>
      </c>
    </row>
    <row r="219" spans="1:36" ht="12.9" x14ac:dyDescent="0.15">
      <c r="A219" t="s">
        <v>418</v>
      </c>
      <c r="B219" t="s">
        <v>612</v>
      </c>
      <c r="C219" t="s">
        <v>868</v>
      </c>
      <c r="D219" t="s">
        <v>168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3">
        <v>3.2000000000000001E-2</v>
      </c>
    </row>
    <row r="220" spans="1:36" ht="12.9" x14ac:dyDescent="0.15">
      <c r="A220" t="s">
        <v>420</v>
      </c>
      <c r="B220" t="s">
        <v>613</v>
      </c>
      <c r="C220" t="s">
        <v>869</v>
      </c>
      <c r="D220" t="s">
        <v>168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3">
        <v>5.3999999999999999E-2</v>
      </c>
    </row>
    <row r="221" spans="1:36" ht="12.9" x14ac:dyDescent="0.15">
      <c r="A221" t="s">
        <v>292</v>
      </c>
      <c r="B221" t="s">
        <v>614</v>
      </c>
      <c r="C221" t="s">
        <v>870</v>
      </c>
      <c r="D221" t="s">
        <v>168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3">
        <v>0.06</v>
      </c>
    </row>
    <row r="222" spans="1:36" ht="12.9" x14ac:dyDescent="0.15">
      <c r="A222" t="s">
        <v>423</v>
      </c>
      <c r="B222" t="s">
        <v>615</v>
      </c>
      <c r="C222" t="s">
        <v>871</v>
      </c>
      <c r="D222" t="s">
        <v>168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3">
        <v>0.06</v>
      </c>
    </row>
    <row r="223" spans="1:36" ht="12.9" x14ac:dyDescent="0.15">
      <c r="A223" t="s">
        <v>425</v>
      </c>
      <c r="B223" t="s">
        <v>616</v>
      </c>
      <c r="C223" t="s">
        <v>872</v>
      </c>
      <c r="D223" t="s">
        <v>168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3">
        <v>0.06</v>
      </c>
    </row>
    <row r="224" spans="1:36" ht="12.9" x14ac:dyDescent="0.15">
      <c r="A224" t="s">
        <v>304</v>
      </c>
      <c r="B224" t="s">
        <v>617</v>
      </c>
      <c r="C224" t="s">
        <v>873</v>
      </c>
      <c r="D224" t="s">
        <v>168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3">
        <v>0.06</v>
      </c>
    </row>
    <row r="225" spans="1:36" ht="12.9" x14ac:dyDescent="0.15">
      <c r="A225" t="s">
        <v>440</v>
      </c>
      <c r="B225" t="s">
        <v>618</v>
      </c>
      <c r="C225" t="s">
        <v>874</v>
      </c>
      <c r="D225" t="s">
        <v>168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3">
        <v>2.9000000000000001E-2</v>
      </c>
    </row>
    <row r="226" spans="1:36" ht="12.9" x14ac:dyDescent="0.15">
      <c r="A226" t="s">
        <v>442</v>
      </c>
      <c r="C226" t="s">
        <v>875</v>
      </c>
    </row>
    <row r="227" spans="1:36" ht="12.9" x14ac:dyDescent="0.15">
      <c r="A227" t="s">
        <v>412</v>
      </c>
      <c r="B227" t="s">
        <v>619</v>
      </c>
      <c r="C227" t="s">
        <v>876</v>
      </c>
      <c r="D227" t="s">
        <v>168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3">
        <v>6.0000000000000001E-3</v>
      </c>
    </row>
    <row r="228" spans="1:36" ht="12.9" x14ac:dyDescent="0.15">
      <c r="A228" t="s">
        <v>414</v>
      </c>
      <c r="B228" t="s">
        <v>620</v>
      </c>
      <c r="C228" t="s">
        <v>877</v>
      </c>
      <c r="D228" t="s">
        <v>168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3">
        <v>6.0000000000000001E-3</v>
      </c>
    </row>
    <row r="229" spans="1:36" ht="12.9" x14ac:dyDescent="0.15">
      <c r="A229" t="s">
        <v>416</v>
      </c>
      <c r="B229" t="s">
        <v>621</v>
      </c>
      <c r="C229" t="s">
        <v>878</v>
      </c>
      <c r="D229" t="s">
        <v>168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3">
        <v>5.0000000000000001E-3</v>
      </c>
    </row>
    <row r="230" spans="1:36" ht="12.9" x14ac:dyDescent="0.15">
      <c r="A230" t="s">
        <v>418</v>
      </c>
      <c r="B230" t="s">
        <v>622</v>
      </c>
      <c r="C230" t="s">
        <v>879</v>
      </c>
      <c r="D230" t="s">
        <v>168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3">
        <v>3.1E-2</v>
      </c>
    </row>
    <row r="231" spans="1:36" ht="12.9" x14ac:dyDescent="0.15">
      <c r="A231" t="s">
        <v>420</v>
      </c>
      <c r="B231" t="s">
        <v>623</v>
      </c>
      <c r="C231" t="s">
        <v>880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ht="12.9" x14ac:dyDescent="0.15">
      <c r="A232" t="s">
        <v>292</v>
      </c>
      <c r="B232" t="s">
        <v>624</v>
      </c>
      <c r="C232" t="s">
        <v>881</v>
      </c>
      <c r="D232" t="s">
        <v>168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3">
        <v>3.5999999999999997E-2</v>
      </c>
    </row>
    <row r="233" spans="1:36" ht="12.9" x14ac:dyDescent="0.15">
      <c r="A233" t="s">
        <v>423</v>
      </c>
      <c r="B233" t="s">
        <v>625</v>
      </c>
      <c r="C233" t="s">
        <v>882</v>
      </c>
      <c r="D233" t="s">
        <v>168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3">
        <v>3.6999999999999998E-2</v>
      </c>
    </row>
    <row r="234" spans="1:36" ht="12.9" x14ac:dyDescent="0.15">
      <c r="A234" t="s">
        <v>425</v>
      </c>
      <c r="B234" t="s">
        <v>626</v>
      </c>
      <c r="C234" t="s">
        <v>883</v>
      </c>
      <c r="D234" t="s">
        <v>168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3">
        <v>3.6999999999999998E-2</v>
      </c>
    </row>
    <row r="235" spans="1:36" ht="12.9" x14ac:dyDescent="0.15">
      <c r="A235" t="s">
        <v>304</v>
      </c>
      <c r="B235" t="s">
        <v>627</v>
      </c>
      <c r="C235" t="s">
        <v>884</v>
      </c>
      <c r="D235" t="s">
        <v>168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3">
        <v>3.6999999999999998E-2</v>
      </c>
    </row>
    <row r="236" spans="1:36" ht="12.9" x14ac:dyDescent="0.15">
      <c r="A236" t="s">
        <v>452</v>
      </c>
      <c r="B236" t="s">
        <v>628</v>
      </c>
      <c r="C236" t="s">
        <v>885</v>
      </c>
      <c r="D236" t="s">
        <v>168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3">
        <v>6.0000000000000001E-3</v>
      </c>
    </row>
    <row r="237" spans="1:36" ht="12.9" x14ac:dyDescent="0.15">
      <c r="A237" t="s">
        <v>280</v>
      </c>
      <c r="B237" t="s">
        <v>629</v>
      </c>
      <c r="C237" t="s">
        <v>886</v>
      </c>
      <c r="D237" t="s">
        <v>168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3">
        <v>1.7999999999999999E-2</v>
      </c>
    </row>
    <row r="238" spans="1:36" ht="12.9" x14ac:dyDescent="0.15">
      <c r="A238" t="s">
        <v>39</v>
      </c>
      <c r="C238" t="s">
        <v>887</v>
      </c>
    </row>
    <row r="239" spans="1:36" ht="12.9" x14ac:dyDescent="0.15">
      <c r="A239" t="s">
        <v>630</v>
      </c>
      <c r="B239" t="s">
        <v>631</v>
      </c>
      <c r="C239" t="s">
        <v>888</v>
      </c>
      <c r="D239" t="s">
        <v>889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3">
        <v>8.0000000000000002E-3</v>
      </c>
    </row>
    <row r="240" spans="1:36" ht="12.9" x14ac:dyDescent="0.15">
      <c r="A240" t="s">
        <v>632</v>
      </c>
      <c r="B240" t="s">
        <v>633</v>
      </c>
      <c r="C240" t="s">
        <v>890</v>
      </c>
      <c r="D240" t="s">
        <v>891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3">
        <v>6.0000000000000001E-3</v>
      </c>
    </row>
    <row r="241" spans="1:36" ht="12.9" x14ac:dyDescent="0.15">
      <c r="A241" t="s">
        <v>634</v>
      </c>
      <c r="C241" t="s">
        <v>892</v>
      </c>
    </row>
    <row r="242" spans="1:36" ht="12.9" x14ac:dyDescent="0.15">
      <c r="A242" t="s">
        <v>635</v>
      </c>
      <c r="B242" t="s">
        <v>636</v>
      </c>
      <c r="C242" t="s">
        <v>893</v>
      </c>
      <c r="D242" t="s">
        <v>700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3">
        <v>-1.7000000000000001E-2</v>
      </c>
    </row>
    <row r="243" spans="1:36" ht="12.9" x14ac:dyDescent="0.15">
      <c r="A243" t="s">
        <v>637</v>
      </c>
      <c r="B243" t="s">
        <v>638</v>
      </c>
      <c r="C243" t="s">
        <v>894</v>
      </c>
      <c r="D243" t="s">
        <v>700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ht="12.9" x14ac:dyDescent="0.15">
      <c r="A244" t="s">
        <v>639</v>
      </c>
      <c r="B244" t="s">
        <v>640</v>
      </c>
      <c r="C244" t="s">
        <v>895</v>
      </c>
      <c r="D244" t="s">
        <v>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ht="12.9" x14ac:dyDescent="0.15">
      <c r="A245" t="s">
        <v>641</v>
      </c>
      <c r="B245" t="s">
        <v>642</v>
      </c>
      <c r="C245" t="s">
        <v>896</v>
      </c>
      <c r="D245" t="s">
        <v>700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3">
        <v>0.223</v>
      </c>
    </row>
    <row r="246" spans="1:36" ht="12.9" x14ac:dyDescent="0.15">
      <c r="A246" t="s">
        <v>38</v>
      </c>
      <c r="C246" t="s">
        <v>897</v>
      </c>
    </row>
    <row r="247" spans="1:36" ht="12.9" x14ac:dyDescent="0.15">
      <c r="A247" t="s">
        <v>643</v>
      </c>
      <c r="B247" t="s">
        <v>644</v>
      </c>
      <c r="C247" t="s">
        <v>898</v>
      </c>
      <c r="D247" t="s">
        <v>889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3">
        <v>-8.0000000000000002E-3</v>
      </c>
    </row>
    <row r="248" spans="1:36" ht="12.9" x14ac:dyDescent="0.15">
      <c r="A248" t="s">
        <v>632</v>
      </c>
      <c r="B248" t="s">
        <v>645</v>
      </c>
      <c r="C248" t="s">
        <v>899</v>
      </c>
      <c r="D248" t="s">
        <v>891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3">
        <v>6.0000000000000001E-3</v>
      </c>
    </row>
    <row r="249" spans="1:36" ht="12.9" x14ac:dyDescent="0.15">
      <c r="A249" t="s">
        <v>634</v>
      </c>
      <c r="C249" t="s">
        <v>900</v>
      </c>
    </row>
    <row r="250" spans="1:36" ht="12.9" x14ac:dyDescent="0.15">
      <c r="A250" t="s">
        <v>635</v>
      </c>
      <c r="B250" t="s">
        <v>646</v>
      </c>
      <c r="C250" t="s">
        <v>901</v>
      </c>
      <c r="D250" t="s">
        <v>700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3">
        <v>-1.4E-2</v>
      </c>
    </row>
    <row r="251" spans="1:36" ht="12.9" x14ac:dyDescent="0.15">
      <c r="A251" t="s">
        <v>637</v>
      </c>
      <c r="B251" t="s">
        <v>647</v>
      </c>
      <c r="C251" t="s">
        <v>902</v>
      </c>
      <c r="D251" t="s">
        <v>700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3">
        <v>-6.0999999999999999E-2</v>
      </c>
    </row>
    <row r="252" spans="1:36" ht="12.9" x14ac:dyDescent="0.15">
      <c r="A252" t="s">
        <v>639</v>
      </c>
      <c r="B252" t="s">
        <v>648</v>
      </c>
      <c r="C252" t="s">
        <v>903</v>
      </c>
      <c r="D252" t="s">
        <v>700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ht="12.9" x14ac:dyDescent="0.15">
      <c r="A253" t="s">
        <v>641</v>
      </c>
      <c r="B253" t="s">
        <v>649</v>
      </c>
      <c r="C253" t="s">
        <v>904</v>
      </c>
      <c r="D253" t="s">
        <v>700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3">
        <v>4.8000000000000001E-2</v>
      </c>
    </row>
    <row r="254" spans="1:36" ht="12.9" x14ac:dyDescent="0.15">
      <c r="A254" t="s">
        <v>37</v>
      </c>
      <c r="C254" t="s">
        <v>905</v>
      </c>
    </row>
    <row r="255" spans="1:36" ht="12.9" x14ac:dyDescent="0.15">
      <c r="A255" t="s">
        <v>650</v>
      </c>
      <c r="B255" t="s">
        <v>651</v>
      </c>
      <c r="C255" t="s">
        <v>906</v>
      </c>
      <c r="D255" t="s">
        <v>907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3">
        <v>0.04</v>
      </c>
    </row>
    <row r="256" spans="1:36" ht="12.9" x14ac:dyDescent="0.15">
      <c r="A256" t="s">
        <v>652</v>
      </c>
      <c r="B256" t="s">
        <v>653</v>
      </c>
      <c r="C256" t="s">
        <v>908</v>
      </c>
      <c r="D256" t="s">
        <v>907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3">
        <v>4.2000000000000003E-2</v>
      </c>
    </row>
    <row r="257" spans="1:36" ht="12.9" x14ac:dyDescent="0.15">
      <c r="A257" t="s">
        <v>654</v>
      </c>
      <c r="B257" t="s">
        <v>655</v>
      </c>
      <c r="C257" t="s">
        <v>909</v>
      </c>
      <c r="D257" t="s">
        <v>907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3">
        <v>3.7999999999999999E-2</v>
      </c>
    </row>
    <row r="258" spans="1:36" ht="12.9" x14ac:dyDescent="0.15">
      <c r="A258" t="s">
        <v>634</v>
      </c>
      <c r="C258" t="s">
        <v>910</v>
      </c>
    </row>
    <row r="259" spans="1:36" ht="12.9" x14ac:dyDescent="0.15">
      <c r="A259" t="s">
        <v>635</v>
      </c>
      <c r="B259" t="s">
        <v>656</v>
      </c>
      <c r="C259" t="s">
        <v>911</v>
      </c>
      <c r="D259" t="s">
        <v>700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3">
        <v>-0.01</v>
      </c>
    </row>
    <row r="260" spans="1:36" ht="12.9" x14ac:dyDescent="0.15">
      <c r="A260" t="s">
        <v>637</v>
      </c>
      <c r="B260" t="s">
        <v>657</v>
      </c>
      <c r="C260" t="s">
        <v>912</v>
      </c>
      <c r="D260" t="s">
        <v>700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3">
        <v>5.0000000000000001E-3</v>
      </c>
    </row>
    <row r="261" spans="1:36" ht="12.9" x14ac:dyDescent="0.15">
      <c r="A261" t="s">
        <v>639</v>
      </c>
      <c r="B261" t="s">
        <v>658</v>
      </c>
      <c r="C261" t="s">
        <v>913</v>
      </c>
      <c r="D261" t="s">
        <v>700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ht="12.9" x14ac:dyDescent="0.15">
      <c r="A262" t="s">
        <v>641</v>
      </c>
      <c r="B262" t="s">
        <v>659</v>
      </c>
      <c r="C262" t="s">
        <v>914</v>
      </c>
      <c r="D262" t="s">
        <v>700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3">
        <v>6.0999999999999999E-2</v>
      </c>
    </row>
  </sheetData>
  <phoneticPr fontId="11" type="noConversion"/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5E6F-E7E8-4B82-BFC1-9CA44B53DA74}">
  <dimension ref="A1:Z62"/>
  <sheetViews>
    <sheetView workbookViewId="0">
      <selection sqref="A1:A2"/>
    </sheetView>
    <sheetView workbookViewId="1">
      <selection activeCell="A23" sqref="A23:XFD23"/>
    </sheetView>
  </sheetViews>
  <sheetFormatPr defaultRowHeight="12.9" x14ac:dyDescent="0.15"/>
  <cols>
    <col min="1" max="1" width="18.125" style="64" bestFit="1" customWidth="1"/>
    <col min="2" max="2" width="5.5" style="64" bestFit="1" customWidth="1"/>
    <col min="3" max="12" width="8.5" style="64" customWidth="1"/>
    <col min="13" max="13" width="9" style="64"/>
    <col min="14" max="23" width="8.5" style="64" customWidth="1"/>
    <col min="24" max="16384" width="9" style="64"/>
  </cols>
  <sheetData>
    <row r="1" spans="1:26" x14ac:dyDescent="0.15">
      <c r="A1" s="89" t="s">
        <v>1036</v>
      </c>
      <c r="B1" s="90" t="s">
        <v>1062</v>
      </c>
      <c r="C1" s="89" t="s">
        <v>1037</v>
      </c>
      <c r="D1" s="89"/>
      <c r="E1" s="89"/>
      <c r="F1" s="89"/>
      <c r="G1" s="89"/>
      <c r="H1" s="89"/>
      <c r="I1" s="89"/>
      <c r="J1" s="89"/>
      <c r="K1" s="89"/>
      <c r="L1" s="89"/>
      <c r="M1" s="89" t="s">
        <v>1038</v>
      </c>
      <c r="N1" s="89" t="s">
        <v>1039</v>
      </c>
      <c r="O1" s="89"/>
      <c r="P1" s="89"/>
      <c r="Q1" s="89"/>
      <c r="R1" s="89"/>
      <c r="S1" s="89"/>
      <c r="T1" s="89"/>
      <c r="U1" s="89"/>
      <c r="V1" s="89"/>
      <c r="W1" s="89"/>
      <c r="X1" s="89" t="s">
        <v>1040</v>
      </c>
      <c r="Y1" s="89"/>
      <c r="Z1" s="89"/>
    </row>
    <row r="2" spans="1:26" ht="25.85" x14ac:dyDescent="0.15">
      <c r="A2" s="89"/>
      <c r="B2" s="91"/>
      <c r="C2" s="65" t="s">
        <v>994</v>
      </c>
      <c r="D2" s="65" t="s">
        <v>412</v>
      </c>
      <c r="E2" s="65" t="s">
        <v>1041</v>
      </c>
      <c r="F2" s="65" t="s">
        <v>1042</v>
      </c>
      <c r="G2" s="65" t="s">
        <v>1043</v>
      </c>
      <c r="H2" s="65" t="s">
        <v>1044</v>
      </c>
      <c r="I2" s="65" t="s">
        <v>1045</v>
      </c>
      <c r="J2" s="65" t="s">
        <v>1046</v>
      </c>
      <c r="K2" s="65" t="s">
        <v>1047</v>
      </c>
      <c r="L2" s="65" t="s">
        <v>1048</v>
      </c>
      <c r="M2" s="89"/>
      <c r="N2" s="65" t="s">
        <v>994</v>
      </c>
      <c r="O2" s="65" t="s">
        <v>412</v>
      </c>
      <c r="P2" s="65" t="s">
        <v>1041</v>
      </c>
      <c r="Q2" s="65" t="s">
        <v>1042</v>
      </c>
      <c r="R2" s="65" t="s">
        <v>1043</v>
      </c>
      <c r="S2" s="65" t="s">
        <v>1044</v>
      </c>
      <c r="T2" s="65" t="s">
        <v>1045</v>
      </c>
      <c r="U2" s="65" t="s">
        <v>1046</v>
      </c>
      <c r="V2" s="65" t="s">
        <v>1047</v>
      </c>
      <c r="W2" s="65" t="s">
        <v>1048</v>
      </c>
      <c r="X2" s="65" t="s">
        <v>1049</v>
      </c>
      <c r="Y2" s="65" t="s">
        <v>1050</v>
      </c>
      <c r="Z2" s="65" t="s">
        <v>1051</v>
      </c>
    </row>
    <row r="3" spans="1:26" x14ac:dyDescent="0.15">
      <c r="A3" s="85" t="s">
        <v>1052</v>
      </c>
      <c r="B3" s="67">
        <v>2018</v>
      </c>
      <c r="C3" s="64">
        <v>40</v>
      </c>
      <c r="D3" s="64">
        <v>1070295</v>
      </c>
      <c r="E3" s="64">
        <v>65709</v>
      </c>
      <c r="F3" s="64">
        <v>0</v>
      </c>
      <c r="G3" s="64">
        <v>1</v>
      </c>
      <c r="H3" s="64">
        <v>2</v>
      </c>
      <c r="I3" s="64">
        <v>0</v>
      </c>
      <c r="J3" s="64">
        <v>0</v>
      </c>
      <c r="K3" s="64">
        <v>1648</v>
      </c>
      <c r="L3" s="64">
        <v>404</v>
      </c>
      <c r="M3" s="68">
        <v>1138099</v>
      </c>
      <c r="N3" s="69">
        <f>C3/$M3</f>
        <v>3.5146327340591636E-5</v>
      </c>
      <c r="O3" s="69">
        <f t="shared" ref="O3:W18" si="0">D3/$M3</f>
        <v>0.94042346052496317</v>
      </c>
      <c r="P3" s="69">
        <f t="shared" si="0"/>
        <v>5.7735750580573397E-2</v>
      </c>
      <c r="Q3" s="69">
        <f t="shared" si="0"/>
        <v>0</v>
      </c>
      <c r="R3" s="69">
        <f t="shared" si="0"/>
        <v>8.7865818351479093E-7</v>
      </c>
      <c r="S3" s="69">
        <f t="shared" si="0"/>
        <v>1.7573163670295819E-6</v>
      </c>
      <c r="T3" s="69">
        <f t="shared" si="0"/>
        <v>0</v>
      </c>
      <c r="U3" s="69">
        <f t="shared" si="0"/>
        <v>0</v>
      </c>
      <c r="V3" s="69">
        <f t="shared" si="0"/>
        <v>1.4480286864323754E-3</v>
      </c>
      <c r="W3" s="70">
        <f t="shared" si="0"/>
        <v>3.5497790613997553E-4</v>
      </c>
      <c r="X3" s="69">
        <f>SUM(S3:U3)</f>
        <v>1.7573163670295819E-6</v>
      </c>
      <c r="Y3" s="72">
        <f>SUM(V3:W3)</f>
        <v>1.803006592572351E-3</v>
      </c>
      <c r="Z3" s="73">
        <f>SUM(U3:W3)</f>
        <v>1.803006592572351E-3</v>
      </c>
    </row>
    <row r="4" spans="1:26" x14ac:dyDescent="0.15">
      <c r="A4" s="68" t="s">
        <v>1052</v>
      </c>
      <c r="B4" s="67">
        <v>2019</v>
      </c>
      <c r="C4" s="64">
        <v>30</v>
      </c>
      <c r="D4" s="64">
        <v>1141357</v>
      </c>
      <c r="E4" s="64">
        <v>116201</v>
      </c>
      <c r="F4" s="64">
        <v>13</v>
      </c>
      <c r="G4" s="64">
        <v>0</v>
      </c>
      <c r="H4" s="64">
        <v>0</v>
      </c>
      <c r="I4" s="64">
        <v>0</v>
      </c>
      <c r="J4" s="64">
        <v>0</v>
      </c>
      <c r="K4" s="64">
        <v>5962</v>
      </c>
      <c r="L4" s="64">
        <v>2014</v>
      </c>
      <c r="M4" s="68">
        <v>1265577</v>
      </c>
      <c r="N4" s="69">
        <f t="shared" ref="N4:W42" si="1">C4/$M4</f>
        <v>2.3704602722710668E-5</v>
      </c>
      <c r="O4" s="69">
        <f t="shared" si="0"/>
        <v>0.90184714165949598</v>
      </c>
      <c r="P4" s="69">
        <f t="shared" si="0"/>
        <v>9.181661803272341E-2</v>
      </c>
      <c r="Q4" s="69">
        <f t="shared" si="0"/>
        <v>1.0271994513174623E-5</v>
      </c>
      <c r="R4" s="69">
        <f t="shared" si="0"/>
        <v>0</v>
      </c>
      <c r="S4" s="69">
        <f t="shared" si="0"/>
        <v>0</v>
      </c>
      <c r="T4" s="69">
        <f t="shared" si="0"/>
        <v>0</v>
      </c>
      <c r="U4" s="69">
        <f t="shared" si="0"/>
        <v>0</v>
      </c>
      <c r="V4" s="69">
        <f t="shared" si="0"/>
        <v>4.7108947144267003E-3</v>
      </c>
      <c r="W4" s="70">
        <f t="shared" si="0"/>
        <v>1.5913689961179762E-3</v>
      </c>
      <c r="X4" s="69">
        <f t="shared" ref="X4:X62" si="2">SUM(S4:U4)</f>
        <v>0</v>
      </c>
      <c r="Y4" s="69">
        <f t="shared" ref="Y4:Y62" si="3">SUM(V4:W4)</f>
        <v>6.3022637105446767E-3</v>
      </c>
      <c r="Z4" s="70">
        <f t="shared" ref="Z4:Z62" si="4">SUM(U4:W4)</f>
        <v>6.3022637105446767E-3</v>
      </c>
    </row>
    <row r="5" spans="1:26" x14ac:dyDescent="0.15">
      <c r="A5" s="68" t="s">
        <v>1052</v>
      </c>
      <c r="B5" s="67">
        <v>2020</v>
      </c>
      <c r="C5" s="64">
        <v>44</v>
      </c>
      <c r="D5" s="64">
        <v>1530088</v>
      </c>
      <c r="E5" s="64">
        <v>142836</v>
      </c>
      <c r="F5" s="64">
        <v>14</v>
      </c>
      <c r="G5" s="64">
        <v>1</v>
      </c>
      <c r="H5" s="64">
        <v>16</v>
      </c>
      <c r="I5" s="64">
        <v>0</v>
      </c>
      <c r="J5" s="64">
        <v>11</v>
      </c>
      <c r="K5" s="64">
        <v>4111</v>
      </c>
      <c r="L5" s="64">
        <v>146</v>
      </c>
      <c r="M5" s="68">
        <v>1677267</v>
      </c>
      <c r="N5" s="69">
        <f t="shared" si="1"/>
        <v>2.6233151907239576E-5</v>
      </c>
      <c r="O5" s="69">
        <f t="shared" si="0"/>
        <v>0.91225070307828149</v>
      </c>
      <c r="P5" s="69">
        <f t="shared" si="0"/>
        <v>8.5159965586874359E-2</v>
      </c>
      <c r="Q5" s="69">
        <f t="shared" si="0"/>
        <v>8.3469119704853191E-6</v>
      </c>
      <c r="R5" s="69">
        <f t="shared" si="0"/>
        <v>5.9620799789180849E-7</v>
      </c>
      <c r="S5" s="69">
        <f t="shared" si="0"/>
        <v>9.5393279662689358E-6</v>
      </c>
      <c r="T5" s="69">
        <f t="shared" si="0"/>
        <v>0</v>
      </c>
      <c r="U5" s="69">
        <f t="shared" si="0"/>
        <v>6.5582879768098939E-6</v>
      </c>
      <c r="V5" s="69">
        <f t="shared" si="0"/>
        <v>2.4510110793332248E-3</v>
      </c>
      <c r="W5" s="70">
        <f t="shared" si="0"/>
        <v>8.7046367692204042E-5</v>
      </c>
      <c r="X5" s="69">
        <f t="shared" si="2"/>
        <v>1.6097615943078831E-5</v>
      </c>
      <c r="Y5" s="69">
        <f t="shared" si="3"/>
        <v>2.5380574470254286E-3</v>
      </c>
      <c r="Z5" s="70">
        <f t="shared" si="4"/>
        <v>2.5446157350022384E-3</v>
      </c>
    </row>
    <row r="6" spans="1:26" x14ac:dyDescent="0.15">
      <c r="A6" s="68" t="s">
        <v>1052</v>
      </c>
      <c r="B6" s="67">
        <v>2021</v>
      </c>
      <c r="C6" s="64">
        <v>4</v>
      </c>
      <c r="D6" s="64">
        <v>1447926</v>
      </c>
      <c r="E6" s="64">
        <v>59565</v>
      </c>
      <c r="F6" s="64">
        <v>90</v>
      </c>
      <c r="G6" s="64">
        <v>4</v>
      </c>
      <c r="H6" s="64">
        <v>18</v>
      </c>
      <c r="I6" s="64">
        <v>0</v>
      </c>
      <c r="J6" s="64">
        <v>25</v>
      </c>
      <c r="K6" s="64">
        <v>10982</v>
      </c>
      <c r="L6" s="64">
        <v>825</v>
      </c>
      <c r="M6" s="68">
        <v>1519439</v>
      </c>
      <c r="N6" s="69">
        <f t="shared" si="1"/>
        <v>2.6325505663603473E-6</v>
      </c>
      <c r="O6" s="69">
        <f t="shared" si="0"/>
        <v>0.95293460283696807</v>
      </c>
      <c r="P6" s="69">
        <f t="shared" si="0"/>
        <v>3.9201968621313525E-2</v>
      </c>
      <c r="Q6" s="69">
        <f t="shared" si="0"/>
        <v>5.9232387743107815E-5</v>
      </c>
      <c r="R6" s="69">
        <f t="shared" si="0"/>
        <v>2.6325505663603473E-6</v>
      </c>
      <c r="S6" s="69">
        <f t="shared" si="0"/>
        <v>1.1846477548621564E-5</v>
      </c>
      <c r="T6" s="69">
        <f t="shared" si="0"/>
        <v>0</v>
      </c>
      <c r="U6" s="69">
        <f t="shared" si="0"/>
        <v>1.6453441039752171E-5</v>
      </c>
      <c r="V6" s="69">
        <f t="shared" si="0"/>
        <v>7.2276675799423339E-3</v>
      </c>
      <c r="W6" s="70">
        <f t="shared" si="0"/>
        <v>5.4296355431182163E-4</v>
      </c>
      <c r="X6" s="69">
        <f t="shared" si="2"/>
        <v>2.8299918588373736E-5</v>
      </c>
      <c r="Y6" s="69">
        <f t="shared" si="3"/>
        <v>7.7706311342541556E-3</v>
      </c>
      <c r="Z6" s="70">
        <f t="shared" si="4"/>
        <v>7.7870845752939077E-3</v>
      </c>
    </row>
    <row r="7" spans="1:26" x14ac:dyDescent="0.15">
      <c r="A7" s="68" t="s">
        <v>1052</v>
      </c>
      <c r="B7" s="67">
        <v>2022</v>
      </c>
      <c r="C7" s="64">
        <v>16</v>
      </c>
      <c r="D7" s="64">
        <v>476074</v>
      </c>
      <c r="E7" s="64">
        <v>37582</v>
      </c>
      <c r="F7" s="64">
        <v>395</v>
      </c>
      <c r="G7" s="64">
        <v>4</v>
      </c>
      <c r="H7" s="64">
        <v>23</v>
      </c>
      <c r="I7" s="64">
        <v>0</v>
      </c>
      <c r="J7" s="64">
        <v>39</v>
      </c>
      <c r="K7" s="64">
        <v>24088</v>
      </c>
      <c r="L7" s="64">
        <v>2713</v>
      </c>
      <c r="M7" s="68">
        <v>540934</v>
      </c>
      <c r="N7" s="69">
        <f t="shared" si="1"/>
        <v>2.9578469831809427E-5</v>
      </c>
      <c r="O7" s="69">
        <f t="shared" si="0"/>
        <v>0.88009627791930256</v>
      </c>
      <c r="P7" s="69">
        <f t="shared" si="0"/>
        <v>6.9476128326191364E-2</v>
      </c>
      <c r="Q7" s="69">
        <f t="shared" si="0"/>
        <v>7.3021847397279518E-4</v>
      </c>
      <c r="R7" s="69">
        <f t="shared" si="0"/>
        <v>7.3946174579523568E-6</v>
      </c>
      <c r="S7" s="69">
        <f t="shared" si="0"/>
        <v>4.2519050383226051E-5</v>
      </c>
      <c r="T7" s="69">
        <f t="shared" si="0"/>
        <v>0</v>
      </c>
      <c r="U7" s="69">
        <f t="shared" si="0"/>
        <v>7.2097520215035475E-5</v>
      </c>
      <c r="V7" s="69">
        <f t="shared" si="0"/>
        <v>4.4530386331789087E-2</v>
      </c>
      <c r="W7" s="70">
        <f t="shared" si="0"/>
        <v>5.0153992908561857E-3</v>
      </c>
      <c r="X7" s="69">
        <f t="shared" si="2"/>
        <v>1.1461657059826153E-4</v>
      </c>
      <c r="Y7" s="69">
        <f t="shared" si="3"/>
        <v>4.9545785622645271E-2</v>
      </c>
      <c r="Z7" s="70">
        <f t="shared" si="4"/>
        <v>4.9617883142860308E-2</v>
      </c>
    </row>
    <row r="8" spans="1:26" x14ac:dyDescent="0.15">
      <c r="A8" s="78" t="s">
        <v>1052</v>
      </c>
      <c r="B8" s="76">
        <v>2023</v>
      </c>
      <c r="C8" s="77">
        <v>5</v>
      </c>
      <c r="D8" s="77">
        <v>482601</v>
      </c>
      <c r="E8" s="77">
        <v>152033</v>
      </c>
      <c r="F8" s="77">
        <v>1909</v>
      </c>
      <c r="G8" s="77">
        <v>0</v>
      </c>
      <c r="H8" s="77">
        <v>273</v>
      </c>
      <c r="I8" s="77">
        <v>0</v>
      </c>
      <c r="J8" s="77">
        <v>44</v>
      </c>
      <c r="K8" s="77">
        <v>32103</v>
      </c>
      <c r="L8" s="77">
        <v>3734</v>
      </c>
      <c r="M8" s="78">
        <v>672702</v>
      </c>
      <c r="N8" s="79">
        <f t="shared" si="1"/>
        <v>7.4327116613299793E-6</v>
      </c>
      <c r="O8" s="79">
        <f t="shared" si="0"/>
        <v>0.71740681609390189</v>
      </c>
      <c r="P8" s="79">
        <f t="shared" si="0"/>
        <v>0.22600349040139617</v>
      </c>
      <c r="Q8" s="79">
        <f t="shared" si="0"/>
        <v>2.8378093122957862E-3</v>
      </c>
      <c r="R8" s="79">
        <f t="shared" si="0"/>
        <v>0</v>
      </c>
      <c r="S8" s="79">
        <f t="shared" si="0"/>
        <v>4.0582605670861689E-4</v>
      </c>
      <c r="T8" s="79">
        <f t="shared" si="0"/>
        <v>0</v>
      </c>
      <c r="U8" s="79">
        <f t="shared" si="0"/>
        <v>6.5407862619703823E-5</v>
      </c>
      <c r="V8" s="79">
        <f t="shared" si="0"/>
        <v>4.7722468492735266E-2</v>
      </c>
      <c r="W8" s="80">
        <f t="shared" si="0"/>
        <v>5.5507490686812289E-3</v>
      </c>
      <c r="X8" s="79">
        <f t="shared" si="2"/>
        <v>4.7123391932832071E-4</v>
      </c>
      <c r="Y8" s="79">
        <f t="shared" si="3"/>
        <v>5.3273217561416494E-2</v>
      </c>
      <c r="Z8" s="80">
        <f t="shared" si="4"/>
        <v>5.3338625424036196E-2</v>
      </c>
    </row>
    <row r="9" spans="1:26" x14ac:dyDescent="0.15">
      <c r="A9" s="85" t="s">
        <v>1053</v>
      </c>
      <c r="B9" s="83">
        <v>2018</v>
      </c>
      <c r="C9" s="84">
        <v>940137</v>
      </c>
      <c r="D9" s="84">
        <v>1036146</v>
      </c>
      <c r="E9" s="84">
        <v>991</v>
      </c>
      <c r="F9" s="84">
        <v>0</v>
      </c>
      <c r="G9" s="84">
        <v>26199</v>
      </c>
      <c r="H9" s="84">
        <v>0</v>
      </c>
      <c r="I9" s="84">
        <v>0</v>
      </c>
      <c r="J9" s="84">
        <v>1</v>
      </c>
      <c r="K9" s="84">
        <v>40792</v>
      </c>
      <c r="L9" s="84">
        <v>0</v>
      </c>
      <c r="M9" s="85">
        <v>2044266</v>
      </c>
      <c r="N9" s="72">
        <f t="shared" si="1"/>
        <v>0.45988975994317766</v>
      </c>
      <c r="O9" s="72">
        <f t="shared" si="0"/>
        <v>0.50685478308595844</v>
      </c>
      <c r="P9" s="72">
        <f t="shared" si="0"/>
        <v>4.8477057290978768E-4</v>
      </c>
      <c r="Q9" s="72">
        <f t="shared" si="0"/>
        <v>0</v>
      </c>
      <c r="R9" s="72">
        <f t="shared" si="0"/>
        <v>1.2815846861416274E-2</v>
      </c>
      <c r="S9" s="72">
        <f t="shared" si="0"/>
        <v>0</v>
      </c>
      <c r="T9" s="72">
        <f t="shared" si="0"/>
        <v>0</v>
      </c>
      <c r="U9" s="72">
        <f t="shared" si="0"/>
        <v>4.8917313108959402E-7</v>
      </c>
      <c r="V9" s="72">
        <f t="shared" si="0"/>
        <v>1.9954350363406721E-2</v>
      </c>
      <c r="W9" s="73">
        <f t="shared" si="0"/>
        <v>0</v>
      </c>
      <c r="X9" s="72">
        <f t="shared" si="2"/>
        <v>4.8917313108959402E-7</v>
      </c>
      <c r="Y9" s="72">
        <f t="shared" si="3"/>
        <v>1.9954350363406721E-2</v>
      </c>
      <c r="Z9" s="73">
        <f t="shared" si="4"/>
        <v>1.9954839536537809E-2</v>
      </c>
    </row>
    <row r="10" spans="1:26" x14ac:dyDescent="0.15">
      <c r="A10" s="68" t="s">
        <v>1053</v>
      </c>
      <c r="B10" s="67">
        <v>2019</v>
      </c>
      <c r="C10" s="64">
        <v>1086406</v>
      </c>
      <c r="D10" s="64">
        <v>1052509</v>
      </c>
      <c r="E10" s="64">
        <v>1203</v>
      </c>
      <c r="F10" s="64">
        <v>0</v>
      </c>
      <c r="G10" s="64">
        <v>31615</v>
      </c>
      <c r="H10" s="64">
        <v>0</v>
      </c>
      <c r="I10" s="64">
        <v>0</v>
      </c>
      <c r="J10" s="64">
        <v>98</v>
      </c>
      <c r="K10" s="64">
        <v>18134</v>
      </c>
      <c r="L10" s="64">
        <v>0</v>
      </c>
      <c r="M10" s="68">
        <v>2189965</v>
      </c>
      <c r="N10" s="69">
        <f t="shared" si="1"/>
        <v>0.49608372736550582</v>
      </c>
      <c r="O10" s="69">
        <f t="shared" si="0"/>
        <v>0.48060539780316125</v>
      </c>
      <c r="P10" s="69">
        <f t="shared" si="0"/>
        <v>5.4932384764140064E-4</v>
      </c>
      <c r="Q10" s="69">
        <f t="shared" si="0"/>
        <v>0</v>
      </c>
      <c r="R10" s="69">
        <f t="shared" si="0"/>
        <v>1.4436303776544373E-2</v>
      </c>
      <c r="S10" s="69">
        <f t="shared" si="0"/>
        <v>0</v>
      </c>
      <c r="T10" s="69">
        <f t="shared" si="0"/>
        <v>0</v>
      </c>
      <c r="U10" s="69">
        <f t="shared" si="0"/>
        <v>4.4749573623322746E-5</v>
      </c>
      <c r="V10" s="69">
        <f t="shared" si="0"/>
        <v>8.2804976335238232E-3</v>
      </c>
      <c r="W10" s="70">
        <f t="shared" si="0"/>
        <v>0</v>
      </c>
      <c r="X10" s="69">
        <f t="shared" si="2"/>
        <v>4.4749573623322746E-5</v>
      </c>
      <c r="Y10" s="69">
        <f t="shared" si="3"/>
        <v>8.2804976335238232E-3</v>
      </c>
      <c r="Z10" s="70">
        <f t="shared" si="4"/>
        <v>8.3252472071471458E-3</v>
      </c>
    </row>
    <row r="11" spans="1:26" x14ac:dyDescent="0.15">
      <c r="A11" s="68" t="s">
        <v>1053</v>
      </c>
      <c r="B11" s="67">
        <v>2020</v>
      </c>
      <c r="C11" s="64">
        <v>1157807</v>
      </c>
      <c r="D11" s="64">
        <v>1319146</v>
      </c>
      <c r="E11" s="64">
        <v>8391</v>
      </c>
      <c r="F11" s="64">
        <v>0</v>
      </c>
      <c r="G11" s="64">
        <v>13236</v>
      </c>
      <c r="H11" s="64">
        <v>0</v>
      </c>
      <c r="I11" s="64">
        <v>0</v>
      </c>
      <c r="J11" s="64">
        <v>318</v>
      </c>
      <c r="K11" s="64">
        <v>15349</v>
      </c>
      <c r="L11" s="64">
        <v>0</v>
      </c>
      <c r="M11" s="68">
        <v>2514247</v>
      </c>
      <c r="N11" s="69">
        <f t="shared" si="1"/>
        <v>0.46049851108502865</v>
      </c>
      <c r="O11" s="69">
        <f t="shared" si="0"/>
        <v>0.52466841961032473</v>
      </c>
      <c r="P11" s="69">
        <f t="shared" si="0"/>
        <v>3.3373809335359651E-3</v>
      </c>
      <c r="Q11" s="69">
        <f t="shared" si="0"/>
        <v>0</v>
      </c>
      <c r="R11" s="69">
        <f t="shared" si="0"/>
        <v>5.2643992416019584E-3</v>
      </c>
      <c r="S11" s="69">
        <f t="shared" si="0"/>
        <v>0</v>
      </c>
      <c r="T11" s="69">
        <f t="shared" si="0"/>
        <v>0</v>
      </c>
      <c r="U11" s="69">
        <f t="shared" si="0"/>
        <v>1.2647922021981133E-4</v>
      </c>
      <c r="V11" s="69">
        <f t="shared" si="0"/>
        <v>6.1048099092889446E-3</v>
      </c>
      <c r="W11" s="70">
        <f t="shared" si="0"/>
        <v>0</v>
      </c>
      <c r="X11" s="69">
        <f t="shared" si="2"/>
        <v>1.2647922021981133E-4</v>
      </c>
      <c r="Y11" s="69">
        <f t="shared" si="3"/>
        <v>6.1048099092889446E-3</v>
      </c>
      <c r="Z11" s="70">
        <f t="shared" si="4"/>
        <v>6.2312891295087562E-3</v>
      </c>
    </row>
    <row r="12" spans="1:26" x14ac:dyDescent="0.15">
      <c r="A12" s="68" t="s">
        <v>1053</v>
      </c>
      <c r="B12" s="67">
        <v>2021</v>
      </c>
      <c r="C12" s="64">
        <v>1076468</v>
      </c>
      <c r="D12" s="64">
        <v>1211486</v>
      </c>
      <c r="E12" s="64">
        <v>22002</v>
      </c>
      <c r="F12" s="64">
        <v>0</v>
      </c>
      <c r="G12" s="64">
        <v>170</v>
      </c>
      <c r="H12" s="64">
        <v>0</v>
      </c>
      <c r="I12" s="64">
        <v>0</v>
      </c>
      <c r="J12" s="64">
        <v>1258</v>
      </c>
      <c r="K12" s="64">
        <v>38485</v>
      </c>
      <c r="L12" s="64">
        <v>3</v>
      </c>
      <c r="M12" s="68">
        <v>2349872</v>
      </c>
      <c r="N12" s="69">
        <f t="shared" si="1"/>
        <v>0.4580964409976373</v>
      </c>
      <c r="O12" s="69">
        <f t="shared" si="0"/>
        <v>0.51555403868806471</v>
      </c>
      <c r="P12" s="69">
        <f t="shared" si="0"/>
        <v>9.363063179611485E-3</v>
      </c>
      <c r="Q12" s="69">
        <f t="shared" si="0"/>
        <v>0</v>
      </c>
      <c r="R12" s="69">
        <f t="shared" si="0"/>
        <v>7.2344365990998654E-5</v>
      </c>
      <c r="S12" s="69">
        <f t="shared" si="0"/>
        <v>0</v>
      </c>
      <c r="T12" s="69">
        <f t="shared" si="0"/>
        <v>0</v>
      </c>
      <c r="U12" s="69">
        <f t="shared" si="0"/>
        <v>5.3534830833339012E-4</v>
      </c>
      <c r="V12" s="69">
        <f t="shared" si="0"/>
        <v>1.6377487795079901E-2</v>
      </c>
      <c r="W12" s="70">
        <f t="shared" si="0"/>
        <v>1.276665282194094E-6</v>
      </c>
      <c r="X12" s="69">
        <f t="shared" si="2"/>
        <v>5.3534830833339012E-4</v>
      </c>
      <c r="Y12" s="69">
        <f t="shared" si="3"/>
        <v>1.6378764460362096E-2</v>
      </c>
      <c r="Z12" s="70">
        <f t="shared" si="4"/>
        <v>1.6914112768695488E-2</v>
      </c>
    </row>
    <row r="13" spans="1:26" x14ac:dyDescent="0.15">
      <c r="A13" s="68" t="s">
        <v>1053</v>
      </c>
      <c r="B13" s="67">
        <v>2022</v>
      </c>
      <c r="C13" s="64">
        <v>824355</v>
      </c>
      <c r="D13" s="64">
        <v>765340</v>
      </c>
      <c r="E13" s="64">
        <v>37388</v>
      </c>
      <c r="F13" s="64">
        <v>0</v>
      </c>
      <c r="G13" s="64">
        <v>38</v>
      </c>
      <c r="H13" s="64">
        <v>0</v>
      </c>
      <c r="I13" s="64">
        <v>0</v>
      </c>
      <c r="J13" s="64">
        <v>1403</v>
      </c>
      <c r="K13" s="64">
        <v>115267</v>
      </c>
      <c r="L13" s="64">
        <v>809</v>
      </c>
      <c r="M13" s="68">
        <v>1744600</v>
      </c>
      <c r="N13" s="69">
        <f t="shared" si="1"/>
        <v>0.47251805571477701</v>
      </c>
      <c r="O13" s="69">
        <f t="shared" si="0"/>
        <v>0.43869081737934196</v>
      </c>
      <c r="P13" s="69">
        <f t="shared" si="0"/>
        <v>2.143070044709389E-2</v>
      </c>
      <c r="Q13" s="69">
        <f t="shared" si="0"/>
        <v>0</v>
      </c>
      <c r="R13" s="69">
        <f t="shared" si="0"/>
        <v>2.1781497191333257E-5</v>
      </c>
      <c r="S13" s="69">
        <f t="shared" si="0"/>
        <v>0</v>
      </c>
      <c r="T13" s="69">
        <f t="shared" si="0"/>
        <v>0</v>
      </c>
      <c r="U13" s="69">
        <f t="shared" si="0"/>
        <v>8.041958041958042E-4</v>
      </c>
      <c r="V13" s="69">
        <f t="shared" si="0"/>
        <v>6.6070732546142388E-2</v>
      </c>
      <c r="W13" s="70">
        <f t="shared" si="0"/>
        <v>4.6371661125759486E-4</v>
      </c>
      <c r="X13" s="69">
        <f t="shared" si="2"/>
        <v>8.041958041958042E-4</v>
      </c>
      <c r="Y13" s="69">
        <f t="shared" si="3"/>
        <v>6.6534449157399977E-2</v>
      </c>
      <c r="Z13" s="70">
        <f t="shared" si="4"/>
        <v>6.7338644961595778E-2</v>
      </c>
    </row>
    <row r="14" spans="1:26" x14ac:dyDescent="0.15">
      <c r="A14" s="68" t="s">
        <v>1053</v>
      </c>
      <c r="B14" s="76">
        <v>2023</v>
      </c>
      <c r="C14" s="64">
        <v>883793</v>
      </c>
      <c r="D14" s="64">
        <v>713331</v>
      </c>
      <c r="E14" s="64">
        <v>68495</v>
      </c>
      <c r="F14" s="64">
        <v>3</v>
      </c>
      <c r="G14" s="64">
        <v>241</v>
      </c>
      <c r="H14" s="64">
        <v>4735</v>
      </c>
      <c r="I14" s="64">
        <v>0</v>
      </c>
      <c r="J14" s="64">
        <v>398</v>
      </c>
      <c r="K14" s="64">
        <v>102251</v>
      </c>
      <c r="L14" s="64">
        <v>2104</v>
      </c>
      <c r="M14" s="78">
        <v>1775351</v>
      </c>
      <c r="N14" s="79">
        <f t="shared" si="1"/>
        <v>0.49781310850643057</v>
      </c>
      <c r="O14" s="79">
        <f t="shared" si="0"/>
        <v>0.40179716574356283</v>
      </c>
      <c r="P14" s="79">
        <f t="shared" si="0"/>
        <v>3.8581103117073752E-2</v>
      </c>
      <c r="Q14" s="79">
        <f t="shared" si="0"/>
        <v>1.6898066917471531E-6</v>
      </c>
      <c r="R14" s="79">
        <f t="shared" si="0"/>
        <v>1.357478042370213E-4</v>
      </c>
      <c r="S14" s="79">
        <f t="shared" si="0"/>
        <v>2.6670782284742567E-3</v>
      </c>
      <c r="T14" s="79">
        <f t="shared" si="0"/>
        <v>0</v>
      </c>
      <c r="U14" s="79">
        <f t="shared" si="0"/>
        <v>2.2418102110512232E-4</v>
      </c>
      <c r="V14" s="79">
        <f t="shared" si="0"/>
        <v>5.7594808012612714E-2</v>
      </c>
      <c r="W14" s="80">
        <f t="shared" si="0"/>
        <v>1.1851177598120033E-3</v>
      </c>
      <c r="X14" s="79">
        <f t="shared" si="2"/>
        <v>2.8912592495793791E-3</v>
      </c>
      <c r="Y14" s="79">
        <f t="shared" si="3"/>
        <v>5.8779925772424718E-2</v>
      </c>
      <c r="Z14" s="80">
        <f t="shared" si="4"/>
        <v>5.900410679352984E-2</v>
      </c>
    </row>
    <row r="15" spans="1:26" x14ac:dyDescent="0.15">
      <c r="A15" s="85" t="s">
        <v>1054</v>
      </c>
      <c r="B15" s="84">
        <v>2018</v>
      </c>
      <c r="C15" s="82">
        <v>12754</v>
      </c>
      <c r="D15" s="84">
        <v>72442</v>
      </c>
      <c r="E15" s="84">
        <v>3832</v>
      </c>
      <c r="F15" s="84">
        <v>5</v>
      </c>
      <c r="G15" s="84">
        <v>0</v>
      </c>
      <c r="H15" s="84">
        <v>239</v>
      </c>
      <c r="I15" s="84">
        <v>0</v>
      </c>
      <c r="J15" s="84">
        <v>5839</v>
      </c>
      <c r="K15" s="84">
        <v>85927</v>
      </c>
      <c r="L15" s="83">
        <v>437</v>
      </c>
      <c r="M15" s="83">
        <v>181475</v>
      </c>
      <c r="N15" s="72">
        <f t="shared" si="1"/>
        <v>7.0279652844744453E-2</v>
      </c>
      <c r="O15" s="72">
        <f t="shared" si="0"/>
        <v>0.39918446066951369</v>
      </c>
      <c r="P15" s="72">
        <f t="shared" si="0"/>
        <v>2.111585617853699E-2</v>
      </c>
      <c r="Q15" s="72">
        <f t="shared" si="0"/>
        <v>2.7552004408320707E-5</v>
      </c>
      <c r="R15" s="72">
        <f t="shared" si="0"/>
        <v>0</v>
      </c>
      <c r="S15" s="72">
        <f t="shared" si="0"/>
        <v>1.3169858107177296E-3</v>
      </c>
      <c r="T15" s="72">
        <f t="shared" si="0"/>
        <v>0</v>
      </c>
      <c r="U15" s="72">
        <f t="shared" si="0"/>
        <v>3.2175230748036916E-2</v>
      </c>
      <c r="V15" s="72">
        <f t="shared" si="0"/>
        <v>0.47349221655875467</v>
      </c>
      <c r="W15" s="73">
        <f t="shared" si="0"/>
        <v>2.4080451852872297E-3</v>
      </c>
      <c r="X15" s="72">
        <f t="shared" si="2"/>
        <v>3.3492216558754645E-2</v>
      </c>
      <c r="Y15" s="72">
        <f t="shared" si="3"/>
        <v>0.47590026174404193</v>
      </c>
      <c r="Z15" s="73">
        <f t="shared" si="4"/>
        <v>0.50807549249207884</v>
      </c>
    </row>
    <row r="16" spans="1:26" x14ac:dyDescent="0.15">
      <c r="A16" s="68" t="s">
        <v>1054</v>
      </c>
      <c r="B16" s="64">
        <v>2019</v>
      </c>
      <c r="C16" s="66">
        <v>15305</v>
      </c>
      <c r="D16" s="64">
        <v>70020</v>
      </c>
      <c r="E16" s="64">
        <v>2082</v>
      </c>
      <c r="F16" s="64">
        <v>0</v>
      </c>
      <c r="G16" s="64">
        <v>0</v>
      </c>
      <c r="H16" s="64">
        <v>3</v>
      </c>
      <c r="I16" s="64">
        <v>0</v>
      </c>
      <c r="J16" s="64">
        <v>4298</v>
      </c>
      <c r="K16" s="64">
        <v>72243</v>
      </c>
      <c r="L16" s="67">
        <v>1176</v>
      </c>
      <c r="M16" s="67">
        <v>165127</v>
      </c>
      <c r="N16" s="69">
        <f t="shared" si="1"/>
        <v>9.2686235443022638E-2</v>
      </c>
      <c r="O16" s="69">
        <f t="shared" si="0"/>
        <v>0.42403725617252175</v>
      </c>
      <c r="P16" s="69">
        <f t="shared" si="0"/>
        <v>1.2608477111556559E-2</v>
      </c>
      <c r="Q16" s="69">
        <f t="shared" si="0"/>
        <v>0</v>
      </c>
      <c r="R16" s="69">
        <f t="shared" si="0"/>
        <v>0</v>
      </c>
      <c r="S16" s="69">
        <f t="shared" si="0"/>
        <v>1.8167834454692448E-5</v>
      </c>
      <c r="T16" s="69">
        <f t="shared" si="0"/>
        <v>0</v>
      </c>
      <c r="U16" s="69">
        <f t="shared" si="0"/>
        <v>2.6028450828756048E-2</v>
      </c>
      <c r="V16" s="69">
        <f t="shared" si="0"/>
        <v>0.43749962150344884</v>
      </c>
      <c r="W16" s="70">
        <f t="shared" si="0"/>
        <v>7.1217911062394397E-3</v>
      </c>
      <c r="X16" s="69">
        <f t="shared" si="2"/>
        <v>2.604661866321074E-2</v>
      </c>
      <c r="Y16" s="69">
        <f t="shared" si="3"/>
        <v>0.44462141260968829</v>
      </c>
      <c r="Z16" s="70">
        <f t="shared" si="4"/>
        <v>0.47064986343844434</v>
      </c>
    </row>
    <row r="17" spans="1:26" x14ac:dyDescent="0.15">
      <c r="A17" s="68" t="s">
        <v>1054</v>
      </c>
      <c r="B17" s="64">
        <v>2020</v>
      </c>
      <c r="C17" s="66">
        <v>9236</v>
      </c>
      <c r="D17" s="64">
        <v>43924</v>
      </c>
      <c r="E17" s="64">
        <v>909</v>
      </c>
      <c r="F17" s="64">
        <v>0</v>
      </c>
      <c r="G17" s="64">
        <v>16</v>
      </c>
      <c r="H17" s="64">
        <v>0</v>
      </c>
      <c r="I17" s="64">
        <v>0</v>
      </c>
      <c r="J17" s="64">
        <v>5049</v>
      </c>
      <c r="K17" s="64">
        <v>55783</v>
      </c>
      <c r="L17" s="67">
        <v>1351</v>
      </c>
      <c r="M17" s="67">
        <v>116268</v>
      </c>
      <c r="N17" s="69">
        <f t="shared" si="1"/>
        <v>7.9437162417862181E-2</v>
      </c>
      <c r="O17" s="69">
        <f t="shared" si="0"/>
        <v>0.3777823648811367</v>
      </c>
      <c r="P17" s="69">
        <f t="shared" si="0"/>
        <v>7.818144287336154E-3</v>
      </c>
      <c r="Q17" s="69">
        <f t="shared" si="0"/>
        <v>0</v>
      </c>
      <c r="R17" s="69">
        <f t="shared" si="0"/>
        <v>1.3761310076719304E-4</v>
      </c>
      <c r="S17" s="69">
        <f t="shared" si="0"/>
        <v>0</v>
      </c>
      <c r="T17" s="69">
        <f t="shared" si="0"/>
        <v>0</v>
      </c>
      <c r="U17" s="69">
        <f t="shared" si="0"/>
        <v>4.3425534110847354E-2</v>
      </c>
      <c r="V17" s="69">
        <f t="shared" si="0"/>
        <v>0.47977947500602058</v>
      </c>
      <c r="W17" s="70">
        <f t="shared" si="0"/>
        <v>1.1619706196029861E-2</v>
      </c>
      <c r="X17" s="69">
        <f t="shared" si="2"/>
        <v>4.3425534110847354E-2</v>
      </c>
      <c r="Y17" s="69">
        <f t="shared" si="3"/>
        <v>0.49139918120205045</v>
      </c>
      <c r="Z17" s="70">
        <f t="shared" si="4"/>
        <v>0.53482471531289777</v>
      </c>
    </row>
    <row r="18" spans="1:26" x14ac:dyDescent="0.15">
      <c r="A18" s="68" t="s">
        <v>1054</v>
      </c>
      <c r="B18" s="64">
        <v>2021</v>
      </c>
      <c r="C18" s="66">
        <v>12340</v>
      </c>
      <c r="D18" s="64">
        <v>46790</v>
      </c>
      <c r="E18" s="64">
        <v>528</v>
      </c>
      <c r="F18" s="64">
        <v>0</v>
      </c>
      <c r="G18" s="64">
        <v>1</v>
      </c>
      <c r="H18" s="64">
        <v>2</v>
      </c>
      <c r="I18" s="64">
        <v>0</v>
      </c>
      <c r="J18" s="64">
        <v>1226</v>
      </c>
      <c r="K18" s="64">
        <v>46038</v>
      </c>
      <c r="L18" s="67">
        <v>1047</v>
      </c>
      <c r="M18" s="67">
        <v>107972</v>
      </c>
      <c r="N18" s="69">
        <f t="shared" si="1"/>
        <v>0.1142888897121476</v>
      </c>
      <c r="O18" s="69">
        <f t="shared" si="0"/>
        <v>0.43335309154225171</v>
      </c>
      <c r="P18" s="69">
        <f t="shared" si="0"/>
        <v>4.8901567072944839E-3</v>
      </c>
      <c r="Q18" s="69">
        <f t="shared" si="0"/>
        <v>0</v>
      </c>
      <c r="R18" s="69">
        <f t="shared" si="0"/>
        <v>9.2616604304819766E-6</v>
      </c>
      <c r="S18" s="69">
        <f t="shared" si="0"/>
        <v>1.8523320860963953E-5</v>
      </c>
      <c r="T18" s="69">
        <f t="shared" si="0"/>
        <v>0</v>
      </c>
      <c r="U18" s="69">
        <f t="shared" si="0"/>
        <v>1.1354795687770904E-2</v>
      </c>
      <c r="V18" s="69">
        <f t="shared" si="0"/>
        <v>0.42638832289852924</v>
      </c>
      <c r="W18" s="70">
        <f t="shared" si="0"/>
        <v>9.696958470714629E-3</v>
      </c>
      <c r="X18" s="69">
        <f t="shared" si="2"/>
        <v>1.1373319008631868E-2</v>
      </c>
      <c r="Y18" s="69">
        <f t="shared" si="3"/>
        <v>0.43608528136924385</v>
      </c>
      <c r="Z18" s="70">
        <f t="shared" si="4"/>
        <v>0.44744007705701477</v>
      </c>
    </row>
    <row r="19" spans="1:26" x14ac:dyDescent="0.15">
      <c r="A19" s="68" t="s">
        <v>1054</v>
      </c>
      <c r="B19" s="64">
        <v>2022</v>
      </c>
      <c r="C19" s="66">
        <v>6462</v>
      </c>
      <c r="D19" s="64">
        <v>25884</v>
      </c>
      <c r="E19" s="64">
        <v>348</v>
      </c>
      <c r="F19" s="64">
        <v>0</v>
      </c>
      <c r="G19" s="64">
        <v>0</v>
      </c>
      <c r="H19" s="64">
        <v>0</v>
      </c>
      <c r="I19" s="64">
        <v>0</v>
      </c>
      <c r="J19" s="64">
        <v>1639</v>
      </c>
      <c r="K19" s="64">
        <v>49206</v>
      </c>
      <c r="L19" s="67">
        <v>1260</v>
      </c>
      <c r="M19" s="67">
        <v>84799</v>
      </c>
      <c r="N19" s="69">
        <f t="shared" si="1"/>
        <v>7.6203728817556812E-2</v>
      </c>
      <c r="O19" s="69">
        <f t="shared" si="1"/>
        <v>0.30523944857840307</v>
      </c>
      <c r="P19" s="69">
        <f t="shared" si="1"/>
        <v>4.1038219790327712E-3</v>
      </c>
      <c r="Q19" s="69">
        <f t="shared" si="1"/>
        <v>0</v>
      </c>
      <c r="R19" s="69">
        <f t="shared" si="1"/>
        <v>0</v>
      </c>
      <c r="S19" s="69">
        <f t="shared" si="1"/>
        <v>0</v>
      </c>
      <c r="T19" s="69">
        <f t="shared" si="1"/>
        <v>0</v>
      </c>
      <c r="U19" s="69">
        <f t="shared" si="1"/>
        <v>1.9328058113892852E-2</v>
      </c>
      <c r="V19" s="69">
        <f t="shared" si="1"/>
        <v>0.58026627672496134</v>
      </c>
      <c r="W19" s="70">
        <f t="shared" si="1"/>
        <v>1.4858665786153139E-2</v>
      </c>
      <c r="X19" s="69">
        <f t="shared" si="2"/>
        <v>1.9328058113892852E-2</v>
      </c>
      <c r="Y19" s="69">
        <f t="shared" si="3"/>
        <v>0.59512494251111447</v>
      </c>
      <c r="Z19" s="70">
        <f t="shared" si="4"/>
        <v>0.6144530006250073</v>
      </c>
    </row>
    <row r="20" spans="1:26" x14ac:dyDescent="0.15">
      <c r="A20" s="78" t="s">
        <v>1054</v>
      </c>
      <c r="B20" s="77">
        <v>2023</v>
      </c>
      <c r="C20" s="66">
        <v>6545</v>
      </c>
      <c r="D20" s="64">
        <v>43428</v>
      </c>
      <c r="E20" s="64">
        <v>373</v>
      </c>
      <c r="F20" s="64">
        <v>0</v>
      </c>
      <c r="G20" s="64">
        <v>0</v>
      </c>
      <c r="H20" s="64">
        <v>471</v>
      </c>
      <c r="I20" s="64">
        <v>0</v>
      </c>
      <c r="J20" s="64">
        <v>837</v>
      </c>
      <c r="K20" s="64">
        <v>28261</v>
      </c>
      <c r="L20" s="67">
        <v>1326</v>
      </c>
      <c r="M20" s="76">
        <v>81241</v>
      </c>
      <c r="N20" s="79">
        <f t="shared" si="1"/>
        <v>8.056277002991101E-2</v>
      </c>
      <c r="O20" s="79">
        <f t="shared" si="1"/>
        <v>0.53455767408082122</v>
      </c>
      <c r="P20" s="79">
        <f t="shared" si="1"/>
        <v>4.5912778030797255E-3</v>
      </c>
      <c r="Q20" s="79">
        <f t="shared" si="1"/>
        <v>0</v>
      </c>
      <c r="R20" s="79">
        <f t="shared" si="1"/>
        <v>0</v>
      </c>
      <c r="S20" s="79">
        <f t="shared" si="1"/>
        <v>5.7975652687682327E-3</v>
      </c>
      <c r="T20" s="79">
        <f t="shared" si="1"/>
        <v>0</v>
      </c>
      <c r="U20" s="79">
        <f t="shared" si="1"/>
        <v>1.0302679681441636E-2</v>
      </c>
      <c r="V20" s="79">
        <f t="shared" si="1"/>
        <v>0.34786622518186627</v>
      </c>
      <c r="W20" s="80">
        <f t="shared" si="1"/>
        <v>1.6321807954111839E-2</v>
      </c>
      <c r="X20" s="79">
        <f t="shared" si="2"/>
        <v>1.6100244950209869E-2</v>
      </c>
      <c r="Y20" s="79">
        <f t="shared" si="3"/>
        <v>0.36418803313597814</v>
      </c>
      <c r="Z20" s="80">
        <f t="shared" si="4"/>
        <v>0.37449071281741975</v>
      </c>
    </row>
    <row r="21" spans="1:26" x14ac:dyDescent="0.15">
      <c r="A21" s="85" t="s">
        <v>1055</v>
      </c>
      <c r="B21" s="84">
        <v>2018</v>
      </c>
      <c r="C21" s="82">
        <v>21203341</v>
      </c>
      <c r="D21" s="84">
        <v>184413</v>
      </c>
      <c r="E21" s="84">
        <v>513</v>
      </c>
      <c r="F21" s="84">
        <v>1333</v>
      </c>
      <c r="G21" s="84">
        <v>111661</v>
      </c>
      <c r="H21" s="84">
        <v>278945</v>
      </c>
      <c r="I21" s="84">
        <v>0</v>
      </c>
      <c r="J21" s="84">
        <v>198928</v>
      </c>
      <c r="K21" s="84">
        <v>744372</v>
      </c>
      <c r="L21" s="83">
        <v>0</v>
      </c>
      <c r="M21" s="83">
        <v>22723506</v>
      </c>
      <c r="N21" s="72">
        <f t="shared" si="1"/>
        <v>0.9331016525354846</v>
      </c>
      <c r="O21" s="72">
        <f t="shared" si="1"/>
        <v>8.1155170333310368E-3</v>
      </c>
      <c r="P21" s="72">
        <f t="shared" si="1"/>
        <v>2.2575741613111992E-5</v>
      </c>
      <c r="Q21" s="72">
        <f t="shared" si="1"/>
        <v>5.866172235921693E-5</v>
      </c>
      <c r="R21" s="72">
        <f t="shared" si="1"/>
        <v>4.9138984098668573E-3</v>
      </c>
      <c r="S21" s="72">
        <f t="shared" si="1"/>
        <v>1.2275614511246636E-2</v>
      </c>
      <c r="T21" s="72">
        <f t="shared" si="1"/>
        <v>0</v>
      </c>
      <c r="U21" s="72">
        <f t="shared" si="1"/>
        <v>8.754282899830686E-3</v>
      </c>
      <c r="V21" s="72">
        <f t="shared" si="1"/>
        <v>3.2757797146267836E-2</v>
      </c>
      <c r="W21" s="73">
        <f t="shared" si="1"/>
        <v>0</v>
      </c>
      <c r="X21" s="72">
        <f t="shared" si="2"/>
        <v>2.1029897411077324E-2</v>
      </c>
      <c r="Y21" s="72">
        <f t="shared" si="3"/>
        <v>3.2757797146267836E-2</v>
      </c>
      <c r="Z21" s="73">
        <f t="shared" si="4"/>
        <v>4.1512080046098521E-2</v>
      </c>
    </row>
    <row r="22" spans="1:26" x14ac:dyDescent="0.15">
      <c r="A22" s="68" t="s">
        <v>1055</v>
      </c>
      <c r="B22" s="64">
        <v>2019</v>
      </c>
      <c r="C22" s="66">
        <v>20272633</v>
      </c>
      <c r="D22" s="64">
        <v>157906</v>
      </c>
      <c r="E22" s="64">
        <v>4075</v>
      </c>
      <c r="F22" s="64">
        <v>14561</v>
      </c>
      <c r="G22" s="64">
        <v>103339</v>
      </c>
      <c r="H22" s="64">
        <v>384521</v>
      </c>
      <c r="I22" s="64">
        <v>0</v>
      </c>
      <c r="J22" s="64">
        <v>192859</v>
      </c>
      <c r="K22" s="64">
        <v>724626</v>
      </c>
      <c r="L22" s="67">
        <v>0</v>
      </c>
      <c r="M22" s="67">
        <v>21854520</v>
      </c>
      <c r="N22" s="69">
        <f t="shared" si="1"/>
        <v>0.9276173990552069</v>
      </c>
      <c r="O22" s="69">
        <f t="shared" si="1"/>
        <v>7.2253245552865034E-3</v>
      </c>
      <c r="P22" s="69">
        <f t="shared" si="1"/>
        <v>1.8646028373077973E-4</v>
      </c>
      <c r="Q22" s="69">
        <f t="shared" si="1"/>
        <v>6.6626949482303892E-4</v>
      </c>
      <c r="R22" s="69">
        <f t="shared" si="1"/>
        <v>4.7284955240380483E-3</v>
      </c>
      <c r="S22" s="69">
        <f t="shared" si="1"/>
        <v>1.7594575401335744E-2</v>
      </c>
      <c r="T22" s="69">
        <f t="shared" si="1"/>
        <v>0</v>
      </c>
      <c r="U22" s="69">
        <f t="shared" si="1"/>
        <v>8.8246733398857531E-3</v>
      </c>
      <c r="V22" s="69">
        <f t="shared" si="1"/>
        <v>3.3156802345693251E-2</v>
      </c>
      <c r="W22" s="70">
        <f t="shared" si="1"/>
        <v>0</v>
      </c>
      <c r="X22" s="69">
        <f t="shared" si="2"/>
        <v>2.6419248741221497E-2</v>
      </c>
      <c r="Y22" s="69">
        <f t="shared" si="3"/>
        <v>3.3156802345693251E-2</v>
      </c>
      <c r="Z22" s="70">
        <f t="shared" si="4"/>
        <v>4.1981475685579001E-2</v>
      </c>
    </row>
    <row r="23" spans="1:26" x14ac:dyDescent="0.15">
      <c r="A23" s="68" t="s">
        <v>1055</v>
      </c>
      <c r="B23" s="64">
        <v>2020</v>
      </c>
      <c r="C23" s="66">
        <v>18385431</v>
      </c>
      <c r="D23" s="64">
        <v>179221</v>
      </c>
      <c r="E23" s="64">
        <v>17135</v>
      </c>
      <c r="F23" s="64">
        <v>5688</v>
      </c>
      <c r="G23" s="64">
        <v>28314</v>
      </c>
      <c r="H23" s="64">
        <v>532332</v>
      </c>
      <c r="I23" s="64">
        <v>27846</v>
      </c>
      <c r="J23" s="64">
        <v>182646</v>
      </c>
      <c r="K23" s="64">
        <v>938448</v>
      </c>
      <c r="L23" s="67">
        <v>0</v>
      </c>
      <c r="M23" s="67">
        <v>20297061</v>
      </c>
      <c r="N23" s="69">
        <f t="shared" si="1"/>
        <v>0.9058173988835132</v>
      </c>
      <c r="O23" s="69">
        <f t="shared" si="1"/>
        <v>8.8298990676531942E-3</v>
      </c>
      <c r="P23" s="69">
        <f t="shared" si="1"/>
        <v>8.4421089338993459E-4</v>
      </c>
      <c r="Q23" s="69">
        <f t="shared" si="1"/>
        <v>2.8023761666775302E-4</v>
      </c>
      <c r="R23" s="69">
        <f t="shared" si="1"/>
        <v>1.394980288032834E-3</v>
      </c>
      <c r="S23" s="69">
        <f t="shared" si="1"/>
        <v>2.6227048339658634E-2</v>
      </c>
      <c r="T23" s="69">
        <f t="shared" si="1"/>
        <v>1.3719227626108035E-3</v>
      </c>
      <c r="U23" s="69">
        <f t="shared" si="1"/>
        <v>8.9986427098977528E-3</v>
      </c>
      <c r="V23" s="69">
        <f t="shared" si="1"/>
        <v>4.6235659438575862E-2</v>
      </c>
      <c r="W23" s="70">
        <f t="shared" si="1"/>
        <v>0</v>
      </c>
      <c r="X23" s="69">
        <f t="shared" si="2"/>
        <v>3.6597613812167189E-2</v>
      </c>
      <c r="Y23" s="69">
        <f t="shared" si="3"/>
        <v>4.6235659438575862E-2</v>
      </c>
      <c r="Z23" s="70">
        <f t="shared" si="4"/>
        <v>5.5234302148473614E-2</v>
      </c>
    </row>
    <row r="24" spans="1:26" x14ac:dyDescent="0.15">
      <c r="A24" s="68" t="s">
        <v>1055</v>
      </c>
      <c r="B24" s="64">
        <v>2021</v>
      </c>
      <c r="C24" s="66">
        <v>17689524</v>
      </c>
      <c r="D24" s="64">
        <v>191283</v>
      </c>
      <c r="E24" s="64">
        <v>21975</v>
      </c>
      <c r="F24" s="64">
        <v>837</v>
      </c>
      <c r="G24" s="64">
        <v>26684</v>
      </c>
      <c r="H24" s="64">
        <v>697809</v>
      </c>
      <c r="I24" s="64">
        <v>105818</v>
      </c>
      <c r="J24" s="64">
        <v>431947</v>
      </c>
      <c r="K24" s="64">
        <v>2415755</v>
      </c>
      <c r="L24" s="67">
        <v>19</v>
      </c>
      <c r="M24" s="67">
        <v>21581651</v>
      </c>
      <c r="N24" s="69">
        <f t="shared" si="1"/>
        <v>0.81965573440141348</v>
      </c>
      <c r="O24" s="69">
        <f t="shared" si="1"/>
        <v>8.8632236708859769E-3</v>
      </c>
      <c r="P24" s="69">
        <f t="shared" si="1"/>
        <v>1.0182260847420802E-3</v>
      </c>
      <c r="Q24" s="69">
        <f t="shared" si="1"/>
        <v>3.8782945753316091E-5</v>
      </c>
      <c r="R24" s="69">
        <f t="shared" si="1"/>
        <v>1.2364206983052409E-3</v>
      </c>
      <c r="S24" s="69">
        <f t="shared" si="1"/>
        <v>3.2333439179421442E-2</v>
      </c>
      <c r="T24" s="69">
        <f t="shared" si="1"/>
        <v>4.9031466591689396E-3</v>
      </c>
      <c r="U24" s="69">
        <f t="shared" si="1"/>
        <v>2.0014548469901583E-2</v>
      </c>
      <c r="V24" s="69">
        <f t="shared" si="1"/>
        <v>0.11193559751290576</v>
      </c>
      <c r="W24" s="70">
        <f t="shared" si="1"/>
        <v>8.8037750216607615E-7</v>
      </c>
      <c r="X24" s="69">
        <f t="shared" si="2"/>
        <v>5.7251134308491963E-2</v>
      </c>
      <c r="Y24" s="69">
        <f t="shared" si="3"/>
        <v>0.11193647789040792</v>
      </c>
      <c r="Z24" s="70">
        <f t="shared" si="4"/>
        <v>0.13195102636030953</v>
      </c>
    </row>
    <row r="25" spans="1:26" x14ac:dyDescent="0.15">
      <c r="A25" s="68" t="s">
        <v>1055</v>
      </c>
      <c r="B25" s="64">
        <v>2022</v>
      </c>
      <c r="C25" s="66">
        <v>14536113</v>
      </c>
      <c r="D25" s="64">
        <v>146591</v>
      </c>
      <c r="E25" s="64">
        <v>29556</v>
      </c>
      <c r="F25" s="64">
        <v>281</v>
      </c>
      <c r="G25" s="64">
        <v>31724</v>
      </c>
      <c r="H25" s="64">
        <v>862749</v>
      </c>
      <c r="I25" s="64">
        <v>219137</v>
      </c>
      <c r="J25" s="64">
        <v>1060228</v>
      </c>
      <c r="K25" s="64">
        <v>4026644</v>
      </c>
      <c r="L25" s="67">
        <v>255</v>
      </c>
      <c r="M25" s="67">
        <v>20913278</v>
      </c>
      <c r="N25" s="69">
        <f t="shared" si="1"/>
        <v>0.69506621582709316</v>
      </c>
      <c r="O25" s="69">
        <f t="shared" si="1"/>
        <v>7.0094702513876592E-3</v>
      </c>
      <c r="P25" s="69">
        <f t="shared" si="1"/>
        <v>1.4132648167350906E-3</v>
      </c>
      <c r="Q25" s="69">
        <f t="shared" si="1"/>
        <v>1.3436439758511315E-5</v>
      </c>
      <c r="R25" s="69">
        <f t="shared" si="1"/>
        <v>1.516931013875491E-3</v>
      </c>
      <c r="S25" s="69">
        <f t="shared" si="1"/>
        <v>4.125364756304583E-2</v>
      </c>
      <c r="T25" s="69">
        <f t="shared" si="1"/>
        <v>1.0478366901640192E-2</v>
      </c>
      <c r="U25" s="69">
        <f t="shared" si="1"/>
        <v>5.0696404456537135E-2</v>
      </c>
      <c r="V25" s="69">
        <f t="shared" si="1"/>
        <v>0.19254006951946989</v>
      </c>
      <c r="W25" s="70">
        <f t="shared" si="1"/>
        <v>1.2193210457012047E-5</v>
      </c>
      <c r="X25" s="69">
        <f t="shared" si="2"/>
        <v>0.10242841892122315</v>
      </c>
      <c r="Y25" s="69">
        <f t="shared" si="3"/>
        <v>0.1925522627299269</v>
      </c>
      <c r="Z25" s="70">
        <f t="shared" si="4"/>
        <v>0.24324866718646404</v>
      </c>
    </row>
    <row r="26" spans="1:26" x14ac:dyDescent="0.15">
      <c r="A26" s="68" t="s">
        <v>1055</v>
      </c>
      <c r="B26" s="64">
        <v>2023</v>
      </c>
      <c r="C26" s="75">
        <v>13673000</v>
      </c>
      <c r="D26" s="77">
        <v>160217</v>
      </c>
      <c r="E26" s="77">
        <v>26624</v>
      </c>
      <c r="F26" s="77">
        <v>8</v>
      </c>
      <c r="G26" s="77">
        <v>28477</v>
      </c>
      <c r="H26" s="77">
        <v>897897</v>
      </c>
      <c r="I26" s="77">
        <v>583609</v>
      </c>
      <c r="J26" s="77">
        <v>1731583</v>
      </c>
      <c r="K26" s="77">
        <v>5091449</v>
      </c>
      <c r="L26" s="76">
        <v>380</v>
      </c>
      <c r="M26" s="76">
        <v>22193244</v>
      </c>
      <c r="N26" s="79">
        <f t="shared" si="1"/>
        <v>0.61608839158439388</v>
      </c>
      <c r="O26" s="79">
        <f t="shared" si="1"/>
        <v>7.2191789537392548E-3</v>
      </c>
      <c r="P26" s="79">
        <f t="shared" si="1"/>
        <v>1.1996443602386383E-3</v>
      </c>
      <c r="Q26" s="79">
        <f t="shared" si="1"/>
        <v>3.6047006016786007E-7</v>
      </c>
      <c r="R26" s="79">
        <f t="shared" si="1"/>
        <v>1.283138237925019E-3</v>
      </c>
      <c r="S26" s="79">
        <f t="shared" si="1"/>
        <v>4.0458123201817638E-2</v>
      </c>
      <c r="T26" s="79">
        <f t="shared" si="1"/>
        <v>2.6296696418063082E-2</v>
      </c>
      <c r="U26" s="79">
        <f t="shared" si="1"/>
        <v>7.8022978524455458E-2</v>
      </c>
      <c r="V26" s="79">
        <f t="shared" si="1"/>
        <v>0.2294143659214489</v>
      </c>
      <c r="W26" s="80">
        <f t="shared" si="1"/>
        <v>1.7122327857973354E-5</v>
      </c>
      <c r="X26" s="79">
        <f t="shared" si="2"/>
        <v>0.14477779814433617</v>
      </c>
      <c r="Y26" s="79">
        <f t="shared" si="3"/>
        <v>0.22943148824930687</v>
      </c>
      <c r="Z26" s="80">
        <f t="shared" si="4"/>
        <v>0.30745446677376237</v>
      </c>
    </row>
    <row r="27" spans="1:26" x14ac:dyDescent="0.15">
      <c r="A27" s="85" t="s">
        <v>1056</v>
      </c>
      <c r="B27" s="83">
        <v>2018</v>
      </c>
      <c r="C27" s="64">
        <v>580</v>
      </c>
      <c r="D27" s="64">
        <v>27622</v>
      </c>
      <c r="E27" s="64">
        <v>1030</v>
      </c>
      <c r="F27" s="64">
        <v>0</v>
      </c>
      <c r="G27" s="64">
        <v>0</v>
      </c>
      <c r="H27" s="64">
        <v>0</v>
      </c>
      <c r="I27" s="64">
        <v>0</v>
      </c>
      <c r="J27" s="64">
        <v>11</v>
      </c>
      <c r="K27" s="64">
        <v>3009</v>
      </c>
      <c r="L27" s="64">
        <v>0</v>
      </c>
      <c r="M27" s="85">
        <v>32252</v>
      </c>
      <c r="N27" s="72">
        <f t="shared" si="1"/>
        <v>1.7983380875604613E-2</v>
      </c>
      <c r="O27" s="72">
        <f t="shared" si="1"/>
        <v>0.85644301128612177</v>
      </c>
      <c r="P27" s="72">
        <f t="shared" si="1"/>
        <v>3.1936003968746123E-2</v>
      </c>
      <c r="Q27" s="72">
        <f t="shared" si="1"/>
        <v>0</v>
      </c>
      <c r="R27" s="72">
        <f t="shared" si="1"/>
        <v>0</v>
      </c>
      <c r="S27" s="72">
        <f t="shared" si="1"/>
        <v>0</v>
      </c>
      <c r="T27" s="72">
        <f t="shared" si="1"/>
        <v>0</v>
      </c>
      <c r="U27" s="72">
        <f t="shared" si="1"/>
        <v>3.4106412005457026E-4</v>
      </c>
      <c r="V27" s="72">
        <f t="shared" si="1"/>
        <v>9.3296539749472898E-2</v>
      </c>
      <c r="W27" s="73">
        <f t="shared" si="1"/>
        <v>0</v>
      </c>
      <c r="X27" s="72">
        <f t="shared" si="2"/>
        <v>3.4106412005457026E-4</v>
      </c>
      <c r="Y27" s="72">
        <f t="shared" si="3"/>
        <v>9.3296539749472898E-2</v>
      </c>
      <c r="Z27" s="73">
        <f t="shared" si="4"/>
        <v>9.3637603869527464E-2</v>
      </c>
    </row>
    <row r="28" spans="1:26" x14ac:dyDescent="0.15">
      <c r="A28" s="68" t="s">
        <v>1056</v>
      </c>
      <c r="B28" s="67">
        <v>2019</v>
      </c>
      <c r="C28" s="64">
        <v>699</v>
      </c>
      <c r="D28" s="64">
        <v>31309</v>
      </c>
      <c r="E28" s="64">
        <v>828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2449</v>
      </c>
      <c r="L28" s="64">
        <v>315</v>
      </c>
      <c r="M28" s="68">
        <v>35600</v>
      </c>
      <c r="N28" s="69">
        <f t="shared" si="1"/>
        <v>1.9634831460674157E-2</v>
      </c>
      <c r="O28" s="69">
        <f t="shared" si="1"/>
        <v>0.87946629213483141</v>
      </c>
      <c r="P28" s="69">
        <f t="shared" si="1"/>
        <v>2.3258426966292135E-2</v>
      </c>
      <c r="Q28" s="69">
        <f t="shared" si="1"/>
        <v>0</v>
      </c>
      <c r="R28" s="69">
        <f t="shared" si="1"/>
        <v>0</v>
      </c>
      <c r="S28" s="69">
        <f t="shared" si="1"/>
        <v>0</v>
      </c>
      <c r="T28" s="69">
        <f t="shared" si="1"/>
        <v>0</v>
      </c>
      <c r="U28" s="69">
        <f t="shared" si="1"/>
        <v>0</v>
      </c>
      <c r="V28" s="69">
        <f t="shared" si="1"/>
        <v>6.8792134831460669E-2</v>
      </c>
      <c r="W28" s="70">
        <f t="shared" si="1"/>
        <v>8.8483146067415731E-3</v>
      </c>
      <c r="X28" s="69">
        <f t="shared" si="2"/>
        <v>0</v>
      </c>
      <c r="Y28" s="69">
        <f t="shared" si="3"/>
        <v>7.7640449438202239E-2</v>
      </c>
      <c r="Z28" s="70">
        <f t="shared" si="4"/>
        <v>7.7640449438202239E-2</v>
      </c>
    </row>
    <row r="29" spans="1:26" x14ac:dyDescent="0.15">
      <c r="A29" s="68" t="s">
        <v>1056</v>
      </c>
      <c r="B29" s="67">
        <v>2020</v>
      </c>
      <c r="C29" s="64">
        <v>495</v>
      </c>
      <c r="D29" s="64">
        <v>16981</v>
      </c>
      <c r="E29" s="64">
        <v>397</v>
      </c>
      <c r="F29" s="64">
        <v>0</v>
      </c>
      <c r="G29" s="64">
        <v>0</v>
      </c>
      <c r="H29" s="64">
        <v>0</v>
      </c>
      <c r="I29" s="64">
        <v>0</v>
      </c>
      <c r="J29" s="64">
        <v>4</v>
      </c>
      <c r="K29" s="64">
        <v>1573</v>
      </c>
      <c r="L29" s="64">
        <v>0</v>
      </c>
      <c r="M29" s="68">
        <v>19450</v>
      </c>
      <c r="N29" s="69">
        <f t="shared" si="1"/>
        <v>2.5449871465295631E-2</v>
      </c>
      <c r="O29" s="69">
        <f t="shared" si="1"/>
        <v>0.87305912596401025</v>
      </c>
      <c r="P29" s="69">
        <f t="shared" si="1"/>
        <v>2.0411311053984575E-2</v>
      </c>
      <c r="Q29" s="69">
        <f t="shared" si="1"/>
        <v>0</v>
      </c>
      <c r="R29" s="69">
        <f t="shared" si="1"/>
        <v>0</v>
      </c>
      <c r="S29" s="69">
        <f t="shared" si="1"/>
        <v>0</v>
      </c>
      <c r="T29" s="69">
        <f t="shared" si="1"/>
        <v>0</v>
      </c>
      <c r="U29" s="69">
        <f t="shared" si="1"/>
        <v>2.0565552699228792E-4</v>
      </c>
      <c r="V29" s="69">
        <f t="shared" si="1"/>
        <v>8.0874035989717222E-2</v>
      </c>
      <c r="W29" s="70">
        <f t="shared" si="1"/>
        <v>0</v>
      </c>
      <c r="X29" s="69">
        <f t="shared" si="2"/>
        <v>2.0565552699228792E-4</v>
      </c>
      <c r="Y29" s="69">
        <f t="shared" si="3"/>
        <v>8.0874035989717222E-2</v>
      </c>
      <c r="Z29" s="70">
        <f t="shared" si="4"/>
        <v>8.1079691516709504E-2</v>
      </c>
    </row>
    <row r="30" spans="1:26" x14ac:dyDescent="0.15">
      <c r="A30" s="68" t="s">
        <v>1056</v>
      </c>
      <c r="B30" s="67">
        <v>2021</v>
      </c>
      <c r="C30" s="64">
        <v>789</v>
      </c>
      <c r="D30" s="64">
        <v>19933</v>
      </c>
      <c r="E30" s="64">
        <v>277</v>
      </c>
      <c r="F30" s="64">
        <v>0</v>
      </c>
      <c r="G30" s="64">
        <v>1</v>
      </c>
      <c r="H30" s="64">
        <v>0</v>
      </c>
      <c r="I30" s="64">
        <v>0</v>
      </c>
      <c r="J30" s="64">
        <v>0</v>
      </c>
      <c r="K30" s="64">
        <v>3103</v>
      </c>
      <c r="L30" s="64">
        <v>141</v>
      </c>
      <c r="M30" s="68">
        <v>24244</v>
      </c>
      <c r="N30" s="69">
        <f t="shared" si="1"/>
        <v>3.2544134631248972E-2</v>
      </c>
      <c r="O30" s="69">
        <f t="shared" si="1"/>
        <v>0.82218280811747235</v>
      </c>
      <c r="P30" s="69">
        <f t="shared" si="1"/>
        <v>1.1425507342022769E-2</v>
      </c>
      <c r="Q30" s="69">
        <f t="shared" si="1"/>
        <v>0</v>
      </c>
      <c r="R30" s="69">
        <f t="shared" si="1"/>
        <v>4.1247318924269921E-5</v>
      </c>
      <c r="S30" s="69">
        <f t="shared" si="1"/>
        <v>0</v>
      </c>
      <c r="T30" s="69">
        <f t="shared" si="1"/>
        <v>0</v>
      </c>
      <c r="U30" s="69">
        <f t="shared" si="1"/>
        <v>0</v>
      </c>
      <c r="V30" s="69">
        <f t="shared" si="1"/>
        <v>0.12799043062200957</v>
      </c>
      <c r="W30" s="70">
        <f t="shared" si="1"/>
        <v>5.8158719683220591E-3</v>
      </c>
      <c r="X30" s="69">
        <f t="shared" si="2"/>
        <v>0</v>
      </c>
      <c r="Y30" s="69">
        <f t="shared" si="3"/>
        <v>0.13380630259033163</v>
      </c>
      <c r="Z30" s="70">
        <f t="shared" si="4"/>
        <v>0.13380630259033163</v>
      </c>
    </row>
    <row r="31" spans="1:26" x14ac:dyDescent="0.15">
      <c r="A31" s="68" t="s">
        <v>1056</v>
      </c>
      <c r="B31" s="67">
        <v>2022</v>
      </c>
      <c r="C31" s="64">
        <v>396</v>
      </c>
      <c r="D31" s="64">
        <v>7270</v>
      </c>
      <c r="E31" s="64">
        <v>155</v>
      </c>
      <c r="F31" s="64">
        <v>0</v>
      </c>
      <c r="G31" s="64">
        <v>0</v>
      </c>
      <c r="H31" s="64">
        <v>0</v>
      </c>
      <c r="I31" s="64">
        <v>0</v>
      </c>
      <c r="J31" s="64">
        <v>2</v>
      </c>
      <c r="K31" s="64">
        <v>3687</v>
      </c>
      <c r="L31" s="64">
        <v>283</v>
      </c>
      <c r="M31" s="68">
        <v>11793</v>
      </c>
      <c r="N31" s="69">
        <f t="shared" si="1"/>
        <v>3.3579241923174762E-2</v>
      </c>
      <c r="O31" s="69">
        <f t="shared" si="1"/>
        <v>0.61646739591282962</v>
      </c>
      <c r="P31" s="69">
        <f t="shared" si="1"/>
        <v>1.3143390146697194E-2</v>
      </c>
      <c r="Q31" s="69">
        <f t="shared" si="1"/>
        <v>0</v>
      </c>
      <c r="R31" s="69">
        <f t="shared" si="1"/>
        <v>0</v>
      </c>
      <c r="S31" s="69">
        <f t="shared" si="1"/>
        <v>0</v>
      </c>
      <c r="T31" s="69">
        <f t="shared" si="1"/>
        <v>0</v>
      </c>
      <c r="U31" s="69">
        <f t="shared" si="1"/>
        <v>1.6959213092512508E-4</v>
      </c>
      <c r="V31" s="69">
        <f t="shared" si="1"/>
        <v>0.31264309336046808</v>
      </c>
      <c r="W31" s="70">
        <f t="shared" si="1"/>
        <v>2.3997286525905197E-2</v>
      </c>
      <c r="X31" s="69">
        <f t="shared" si="2"/>
        <v>1.6959213092512508E-4</v>
      </c>
      <c r="Y31" s="69">
        <f t="shared" si="3"/>
        <v>0.3366403798863733</v>
      </c>
      <c r="Z31" s="70">
        <f t="shared" si="4"/>
        <v>0.3368099720172984</v>
      </c>
    </row>
    <row r="32" spans="1:26" x14ac:dyDescent="0.15">
      <c r="A32" s="78" t="s">
        <v>1056</v>
      </c>
      <c r="B32" s="76">
        <v>2023</v>
      </c>
      <c r="C32" s="77">
        <v>653</v>
      </c>
      <c r="D32" s="77">
        <v>21127</v>
      </c>
      <c r="E32" s="77">
        <v>322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2856</v>
      </c>
      <c r="L32" s="77">
        <v>234</v>
      </c>
      <c r="M32" s="78">
        <v>25192</v>
      </c>
      <c r="N32" s="79">
        <f t="shared" si="1"/>
        <v>2.5920927278501111E-2</v>
      </c>
      <c r="O32" s="79">
        <f t="shared" si="1"/>
        <v>0.83863925055573196</v>
      </c>
      <c r="P32" s="79">
        <f t="shared" si="1"/>
        <v>1.2781835503334392E-2</v>
      </c>
      <c r="Q32" s="79">
        <f t="shared" si="1"/>
        <v>0</v>
      </c>
      <c r="R32" s="79">
        <f t="shared" si="1"/>
        <v>0</v>
      </c>
      <c r="S32" s="79">
        <f t="shared" si="1"/>
        <v>0</v>
      </c>
      <c r="T32" s="79">
        <f t="shared" si="1"/>
        <v>0</v>
      </c>
      <c r="U32" s="79">
        <f t="shared" si="1"/>
        <v>0</v>
      </c>
      <c r="V32" s="79">
        <f t="shared" si="1"/>
        <v>0.113369323594792</v>
      </c>
      <c r="W32" s="80">
        <f t="shared" si="1"/>
        <v>9.2886630676405207E-3</v>
      </c>
      <c r="X32" s="79">
        <f t="shared" si="2"/>
        <v>0</v>
      </c>
      <c r="Y32" s="79">
        <f t="shared" si="3"/>
        <v>0.12265798666243252</v>
      </c>
      <c r="Z32" s="80">
        <f t="shared" si="4"/>
        <v>0.12265798666243252</v>
      </c>
    </row>
    <row r="33" spans="1:26" x14ac:dyDescent="0.15">
      <c r="A33" s="85" t="s">
        <v>1057</v>
      </c>
      <c r="B33" s="83">
        <v>2018</v>
      </c>
      <c r="C33" s="84">
        <v>35</v>
      </c>
      <c r="D33" s="84">
        <v>3208</v>
      </c>
      <c r="E33" s="84">
        <v>2515</v>
      </c>
      <c r="F33" s="84">
        <v>0</v>
      </c>
      <c r="G33" s="84">
        <v>0</v>
      </c>
      <c r="H33" s="84">
        <v>228</v>
      </c>
      <c r="I33" s="84">
        <v>0</v>
      </c>
      <c r="J33" s="84">
        <v>5764</v>
      </c>
      <c r="K33" s="84">
        <v>79789</v>
      </c>
      <c r="L33" s="84">
        <v>305</v>
      </c>
      <c r="M33" s="85">
        <v>91844</v>
      </c>
      <c r="N33" s="72">
        <f t="shared" si="1"/>
        <v>3.8108096337267542E-4</v>
      </c>
      <c r="O33" s="72">
        <f t="shared" si="1"/>
        <v>3.4928792299986931E-2</v>
      </c>
      <c r="P33" s="72">
        <f t="shared" si="1"/>
        <v>2.7383389225207961E-2</v>
      </c>
      <c r="Q33" s="72">
        <f t="shared" si="1"/>
        <v>0</v>
      </c>
      <c r="R33" s="72">
        <f t="shared" si="1"/>
        <v>0</v>
      </c>
      <c r="S33" s="72">
        <f t="shared" si="1"/>
        <v>2.482470275684857E-3</v>
      </c>
      <c r="T33" s="72">
        <f t="shared" si="1"/>
        <v>0</v>
      </c>
      <c r="U33" s="72">
        <f t="shared" si="1"/>
        <v>6.2758590653717167E-2</v>
      </c>
      <c r="V33" s="72">
        <f t="shared" si="1"/>
        <v>0.86874482818692567</v>
      </c>
      <c r="W33" s="73">
        <f t="shared" si="1"/>
        <v>3.3208483951047427E-3</v>
      </c>
      <c r="X33" s="72">
        <f t="shared" si="2"/>
        <v>6.5241060929402017E-2</v>
      </c>
      <c r="Y33" s="72">
        <f t="shared" si="3"/>
        <v>0.87206567658203038</v>
      </c>
      <c r="Z33" s="73">
        <f t="shared" si="4"/>
        <v>0.93482426723574752</v>
      </c>
    </row>
    <row r="34" spans="1:26" x14ac:dyDescent="0.15">
      <c r="A34" s="68" t="s">
        <v>1057</v>
      </c>
      <c r="B34" s="67">
        <v>2019</v>
      </c>
      <c r="C34" s="64">
        <v>147</v>
      </c>
      <c r="D34" s="64">
        <v>1879</v>
      </c>
      <c r="E34" s="64">
        <v>1143</v>
      </c>
      <c r="F34" s="64">
        <v>0</v>
      </c>
      <c r="G34" s="64">
        <v>0</v>
      </c>
      <c r="H34" s="64">
        <v>3</v>
      </c>
      <c r="I34" s="64">
        <v>0</v>
      </c>
      <c r="J34" s="64">
        <v>4294</v>
      </c>
      <c r="K34" s="64">
        <v>68135</v>
      </c>
      <c r="L34" s="64">
        <v>740</v>
      </c>
      <c r="M34" s="68">
        <v>76341</v>
      </c>
      <c r="N34" s="69">
        <f t="shared" si="1"/>
        <v>1.9255707941997092E-3</v>
      </c>
      <c r="O34" s="69">
        <f t="shared" si="1"/>
        <v>2.4613248451028937E-2</v>
      </c>
      <c r="P34" s="69">
        <f t="shared" si="1"/>
        <v>1.4972295358981412E-2</v>
      </c>
      <c r="Q34" s="69">
        <f t="shared" si="1"/>
        <v>0</v>
      </c>
      <c r="R34" s="69">
        <f t="shared" si="1"/>
        <v>0</v>
      </c>
      <c r="S34" s="69">
        <f t="shared" si="1"/>
        <v>3.929736314693284E-5</v>
      </c>
      <c r="T34" s="69">
        <f t="shared" si="1"/>
        <v>0</v>
      </c>
      <c r="U34" s="69">
        <f t="shared" si="1"/>
        <v>5.624762578430987E-2</v>
      </c>
      <c r="V34" s="69">
        <f t="shared" si="1"/>
        <v>0.8925086126720897</v>
      </c>
      <c r="W34" s="70">
        <f t="shared" si="1"/>
        <v>9.6933495762434336E-3</v>
      </c>
      <c r="X34" s="69">
        <f t="shared" si="2"/>
        <v>5.6286923147456799E-2</v>
      </c>
      <c r="Y34" s="69">
        <f t="shared" si="3"/>
        <v>0.90220196224833316</v>
      </c>
      <c r="Z34" s="70">
        <f t="shared" si="4"/>
        <v>0.95844958803264302</v>
      </c>
    </row>
    <row r="35" spans="1:26" x14ac:dyDescent="0.15">
      <c r="A35" s="68" t="s">
        <v>1057</v>
      </c>
      <c r="B35" s="67">
        <v>2020</v>
      </c>
      <c r="C35" s="64">
        <v>108</v>
      </c>
      <c r="D35" s="64">
        <v>1053</v>
      </c>
      <c r="E35" s="64">
        <v>417</v>
      </c>
      <c r="F35" s="64">
        <v>0</v>
      </c>
      <c r="G35" s="64">
        <v>16</v>
      </c>
      <c r="H35" s="64">
        <v>0</v>
      </c>
      <c r="I35" s="64">
        <v>0</v>
      </c>
      <c r="J35" s="64">
        <v>5040</v>
      </c>
      <c r="K35" s="64">
        <v>53251</v>
      </c>
      <c r="L35" s="64">
        <v>1339</v>
      </c>
      <c r="M35" s="68">
        <v>61224</v>
      </c>
      <c r="N35" s="69">
        <f t="shared" si="1"/>
        <v>1.7640141121128968E-3</v>
      </c>
      <c r="O35" s="69">
        <f t="shared" si="1"/>
        <v>1.7199137593100745E-2</v>
      </c>
      <c r="P35" s="69">
        <f t="shared" si="1"/>
        <v>6.8110544884359076E-3</v>
      </c>
      <c r="Q35" s="69">
        <f t="shared" si="1"/>
        <v>0</v>
      </c>
      <c r="R35" s="69">
        <f t="shared" si="1"/>
        <v>2.6133542401672545E-4</v>
      </c>
      <c r="S35" s="69">
        <f t="shared" si="1"/>
        <v>0</v>
      </c>
      <c r="T35" s="69">
        <f t="shared" si="1"/>
        <v>0</v>
      </c>
      <c r="U35" s="69">
        <f t="shared" si="1"/>
        <v>8.2320658565268517E-2</v>
      </c>
      <c r="V35" s="69">
        <f t="shared" si="1"/>
        <v>0.86977329151966554</v>
      </c>
      <c r="W35" s="70">
        <f t="shared" si="1"/>
        <v>2.1870508297399713E-2</v>
      </c>
      <c r="X35" s="69">
        <f t="shared" si="2"/>
        <v>8.2320658565268517E-2</v>
      </c>
      <c r="Y35" s="69">
        <f t="shared" si="3"/>
        <v>0.89164379981706521</v>
      </c>
      <c r="Z35" s="70">
        <f t="shared" si="4"/>
        <v>0.9739644583823337</v>
      </c>
    </row>
    <row r="36" spans="1:26" x14ac:dyDescent="0.15">
      <c r="A36" s="68" t="s">
        <v>1057</v>
      </c>
      <c r="B36" s="67">
        <v>2021</v>
      </c>
      <c r="C36" s="64">
        <v>62</v>
      </c>
      <c r="D36" s="64">
        <v>523</v>
      </c>
      <c r="E36" s="64">
        <v>110</v>
      </c>
      <c r="F36" s="64">
        <v>0</v>
      </c>
      <c r="G36" s="64">
        <v>0</v>
      </c>
      <c r="H36" s="64">
        <v>2</v>
      </c>
      <c r="I36" s="64">
        <v>0</v>
      </c>
      <c r="J36" s="64">
        <v>1224</v>
      </c>
      <c r="K36" s="64">
        <v>41108</v>
      </c>
      <c r="L36" s="64">
        <v>808</v>
      </c>
      <c r="M36" s="68">
        <v>43837</v>
      </c>
      <c r="N36" s="69">
        <f t="shared" si="1"/>
        <v>1.4143303601980063E-3</v>
      </c>
      <c r="O36" s="69">
        <f t="shared" si="1"/>
        <v>1.1930560941670278E-2</v>
      </c>
      <c r="P36" s="69">
        <f t="shared" si="1"/>
        <v>2.5092958003513012E-3</v>
      </c>
      <c r="Q36" s="69">
        <f t="shared" si="1"/>
        <v>0</v>
      </c>
      <c r="R36" s="69">
        <f t="shared" si="1"/>
        <v>0</v>
      </c>
      <c r="S36" s="69">
        <f t="shared" si="1"/>
        <v>4.5623560006387298E-5</v>
      </c>
      <c r="T36" s="69">
        <f t="shared" si="1"/>
        <v>0</v>
      </c>
      <c r="U36" s="69">
        <f t="shared" si="1"/>
        <v>2.7921618723909025E-2</v>
      </c>
      <c r="V36" s="69">
        <f t="shared" si="1"/>
        <v>0.93774665237128452</v>
      </c>
      <c r="W36" s="70">
        <f t="shared" si="1"/>
        <v>1.8431918242580468E-2</v>
      </c>
      <c r="X36" s="69">
        <f t="shared" si="2"/>
        <v>2.7967242283915412E-2</v>
      </c>
      <c r="Y36" s="69">
        <f t="shared" si="3"/>
        <v>0.95617857061386502</v>
      </c>
      <c r="Z36" s="70">
        <f t="shared" si="4"/>
        <v>0.9841001893377741</v>
      </c>
    </row>
    <row r="37" spans="1:26" x14ac:dyDescent="0.15">
      <c r="A37" s="68" t="s">
        <v>1057</v>
      </c>
      <c r="B37" s="67">
        <v>2022</v>
      </c>
      <c r="C37" s="64">
        <v>34</v>
      </c>
      <c r="D37" s="64">
        <v>390</v>
      </c>
      <c r="E37" s="64">
        <v>146</v>
      </c>
      <c r="F37" s="64">
        <v>0</v>
      </c>
      <c r="G37" s="64">
        <v>0</v>
      </c>
      <c r="H37" s="64">
        <v>0</v>
      </c>
      <c r="I37" s="64">
        <v>0</v>
      </c>
      <c r="J37" s="64">
        <v>1634</v>
      </c>
      <c r="K37" s="64">
        <v>43510</v>
      </c>
      <c r="L37" s="64">
        <v>875</v>
      </c>
      <c r="M37" s="68">
        <v>46589</v>
      </c>
      <c r="N37" s="69">
        <f t="shared" si="1"/>
        <v>7.297860009873575E-4</v>
      </c>
      <c r="O37" s="69">
        <f t="shared" si="1"/>
        <v>8.3710747172079242E-3</v>
      </c>
      <c r="P37" s="69">
        <f t="shared" si="1"/>
        <v>3.1337869454162999E-3</v>
      </c>
      <c r="Q37" s="69">
        <f t="shared" si="1"/>
        <v>0</v>
      </c>
      <c r="R37" s="69">
        <f t="shared" si="1"/>
        <v>0</v>
      </c>
      <c r="S37" s="69">
        <f t="shared" si="1"/>
        <v>0</v>
      </c>
      <c r="T37" s="69">
        <f t="shared" si="1"/>
        <v>0</v>
      </c>
      <c r="U37" s="69">
        <f t="shared" si="1"/>
        <v>3.5072656635686539E-2</v>
      </c>
      <c r="V37" s="69">
        <f t="shared" si="1"/>
        <v>0.9339114383223508</v>
      </c>
      <c r="W37" s="70">
        <f t="shared" si="1"/>
        <v>1.8781257378351113E-2</v>
      </c>
      <c r="X37" s="69">
        <f t="shared" si="2"/>
        <v>3.5072656635686539E-2</v>
      </c>
      <c r="Y37" s="69">
        <f t="shared" si="3"/>
        <v>0.95269269570070192</v>
      </c>
      <c r="Z37" s="70">
        <f t="shared" si="4"/>
        <v>0.9877653523363884</v>
      </c>
    </row>
    <row r="38" spans="1:26" x14ac:dyDescent="0.15">
      <c r="A38" s="68" t="s">
        <v>1057</v>
      </c>
      <c r="B38" s="67">
        <v>2023</v>
      </c>
      <c r="C38" s="77">
        <v>3</v>
      </c>
      <c r="D38" s="77">
        <v>472</v>
      </c>
      <c r="E38" s="77">
        <v>20</v>
      </c>
      <c r="F38" s="77">
        <v>0</v>
      </c>
      <c r="G38" s="77">
        <v>0</v>
      </c>
      <c r="H38" s="77">
        <v>471</v>
      </c>
      <c r="I38" s="77">
        <v>0</v>
      </c>
      <c r="J38" s="77">
        <v>837</v>
      </c>
      <c r="K38" s="77">
        <v>23343</v>
      </c>
      <c r="L38" s="77">
        <v>655</v>
      </c>
      <c r="M38" s="78">
        <v>25801</v>
      </c>
      <c r="N38" s="79">
        <f t="shared" si="1"/>
        <v>1.1627456300143405E-4</v>
      </c>
      <c r="O38" s="79">
        <f t="shared" si="1"/>
        <v>1.8293864578892292E-2</v>
      </c>
      <c r="P38" s="79">
        <f t="shared" si="1"/>
        <v>7.7516375334289365E-4</v>
      </c>
      <c r="Q38" s="79">
        <f t="shared" si="1"/>
        <v>0</v>
      </c>
      <c r="R38" s="79">
        <f t="shared" si="1"/>
        <v>0</v>
      </c>
      <c r="S38" s="79">
        <f t="shared" si="1"/>
        <v>1.8255106391225146E-2</v>
      </c>
      <c r="T38" s="79">
        <f t="shared" si="1"/>
        <v>0</v>
      </c>
      <c r="U38" s="79">
        <f t="shared" si="1"/>
        <v>3.2440603077400099E-2</v>
      </c>
      <c r="V38" s="79">
        <f t="shared" si="1"/>
        <v>0.90473237471415835</v>
      </c>
      <c r="W38" s="80">
        <f t="shared" si="1"/>
        <v>2.538661292197977E-2</v>
      </c>
      <c r="X38" s="79">
        <f t="shared" si="2"/>
        <v>5.0695709468625241E-2</v>
      </c>
      <c r="Y38" s="79">
        <f t="shared" si="3"/>
        <v>0.93011898763613809</v>
      </c>
      <c r="Z38" s="80">
        <f t="shared" si="4"/>
        <v>0.96255959071353825</v>
      </c>
    </row>
    <row r="39" spans="1:26" x14ac:dyDescent="0.15">
      <c r="A39" s="85" t="s">
        <v>1058</v>
      </c>
      <c r="B39" s="83">
        <v>2018</v>
      </c>
      <c r="C39" s="84">
        <v>12139</v>
      </c>
      <c r="D39" s="84">
        <v>41612</v>
      </c>
      <c r="E39" s="84">
        <v>287</v>
      </c>
      <c r="F39" s="84">
        <v>5</v>
      </c>
      <c r="G39" s="84">
        <v>0</v>
      </c>
      <c r="H39" s="84">
        <v>11</v>
      </c>
      <c r="I39" s="84">
        <v>0</v>
      </c>
      <c r="J39" s="84">
        <v>64</v>
      </c>
      <c r="K39" s="84">
        <v>3129</v>
      </c>
      <c r="L39" s="84">
        <v>132</v>
      </c>
      <c r="M39" s="85">
        <v>57379</v>
      </c>
      <c r="N39" s="72">
        <f t="shared" si="1"/>
        <v>0.21155823559141845</v>
      </c>
      <c r="O39" s="72">
        <f t="shared" si="1"/>
        <v>0.72521305704177486</v>
      </c>
      <c r="P39" s="72">
        <f t="shared" si="1"/>
        <v>5.0018299377821152E-3</v>
      </c>
      <c r="Q39" s="72">
        <f t="shared" si="1"/>
        <v>8.7139894386448007E-5</v>
      </c>
      <c r="R39" s="72">
        <f t="shared" si="1"/>
        <v>0</v>
      </c>
      <c r="S39" s="72">
        <f t="shared" si="1"/>
        <v>1.917077676501856E-4</v>
      </c>
      <c r="T39" s="72">
        <f t="shared" si="1"/>
        <v>0</v>
      </c>
      <c r="U39" s="72">
        <f t="shared" si="1"/>
        <v>1.1153906481465344E-3</v>
      </c>
      <c r="V39" s="72">
        <f t="shared" si="1"/>
        <v>5.4532145907039163E-2</v>
      </c>
      <c r="W39" s="73">
        <f t="shared" si="1"/>
        <v>2.3004932118022275E-3</v>
      </c>
      <c r="X39" s="72">
        <f t="shared" si="2"/>
        <v>1.30709841579672E-3</v>
      </c>
      <c r="Y39" s="72">
        <f t="shared" si="3"/>
        <v>5.6832639118841392E-2</v>
      </c>
      <c r="Z39" s="73">
        <f t="shared" si="4"/>
        <v>5.794802976698793E-2</v>
      </c>
    </row>
    <row r="40" spans="1:26" x14ac:dyDescent="0.15">
      <c r="A40" s="68" t="s">
        <v>1058</v>
      </c>
      <c r="B40" s="67">
        <v>2019</v>
      </c>
      <c r="C40" s="64">
        <v>14459</v>
      </c>
      <c r="D40" s="64">
        <v>36832</v>
      </c>
      <c r="E40" s="64">
        <v>111</v>
      </c>
      <c r="F40" s="64">
        <v>0</v>
      </c>
      <c r="G40" s="64">
        <v>0</v>
      </c>
      <c r="H40" s="64">
        <v>0</v>
      </c>
      <c r="I40" s="64">
        <v>0</v>
      </c>
      <c r="J40" s="64">
        <v>4</v>
      </c>
      <c r="K40" s="64">
        <v>1659</v>
      </c>
      <c r="L40" s="64">
        <v>121</v>
      </c>
      <c r="M40" s="68">
        <v>53186</v>
      </c>
      <c r="N40" s="69">
        <f t="shared" si="1"/>
        <v>0.27185725566878499</v>
      </c>
      <c r="O40" s="69">
        <f t="shared" si="1"/>
        <v>0.69251306734855034</v>
      </c>
      <c r="P40" s="69">
        <f t="shared" si="1"/>
        <v>2.0870153799872147E-3</v>
      </c>
      <c r="Q40" s="69">
        <f t="shared" si="1"/>
        <v>0</v>
      </c>
      <c r="R40" s="69">
        <f t="shared" si="1"/>
        <v>0</v>
      </c>
      <c r="S40" s="69">
        <f t="shared" si="1"/>
        <v>0</v>
      </c>
      <c r="T40" s="69">
        <f t="shared" si="1"/>
        <v>0</v>
      </c>
      <c r="U40" s="69">
        <f t="shared" si="1"/>
        <v>7.5207761440980716E-5</v>
      </c>
      <c r="V40" s="69">
        <f t="shared" si="1"/>
        <v>3.1192419057646747E-2</v>
      </c>
      <c r="W40" s="70">
        <f t="shared" si="1"/>
        <v>2.2750347835896662E-3</v>
      </c>
      <c r="X40" s="69">
        <f t="shared" si="2"/>
        <v>7.5207761440980716E-5</v>
      </c>
      <c r="Y40" s="69">
        <f t="shared" si="3"/>
        <v>3.3467453841236415E-2</v>
      </c>
      <c r="Z40" s="70">
        <f t="shared" si="4"/>
        <v>3.3542661602677395E-2</v>
      </c>
    </row>
    <row r="41" spans="1:26" x14ac:dyDescent="0.15">
      <c r="A41" s="68" t="s">
        <v>1058</v>
      </c>
      <c r="B41" s="67">
        <v>2020</v>
      </c>
      <c r="C41" s="64">
        <v>8633</v>
      </c>
      <c r="D41" s="64">
        <v>25890</v>
      </c>
      <c r="E41" s="64">
        <v>95</v>
      </c>
      <c r="F41" s="64">
        <v>0</v>
      </c>
      <c r="G41" s="64">
        <v>0</v>
      </c>
      <c r="H41" s="64">
        <v>0</v>
      </c>
      <c r="I41" s="64">
        <v>0</v>
      </c>
      <c r="J41" s="64">
        <v>5</v>
      </c>
      <c r="K41" s="64">
        <v>959</v>
      </c>
      <c r="L41" s="64">
        <v>12</v>
      </c>
      <c r="M41" s="68">
        <v>35594</v>
      </c>
      <c r="N41" s="69">
        <f t="shared" si="1"/>
        <v>0.24254087767601282</v>
      </c>
      <c r="O41" s="69">
        <f t="shared" si="1"/>
        <v>0.72736978142383546</v>
      </c>
      <c r="P41" s="69">
        <f t="shared" si="1"/>
        <v>2.668989155475642E-3</v>
      </c>
      <c r="Q41" s="69">
        <f t="shared" si="1"/>
        <v>0</v>
      </c>
      <c r="R41" s="69">
        <f t="shared" si="1"/>
        <v>0</v>
      </c>
      <c r="S41" s="69">
        <f t="shared" si="1"/>
        <v>0</v>
      </c>
      <c r="T41" s="69">
        <f t="shared" si="1"/>
        <v>0</v>
      </c>
      <c r="U41" s="69">
        <f t="shared" si="1"/>
        <v>1.4047311344608641E-4</v>
      </c>
      <c r="V41" s="69">
        <f t="shared" si="1"/>
        <v>2.6942743158959375E-2</v>
      </c>
      <c r="W41" s="70">
        <f t="shared" si="1"/>
        <v>3.371354722706074E-4</v>
      </c>
      <c r="X41" s="69">
        <f t="shared" si="2"/>
        <v>1.4047311344608641E-4</v>
      </c>
      <c r="Y41" s="69">
        <f t="shared" si="3"/>
        <v>2.7279878631229982E-2</v>
      </c>
      <c r="Z41" s="70">
        <f t="shared" si="4"/>
        <v>2.742035174467607E-2</v>
      </c>
    </row>
    <row r="42" spans="1:26" x14ac:dyDescent="0.15">
      <c r="A42" s="68" t="s">
        <v>1058</v>
      </c>
      <c r="B42" s="67">
        <v>2021</v>
      </c>
      <c r="C42" s="64">
        <v>11489</v>
      </c>
      <c r="D42" s="64">
        <v>26334</v>
      </c>
      <c r="E42" s="64">
        <v>141</v>
      </c>
      <c r="F42" s="64">
        <v>0</v>
      </c>
      <c r="G42" s="64">
        <v>0</v>
      </c>
      <c r="H42" s="64">
        <v>0</v>
      </c>
      <c r="I42" s="64">
        <v>0</v>
      </c>
      <c r="J42" s="64">
        <v>2</v>
      </c>
      <c r="K42" s="64">
        <v>1827</v>
      </c>
      <c r="L42" s="64">
        <v>98</v>
      </c>
      <c r="M42" s="68">
        <v>39891</v>
      </c>
      <c r="N42" s="69">
        <f t="shared" si="1"/>
        <v>0.28800982677796999</v>
      </c>
      <c r="O42" s="69">
        <f t="shared" si="1"/>
        <v>0.66014890576821839</v>
      </c>
      <c r="P42" s="69">
        <f t="shared" si="1"/>
        <v>3.5346318718507933E-3</v>
      </c>
      <c r="Q42" s="69">
        <f t="shared" si="1"/>
        <v>0</v>
      </c>
      <c r="R42" s="69">
        <f t="shared" si="1"/>
        <v>0</v>
      </c>
      <c r="S42" s="69">
        <f t="shared" si="1"/>
        <v>0</v>
      </c>
      <c r="T42" s="69">
        <f t="shared" si="1"/>
        <v>0</v>
      </c>
      <c r="U42" s="69">
        <f t="shared" si="1"/>
        <v>5.0136622295755937E-5</v>
      </c>
      <c r="V42" s="69">
        <f t="shared" si="1"/>
        <v>4.579980446717305E-2</v>
      </c>
      <c r="W42" s="70">
        <f t="shared" si="1"/>
        <v>2.4566944924920408E-3</v>
      </c>
      <c r="X42" s="69">
        <f t="shared" si="2"/>
        <v>5.0136622295755937E-5</v>
      </c>
      <c r="Y42" s="69">
        <f t="shared" si="3"/>
        <v>4.8256498959665092E-2</v>
      </c>
      <c r="Z42" s="70">
        <f t="shared" si="4"/>
        <v>4.8306635581960848E-2</v>
      </c>
    </row>
    <row r="43" spans="1:26" x14ac:dyDescent="0.15">
      <c r="A43" s="68" t="s">
        <v>1058</v>
      </c>
      <c r="B43" s="67">
        <v>2022</v>
      </c>
      <c r="C43" s="64">
        <v>6032</v>
      </c>
      <c r="D43" s="64">
        <v>18224</v>
      </c>
      <c r="E43" s="64">
        <v>47</v>
      </c>
      <c r="F43" s="64">
        <v>0</v>
      </c>
      <c r="G43" s="64">
        <v>0</v>
      </c>
      <c r="H43" s="64">
        <v>0</v>
      </c>
      <c r="I43" s="64">
        <v>0</v>
      </c>
      <c r="J43" s="64">
        <v>3</v>
      </c>
      <c r="K43" s="64">
        <v>2009</v>
      </c>
      <c r="L43" s="64">
        <v>102</v>
      </c>
      <c r="M43" s="68">
        <v>26417</v>
      </c>
      <c r="N43" s="69">
        <f t="shared" ref="N43:W62" si="5">C43/$M43</f>
        <v>0.2283378127720786</v>
      </c>
      <c r="O43" s="69">
        <f t="shared" si="5"/>
        <v>0.68985880304349467</v>
      </c>
      <c r="P43" s="69">
        <f t="shared" si="5"/>
        <v>1.7791573607904001E-3</v>
      </c>
      <c r="Q43" s="69">
        <f t="shared" si="5"/>
        <v>0</v>
      </c>
      <c r="R43" s="69">
        <f t="shared" si="5"/>
        <v>0</v>
      </c>
      <c r="S43" s="69">
        <f t="shared" si="5"/>
        <v>0</v>
      </c>
      <c r="T43" s="69">
        <f t="shared" si="5"/>
        <v>0</v>
      </c>
      <c r="U43" s="69">
        <f t="shared" si="5"/>
        <v>1.1356323579513192E-4</v>
      </c>
      <c r="V43" s="69">
        <f t="shared" si="5"/>
        <v>7.6049513570806679E-2</v>
      </c>
      <c r="W43" s="70">
        <f t="shared" si="5"/>
        <v>3.8611500170344852E-3</v>
      </c>
      <c r="X43" s="69">
        <f t="shared" si="2"/>
        <v>1.1356323579513192E-4</v>
      </c>
      <c r="Y43" s="69">
        <f t="shared" si="3"/>
        <v>7.9910663587841158E-2</v>
      </c>
      <c r="Z43" s="70">
        <f t="shared" si="4"/>
        <v>8.0024226823636288E-2</v>
      </c>
    </row>
    <row r="44" spans="1:26" x14ac:dyDescent="0.15">
      <c r="A44" s="78" t="s">
        <v>1058</v>
      </c>
      <c r="B44" s="76">
        <v>2023</v>
      </c>
      <c r="C44" s="64">
        <v>5889</v>
      </c>
      <c r="D44" s="64">
        <v>21829</v>
      </c>
      <c r="E44" s="64">
        <v>31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  <c r="K44" s="64">
        <v>2062</v>
      </c>
      <c r="L44" s="64">
        <v>437</v>
      </c>
      <c r="M44" s="68">
        <v>30248</v>
      </c>
      <c r="N44" s="69">
        <f t="shared" si="5"/>
        <v>0.19469055805342503</v>
      </c>
      <c r="O44" s="69">
        <f t="shared" si="5"/>
        <v>0.72166754826765411</v>
      </c>
      <c r="P44" s="69">
        <f t="shared" si="5"/>
        <v>1.0248611478444855E-3</v>
      </c>
      <c r="Q44" s="69">
        <f t="shared" si="5"/>
        <v>0</v>
      </c>
      <c r="R44" s="69">
        <f t="shared" si="5"/>
        <v>0</v>
      </c>
      <c r="S44" s="69">
        <f t="shared" si="5"/>
        <v>0</v>
      </c>
      <c r="T44" s="69">
        <f t="shared" si="5"/>
        <v>0</v>
      </c>
      <c r="U44" s="69">
        <f t="shared" si="5"/>
        <v>0</v>
      </c>
      <c r="V44" s="69">
        <f t="shared" si="5"/>
        <v>6.816979635017191E-2</v>
      </c>
      <c r="W44" s="70">
        <f t="shared" si="5"/>
        <v>1.4447236180904523E-2</v>
      </c>
      <c r="X44" s="69">
        <f t="shared" si="2"/>
        <v>0</v>
      </c>
      <c r="Y44" s="69">
        <f t="shared" si="3"/>
        <v>8.261703253107644E-2</v>
      </c>
      <c r="Z44" s="70">
        <f t="shared" si="4"/>
        <v>8.261703253107644E-2</v>
      </c>
    </row>
    <row r="45" spans="1:26" x14ac:dyDescent="0.15">
      <c r="A45" s="85" t="s">
        <v>1059</v>
      </c>
      <c r="B45" s="84">
        <v>2018</v>
      </c>
      <c r="C45" s="82">
        <v>25440</v>
      </c>
      <c r="D45" s="84">
        <v>15218</v>
      </c>
      <c r="E45" s="84">
        <v>167</v>
      </c>
      <c r="F45" s="84">
        <v>0</v>
      </c>
      <c r="G45" s="84">
        <v>152</v>
      </c>
      <c r="H45" s="84">
        <v>0</v>
      </c>
      <c r="I45" s="84">
        <v>0</v>
      </c>
      <c r="J45" s="84">
        <v>1</v>
      </c>
      <c r="K45" s="84">
        <v>124</v>
      </c>
      <c r="L45" s="83">
        <v>0</v>
      </c>
      <c r="M45" s="85">
        <v>41102</v>
      </c>
      <c r="N45" s="71">
        <f t="shared" si="5"/>
        <v>0.61894798306651744</v>
      </c>
      <c r="O45" s="72">
        <f t="shared" si="5"/>
        <v>0.37024962288939711</v>
      </c>
      <c r="P45" s="72">
        <f t="shared" si="5"/>
        <v>4.0630626246897965E-3</v>
      </c>
      <c r="Q45" s="72">
        <f t="shared" si="5"/>
        <v>0</v>
      </c>
      <c r="R45" s="72">
        <f t="shared" si="5"/>
        <v>3.6981168799571796E-3</v>
      </c>
      <c r="S45" s="72">
        <f t="shared" si="5"/>
        <v>0</v>
      </c>
      <c r="T45" s="72">
        <f t="shared" si="5"/>
        <v>0</v>
      </c>
      <c r="U45" s="72">
        <f t="shared" si="5"/>
        <v>2.4329716315507761E-5</v>
      </c>
      <c r="V45" s="72">
        <f t="shared" si="5"/>
        <v>3.0168848231229622E-3</v>
      </c>
      <c r="W45" s="73">
        <f t="shared" si="5"/>
        <v>0</v>
      </c>
      <c r="X45" s="71">
        <f t="shared" si="2"/>
        <v>2.4329716315507761E-5</v>
      </c>
      <c r="Y45" s="72">
        <f t="shared" si="3"/>
        <v>3.0168848231229622E-3</v>
      </c>
      <c r="Z45" s="73">
        <f t="shared" si="4"/>
        <v>3.04121453943847E-3</v>
      </c>
    </row>
    <row r="46" spans="1:26" x14ac:dyDescent="0.15">
      <c r="A46" s="68" t="s">
        <v>1059</v>
      </c>
      <c r="B46" s="64">
        <v>2019</v>
      </c>
      <c r="C46" s="66">
        <v>14593</v>
      </c>
      <c r="D46" s="64">
        <v>10522</v>
      </c>
      <c r="E46" s="64">
        <v>51</v>
      </c>
      <c r="F46" s="64">
        <v>0</v>
      </c>
      <c r="G46" s="64">
        <v>167</v>
      </c>
      <c r="H46" s="64">
        <v>0</v>
      </c>
      <c r="I46" s="64">
        <v>0</v>
      </c>
      <c r="J46" s="64">
        <v>12</v>
      </c>
      <c r="K46" s="64">
        <v>183</v>
      </c>
      <c r="L46" s="67">
        <v>0</v>
      </c>
      <c r="M46" s="68">
        <v>25528</v>
      </c>
      <c r="N46" s="74">
        <f t="shared" si="5"/>
        <v>0.57164681917894078</v>
      </c>
      <c r="O46" s="69">
        <f t="shared" si="5"/>
        <v>0.41217486681291132</v>
      </c>
      <c r="P46" s="69">
        <f t="shared" si="5"/>
        <v>1.9978063303039799E-3</v>
      </c>
      <c r="Q46" s="69">
        <f t="shared" si="5"/>
        <v>0</v>
      </c>
      <c r="R46" s="69">
        <f t="shared" si="5"/>
        <v>6.5418364149169538E-3</v>
      </c>
      <c r="S46" s="69">
        <f t="shared" si="5"/>
        <v>0</v>
      </c>
      <c r="T46" s="69">
        <f t="shared" si="5"/>
        <v>0</v>
      </c>
      <c r="U46" s="69">
        <f t="shared" si="5"/>
        <v>4.700720777185835E-4</v>
      </c>
      <c r="V46" s="69">
        <f t="shared" si="5"/>
        <v>7.1685991852083984E-3</v>
      </c>
      <c r="W46" s="70">
        <f t="shared" si="5"/>
        <v>0</v>
      </c>
      <c r="X46" s="74">
        <f t="shared" si="2"/>
        <v>4.700720777185835E-4</v>
      </c>
      <c r="Y46" s="69">
        <f t="shared" si="3"/>
        <v>7.1685991852083984E-3</v>
      </c>
      <c r="Z46" s="70">
        <f t="shared" si="4"/>
        <v>7.6386712629269819E-3</v>
      </c>
    </row>
    <row r="47" spans="1:26" x14ac:dyDescent="0.15">
      <c r="A47" s="68" t="s">
        <v>1059</v>
      </c>
      <c r="B47" s="64">
        <v>2020</v>
      </c>
      <c r="C47" s="66">
        <v>14445</v>
      </c>
      <c r="D47" s="64">
        <v>10909</v>
      </c>
      <c r="E47" s="64">
        <v>4</v>
      </c>
      <c r="F47" s="64">
        <v>0</v>
      </c>
      <c r="G47" s="64">
        <v>107</v>
      </c>
      <c r="H47" s="64">
        <v>1</v>
      </c>
      <c r="I47" s="64">
        <v>0</v>
      </c>
      <c r="J47" s="64">
        <v>0</v>
      </c>
      <c r="K47" s="64">
        <v>696</v>
      </c>
      <c r="L47" s="67">
        <v>0</v>
      </c>
      <c r="M47" s="68">
        <v>26162</v>
      </c>
      <c r="N47" s="74">
        <f t="shared" si="5"/>
        <v>0.55213668679764549</v>
      </c>
      <c r="O47" s="69">
        <f t="shared" si="5"/>
        <v>0.41697882424891064</v>
      </c>
      <c r="P47" s="69">
        <f t="shared" si="5"/>
        <v>1.5289350967051448E-4</v>
      </c>
      <c r="Q47" s="69">
        <f t="shared" si="5"/>
        <v>0</v>
      </c>
      <c r="R47" s="69">
        <f t="shared" si="5"/>
        <v>4.0899013836862624E-3</v>
      </c>
      <c r="S47" s="69">
        <f t="shared" si="5"/>
        <v>3.822337741762862E-5</v>
      </c>
      <c r="T47" s="69">
        <f t="shared" si="5"/>
        <v>0</v>
      </c>
      <c r="U47" s="69">
        <f t="shared" si="5"/>
        <v>0</v>
      </c>
      <c r="V47" s="69">
        <f t="shared" si="5"/>
        <v>2.6603470682669522E-2</v>
      </c>
      <c r="W47" s="70">
        <f t="shared" si="5"/>
        <v>0</v>
      </c>
      <c r="X47" s="74">
        <f t="shared" si="2"/>
        <v>3.822337741762862E-5</v>
      </c>
      <c r="Y47" s="69">
        <f t="shared" si="3"/>
        <v>2.6603470682669522E-2</v>
      </c>
      <c r="Z47" s="70">
        <f t="shared" si="4"/>
        <v>2.6603470682669522E-2</v>
      </c>
    </row>
    <row r="48" spans="1:26" x14ac:dyDescent="0.15">
      <c r="A48" s="68" t="s">
        <v>1059</v>
      </c>
      <c r="B48" s="64">
        <v>2021</v>
      </c>
      <c r="C48" s="66">
        <v>11169</v>
      </c>
      <c r="D48" s="64">
        <v>11275</v>
      </c>
      <c r="E48" s="64">
        <v>409</v>
      </c>
      <c r="F48" s="64">
        <v>0</v>
      </c>
      <c r="G48" s="64">
        <v>0</v>
      </c>
      <c r="H48" s="64">
        <v>2</v>
      </c>
      <c r="I48" s="64">
        <v>0</v>
      </c>
      <c r="J48" s="64">
        <v>5</v>
      </c>
      <c r="K48" s="64">
        <v>1628</v>
      </c>
      <c r="L48" s="67">
        <v>0</v>
      </c>
      <c r="M48" s="68">
        <v>24488</v>
      </c>
      <c r="N48" s="74">
        <f t="shared" si="5"/>
        <v>0.45610094740280954</v>
      </c>
      <c r="O48" s="69">
        <f t="shared" si="5"/>
        <v>0.46042959817053253</v>
      </c>
      <c r="P48" s="69">
        <f t="shared" si="5"/>
        <v>1.6702058150931069E-2</v>
      </c>
      <c r="Q48" s="69">
        <f t="shared" si="5"/>
        <v>0</v>
      </c>
      <c r="R48" s="69">
        <f t="shared" si="5"/>
        <v>0</v>
      </c>
      <c r="S48" s="69">
        <f t="shared" si="5"/>
        <v>8.1672655994772947E-5</v>
      </c>
      <c r="T48" s="69">
        <f t="shared" si="5"/>
        <v>0</v>
      </c>
      <c r="U48" s="69">
        <f t="shared" si="5"/>
        <v>2.0418163998693238E-4</v>
      </c>
      <c r="V48" s="69">
        <f t="shared" si="5"/>
        <v>6.6481541979745179E-2</v>
      </c>
      <c r="W48" s="70">
        <f t="shared" si="5"/>
        <v>0</v>
      </c>
      <c r="X48" s="74">
        <f t="shared" si="2"/>
        <v>2.8585429598170534E-4</v>
      </c>
      <c r="Y48" s="69">
        <f t="shared" si="3"/>
        <v>6.6481541979745179E-2</v>
      </c>
      <c r="Z48" s="70">
        <f t="shared" si="4"/>
        <v>6.6685723619732115E-2</v>
      </c>
    </row>
    <row r="49" spans="1:26" x14ac:dyDescent="0.15">
      <c r="A49" s="68" t="s">
        <v>1059</v>
      </c>
      <c r="B49" s="64">
        <v>2022</v>
      </c>
      <c r="C49" s="66">
        <v>7333</v>
      </c>
      <c r="D49" s="64">
        <v>8044</v>
      </c>
      <c r="E49" s="64">
        <v>2345</v>
      </c>
      <c r="F49" s="64">
        <v>0</v>
      </c>
      <c r="G49" s="64">
        <v>0</v>
      </c>
      <c r="H49" s="64">
        <v>5</v>
      </c>
      <c r="I49" s="64">
        <v>2</v>
      </c>
      <c r="J49" s="64">
        <v>7</v>
      </c>
      <c r="K49" s="64">
        <v>1471</v>
      </c>
      <c r="L49" s="67">
        <v>0</v>
      </c>
      <c r="M49" s="68">
        <v>19207</v>
      </c>
      <c r="N49" s="74">
        <f t="shared" si="5"/>
        <v>0.38178788983183215</v>
      </c>
      <c r="O49" s="69">
        <f t="shared" si="5"/>
        <v>0.41880564377570678</v>
      </c>
      <c r="P49" s="69">
        <f t="shared" si="5"/>
        <v>0.12209090435778622</v>
      </c>
      <c r="Q49" s="69">
        <f t="shared" si="5"/>
        <v>0</v>
      </c>
      <c r="R49" s="69">
        <f t="shared" si="5"/>
        <v>0</v>
      </c>
      <c r="S49" s="69">
        <f t="shared" si="5"/>
        <v>2.6032175769250796E-4</v>
      </c>
      <c r="T49" s="69">
        <f t="shared" si="5"/>
        <v>1.0412870307700318E-4</v>
      </c>
      <c r="U49" s="69">
        <f t="shared" si="5"/>
        <v>3.6445046076951114E-4</v>
      </c>
      <c r="V49" s="69">
        <f t="shared" si="5"/>
        <v>7.6586661113135834E-2</v>
      </c>
      <c r="W49" s="70">
        <f t="shared" si="5"/>
        <v>0</v>
      </c>
      <c r="X49" s="74">
        <f t="shared" si="2"/>
        <v>7.2890092153902227E-4</v>
      </c>
      <c r="Y49" s="69">
        <f t="shared" si="3"/>
        <v>7.6586661113135834E-2</v>
      </c>
      <c r="Z49" s="70">
        <f t="shared" si="4"/>
        <v>7.6951111573905343E-2</v>
      </c>
    </row>
    <row r="50" spans="1:26" x14ac:dyDescent="0.15">
      <c r="A50" s="78" t="s">
        <v>1059</v>
      </c>
      <c r="B50" s="77">
        <v>2023</v>
      </c>
      <c r="C50" s="75">
        <v>6315</v>
      </c>
      <c r="D50" s="77">
        <v>10624</v>
      </c>
      <c r="E50" s="77">
        <v>3812</v>
      </c>
      <c r="F50" s="77">
        <v>0</v>
      </c>
      <c r="G50" s="77">
        <v>0</v>
      </c>
      <c r="H50" s="77">
        <v>40</v>
      </c>
      <c r="I50" s="77">
        <v>0</v>
      </c>
      <c r="J50" s="77">
        <v>21</v>
      </c>
      <c r="K50" s="77">
        <v>2537</v>
      </c>
      <c r="L50" s="76">
        <v>11</v>
      </c>
      <c r="M50" s="78">
        <v>23360</v>
      </c>
      <c r="N50" s="81">
        <f t="shared" si="5"/>
        <v>0.27033390410958902</v>
      </c>
      <c r="O50" s="79">
        <f t="shared" si="5"/>
        <v>0.45479452054794522</v>
      </c>
      <c r="P50" s="79">
        <f t="shared" si="5"/>
        <v>0.16318493150684932</v>
      </c>
      <c r="Q50" s="79">
        <f t="shared" si="5"/>
        <v>0</v>
      </c>
      <c r="R50" s="79">
        <f t="shared" si="5"/>
        <v>0</v>
      </c>
      <c r="S50" s="79">
        <f t="shared" si="5"/>
        <v>1.7123287671232876E-3</v>
      </c>
      <c r="T50" s="79">
        <f t="shared" si="5"/>
        <v>0</v>
      </c>
      <c r="U50" s="79">
        <f t="shared" si="5"/>
        <v>8.9897260273972602E-4</v>
      </c>
      <c r="V50" s="79">
        <f t="shared" si="5"/>
        <v>0.10860445205479452</v>
      </c>
      <c r="W50" s="80">
        <f t="shared" si="5"/>
        <v>4.7089041095890413E-4</v>
      </c>
      <c r="X50" s="81">
        <f t="shared" si="2"/>
        <v>2.6113013698630134E-3</v>
      </c>
      <c r="Y50" s="79">
        <f t="shared" si="3"/>
        <v>0.10907534246575343</v>
      </c>
      <c r="Z50" s="80">
        <f t="shared" si="4"/>
        <v>0.10997431506849316</v>
      </c>
    </row>
    <row r="51" spans="1:26" x14ac:dyDescent="0.15">
      <c r="A51" s="68" t="s">
        <v>1060</v>
      </c>
      <c r="B51" s="67">
        <v>2018</v>
      </c>
      <c r="C51" s="64">
        <v>20928551</v>
      </c>
      <c r="D51" s="64">
        <v>160794</v>
      </c>
      <c r="E51" s="64">
        <v>344</v>
      </c>
      <c r="F51" s="64">
        <v>94</v>
      </c>
      <c r="G51" s="64">
        <v>38816</v>
      </c>
      <c r="H51" s="64">
        <v>253893</v>
      </c>
      <c r="I51" s="64">
        <v>0</v>
      </c>
      <c r="J51" s="64">
        <v>188624</v>
      </c>
      <c r="K51" s="64">
        <v>575323</v>
      </c>
      <c r="L51" s="64">
        <v>0</v>
      </c>
      <c r="M51" s="68">
        <v>22146439</v>
      </c>
      <c r="N51" s="69">
        <f t="shared" si="5"/>
        <v>0.94500750210902984</v>
      </c>
      <c r="O51" s="69">
        <f t="shared" si="5"/>
        <v>7.260490049890188E-3</v>
      </c>
      <c r="P51" s="69">
        <f t="shared" si="5"/>
        <v>1.5532971237497822E-5</v>
      </c>
      <c r="Q51" s="69">
        <f t="shared" si="5"/>
        <v>4.2444746986185908E-6</v>
      </c>
      <c r="R51" s="69">
        <f t="shared" si="5"/>
        <v>1.7526971266125448E-3</v>
      </c>
      <c r="S51" s="69">
        <f t="shared" si="5"/>
        <v>1.1464281006982657E-2</v>
      </c>
      <c r="T51" s="69">
        <f t="shared" si="5"/>
        <v>0</v>
      </c>
      <c r="U51" s="69">
        <f t="shared" si="5"/>
        <v>8.5171254845982231E-3</v>
      </c>
      <c r="V51" s="69">
        <f t="shared" si="5"/>
        <v>2.5978126776950463E-2</v>
      </c>
      <c r="W51" s="70">
        <f t="shared" si="5"/>
        <v>0</v>
      </c>
      <c r="X51" s="69">
        <f t="shared" si="2"/>
        <v>1.998140649158088E-2</v>
      </c>
      <c r="Y51" s="69">
        <f t="shared" si="3"/>
        <v>2.5978126776950463E-2</v>
      </c>
      <c r="Z51" s="70">
        <f t="shared" si="4"/>
        <v>3.449525226154869E-2</v>
      </c>
    </row>
    <row r="52" spans="1:26" x14ac:dyDescent="0.15">
      <c r="A52" s="68" t="s">
        <v>1060</v>
      </c>
      <c r="B52" s="67">
        <v>2019</v>
      </c>
      <c r="C52" s="64">
        <v>20030900</v>
      </c>
      <c r="D52" s="64">
        <v>138471</v>
      </c>
      <c r="E52" s="64">
        <v>725</v>
      </c>
      <c r="F52" s="64">
        <v>32</v>
      </c>
      <c r="G52" s="64">
        <v>10540</v>
      </c>
      <c r="H52" s="64">
        <v>358236</v>
      </c>
      <c r="I52" s="64">
        <v>0</v>
      </c>
      <c r="J52" s="64">
        <v>175949</v>
      </c>
      <c r="K52" s="64">
        <v>485080</v>
      </c>
      <c r="L52" s="64">
        <v>0</v>
      </c>
      <c r="M52" s="68">
        <v>21199933</v>
      </c>
      <c r="N52" s="69">
        <f t="shared" si="5"/>
        <v>0.94485675968881599</v>
      </c>
      <c r="O52" s="69">
        <f t="shared" si="5"/>
        <v>6.5316715859432195E-3</v>
      </c>
      <c r="P52" s="69">
        <f t="shared" si="5"/>
        <v>3.4198221286831422E-5</v>
      </c>
      <c r="Q52" s="69">
        <f t="shared" si="5"/>
        <v>1.5094387326601457E-6</v>
      </c>
      <c r="R52" s="69">
        <f t="shared" si="5"/>
        <v>4.971713825699355E-4</v>
      </c>
      <c r="S52" s="69">
        <f t="shared" si="5"/>
        <v>1.6897977932288748E-2</v>
      </c>
      <c r="T52" s="69">
        <f t="shared" si="5"/>
        <v>0</v>
      </c>
      <c r="U52" s="69">
        <f t="shared" si="5"/>
        <v>8.2995073616506237E-3</v>
      </c>
      <c r="V52" s="69">
        <f t="shared" si="5"/>
        <v>2.2881204388711981E-2</v>
      </c>
      <c r="W52" s="70">
        <f t="shared" si="5"/>
        <v>0</v>
      </c>
      <c r="X52" s="69">
        <f t="shared" si="2"/>
        <v>2.5197485293939371E-2</v>
      </c>
      <c r="Y52" s="69">
        <f t="shared" si="3"/>
        <v>2.2881204388711981E-2</v>
      </c>
      <c r="Z52" s="70">
        <f t="shared" si="4"/>
        <v>3.1180711750362605E-2</v>
      </c>
    </row>
    <row r="53" spans="1:26" x14ac:dyDescent="0.15">
      <c r="A53" s="68" t="s">
        <v>1060</v>
      </c>
      <c r="B53" s="67">
        <v>2020</v>
      </c>
      <c r="C53" s="64">
        <v>18250182</v>
      </c>
      <c r="D53" s="64">
        <v>161657</v>
      </c>
      <c r="E53" s="64">
        <v>1313</v>
      </c>
      <c r="F53" s="64">
        <v>145</v>
      </c>
      <c r="G53" s="64">
        <v>1539</v>
      </c>
      <c r="H53" s="64">
        <v>519162</v>
      </c>
      <c r="I53" s="64">
        <v>27846</v>
      </c>
      <c r="J53" s="64">
        <v>169928</v>
      </c>
      <c r="K53" s="64">
        <v>766661</v>
      </c>
      <c r="L53" s="64">
        <v>0</v>
      </c>
      <c r="M53" s="68">
        <v>19898433</v>
      </c>
      <c r="N53" s="69">
        <f t="shared" si="5"/>
        <v>0.91716679398825018</v>
      </c>
      <c r="O53" s="69">
        <f t="shared" si="5"/>
        <v>8.124107059083497E-3</v>
      </c>
      <c r="P53" s="69">
        <f t="shared" si="5"/>
        <v>6.5985095409271669E-5</v>
      </c>
      <c r="Q53" s="69">
        <f t="shared" si="5"/>
        <v>7.287005966751251E-6</v>
      </c>
      <c r="R53" s="69">
        <f t="shared" si="5"/>
        <v>7.734277367469086E-5</v>
      </c>
      <c r="S53" s="69">
        <f t="shared" si="5"/>
        <v>2.6090597184210435E-2</v>
      </c>
      <c r="T53" s="69">
        <f t="shared" si="5"/>
        <v>1.399406676897623E-3</v>
      </c>
      <c r="U53" s="69">
        <f t="shared" si="5"/>
        <v>8.5397679304697015E-3</v>
      </c>
      <c r="V53" s="69">
        <f t="shared" si="5"/>
        <v>3.8528712286037797E-2</v>
      </c>
      <c r="W53" s="70">
        <f t="shared" si="5"/>
        <v>0</v>
      </c>
      <c r="X53" s="69">
        <f t="shared" si="2"/>
        <v>3.6029771791577764E-2</v>
      </c>
      <c r="Y53" s="69">
        <f t="shared" si="3"/>
        <v>3.8528712286037797E-2</v>
      </c>
      <c r="Z53" s="70">
        <f t="shared" si="4"/>
        <v>4.7068480216507502E-2</v>
      </c>
    </row>
    <row r="54" spans="1:26" x14ac:dyDescent="0.15">
      <c r="A54" s="68" t="s">
        <v>1060</v>
      </c>
      <c r="B54" s="67">
        <v>2021</v>
      </c>
      <c r="C54" s="64">
        <v>17585976</v>
      </c>
      <c r="D54" s="64">
        <v>175429</v>
      </c>
      <c r="E54" s="64">
        <v>3988</v>
      </c>
      <c r="F54" s="64">
        <v>28</v>
      </c>
      <c r="G54" s="64">
        <v>186</v>
      </c>
      <c r="H54" s="64">
        <v>685252</v>
      </c>
      <c r="I54" s="64">
        <v>105607</v>
      </c>
      <c r="J54" s="64">
        <v>419823</v>
      </c>
      <c r="K54" s="64">
        <v>2055082</v>
      </c>
      <c r="L54" s="64">
        <v>9</v>
      </c>
      <c r="M54" s="68">
        <v>21031380</v>
      </c>
      <c r="N54" s="69">
        <f t="shared" si="5"/>
        <v>0.83617793982135269</v>
      </c>
      <c r="O54" s="69">
        <f t="shared" si="5"/>
        <v>8.3412976228854213E-3</v>
      </c>
      <c r="P54" s="69">
        <f t="shared" si="5"/>
        <v>1.8962141333569172E-4</v>
      </c>
      <c r="Q54" s="69">
        <f t="shared" si="5"/>
        <v>1.3313439251252176E-6</v>
      </c>
      <c r="R54" s="69">
        <f t="shared" si="5"/>
        <v>8.8439275026175168E-6</v>
      </c>
      <c r="S54" s="69">
        <f t="shared" si="5"/>
        <v>3.2582360263568061E-2</v>
      </c>
      <c r="T54" s="69">
        <f t="shared" si="5"/>
        <v>5.0214013535963883E-3</v>
      </c>
      <c r="U54" s="69">
        <f t="shared" si="5"/>
        <v>1.996174288135158E-2</v>
      </c>
      <c r="V54" s="69">
        <f t="shared" si="5"/>
        <v>9.7715033440506513E-2</v>
      </c>
      <c r="W54" s="70">
        <f t="shared" si="5"/>
        <v>4.2793197593310569E-7</v>
      </c>
      <c r="X54" s="69">
        <f t="shared" si="2"/>
        <v>5.7565504498516031E-2</v>
      </c>
      <c r="Y54" s="69">
        <f t="shared" si="3"/>
        <v>9.7715461372482451E-2</v>
      </c>
      <c r="Z54" s="70">
        <f t="shared" si="4"/>
        <v>0.11767720425383403</v>
      </c>
    </row>
    <row r="55" spans="1:26" x14ac:dyDescent="0.15">
      <c r="A55" s="68" t="s">
        <v>1060</v>
      </c>
      <c r="B55" s="67">
        <v>2022</v>
      </c>
      <c r="C55" s="64">
        <v>14470388</v>
      </c>
      <c r="D55" s="64">
        <v>135517</v>
      </c>
      <c r="E55" s="64">
        <v>8504</v>
      </c>
      <c r="F55" s="64">
        <v>15</v>
      </c>
      <c r="G55" s="64">
        <v>257</v>
      </c>
      <c r="H55" s="64">
        <v>851839</v>
      </c>
      <c r="I55" s="64">
        <v>219040</v>
      </c>
      <c r="J55" s="64">
        <v>1052544</v>
      </c>
      <c r="K55" s="64">
        <v>3402644</v>
      </c>
      <c r="L55" s="64">
        <v>68</v>
      </c>
      <c r="M55" s="68">
        <v>20140816</v>
      </c>
      <c r="N55" s="69">
        <f t="shared" si="5"/>
        <v>0.71846086077148019</v>
      </c>
      <c r="O55" s="69">
        <f t="shared" si="5"/>
        <v>6.7284761451571777E-3</v>
      </c>
      <c r="P55" s="69">
        <f t="shared" si="5"/>
        <v>4.2222718285098279E-4</v>
      </c>
      <c r="Q55" s="69">
        <f t="shared" si="5"/>
        <v>7.4475631970422647E-7</v>
      </c>
      <c r="R55" s="69">
        <f t="shared" si="5"/>
        <v>1.2760158277599081E-5</v>
      </c>
      <c r="S55" s="69">
        <f t="shared" si="5"/>
        <v>4.2294165241368573E-2</v>
      </c>
      <c r="T55" s="69">
        <f t="shared" si="5"/>
        <v>1.0875428284534252E-2</v>
      </c>
      <c r="U55" s="69">
        <f t="shared" si="5"/>
        <v>5.2259253051117692E-2</v>
      </c>
      <c r="V55" s="69">
        <f t="shared" si="5"/>
        <v>0.16894270818024454</v>
      </c>
      <c r="W55" s="70">
        <f t="shared" si="5"/>
        <v>3.3762286493258269E-6</v>
      </c>
      <c r="X55" s="69">
        <f t="shared" si="2"/>
        <v>0.10542884657702051</v>
      </c>
      <c r="Y55" s="69">
        <f t="shared" si="3"/>
        <v>0.16894608440889386</v>
      </c>
      <c r="Z55" s="70">
        <f t="shared" si="4"/>
        <v>0.22120533746001156</v>
      </c>
    </row>
    <row r="56" spans="1:26" x14ac:dyDescent="0.15">
      <c r="A56" s="78" t="s">
        <v>1060</v>
      </c>
      <c r="B56" s="76">
        <v>2023</v>
      </c>
      <c r="C56" s="77">
        <v>13561861</v>
      </c>
      <c r="D56" s="77">
        <v>144002</v>
      </c>
      <c r="E56" s="77">
        <v>15804</v>
      </c>
      <c r="F56" s="77">
        <v>0</v>
      </c>
      <c r="G56" s="77">
        <v>1658</v>
      </c>
      <c r="H56" s="77">
        <v>881118</v>
      </c>
      <c r="I56" s="77">
        <v>583047</v>
      </c>
      <c r="J56" s="77">
        <v>1695326</v>
      </c>
      <c r="K56" s="77">
        <v>4340161</v>
      </c>
      <c r="L56" s="77">
        <v>369</v>
      </c>
      <c r="M56" s="78">
        <v>21223346</v>
      </c>
      <c r="N56" s="79">
        <f t="shared" si="5"/>
        <v>0.63900673343402115</v>
      </c>
      <c r="O56" s="79">
        <f t="shared" si="5"/>
        <v>6.7850752657003287E-3</v>
      </c>
      <c r="P56" s="79">
        <f t="shared" si="5"/>
        <v>7.4465166802633286E-4</v>
      </c>
      <c r="Q56" s="79">
        <f t="shared" si="5"/>
        <v>0</v>
      </c>
      <c r="R56" s="79">
        <f t="shared" si="5"/>
        <v>7.81215176909428E-5</v>
      </c>
      <c r="S56" s="79">
        <f t="shared" si="5"/>
        <v>4.1516450799039886E-2</v>
      </c>
      <c r="T56" s="79">
        <f t="shared" si="5"/>
        <v>2.7471964128559182E-2</v>
      </c>
      <c r="U56" s="79">
        <f t="shared" si="5"/>
        <v>7.9880241315389192E-2</v>
      </c>
      <c r="V56" s="79">
        <f t="shared" si="5"/>
        <v>0.20449937535768395</v>
      </c>
      <c r="W56" s="80">
        <f t="shared" si="5"/>
        <v>1.7386513888997523E-5</v>
      </c>
      <c r="X56" s="79">
        <f t="shared" si="2"/>
        <v>0.14886865624298826</v>
      </c>
      <c r="Y56" s="79">
        <f t="shared" si="3"/>
        <v>0.20451676187157294</v>
      </c>
      <c r="Z56" s="80">
        <f t="shared" si="4"/>
        <v>0.28439700318696215</v>
      </c>
    </row>
    <row r="57" spans="1:26" x14ac:dyDescent="0.15">
      <c r="A57" s="85" t="s">
        <v>1061</v>
      </c>
      <c r="B57" s="83">
        <v>2018</v>
      </c>
      <c r="C57" s="84">
        <v>249350</v>
      </c>
      <c r="D57" s="84">
        <v>8401</v>
      </c>
      <c r="E57" s="84">
        <v>2</v>
      </c>
      <c r="F57" s="84">
        <v>1239</v>
      </c>
      <c r="G57" s="84">
        <v>72693</v>
      </c>
      <c r="H57" s="84">
        <v>25052</v>
      </c>
      <c r="I57" s="84">
        <v>0</v>
      </c>
      <c r="J57" s="84">
        <v>10303</v>
      </c>
      <c r="K57" s="84">
        <v>168925</v>
      </c>
      <c r="L57" s="84">
        <v>0</v>
      </c>
      <c r="M57" s="85">
        <v>535965</v>
      </c>
      <c r="N57" s="72">
        <f t="shared" si="5"/>
        <v>0.46523560307109607</v>
      </c>
      <c r="O57" s="72">
        <f t="shared" si="5"/>
        <v>1.5674530986165142E-2</v>
      </c>
      <c r="P57" s="72">
        <f t="shared" si="5"/>
        <v>3.7315869506404334E-6</v>
      </c>
      <c r="Q57" s="72">
        <f t="shared" si="5"/>
        <v>2.3117181159217487E-3</v>
      </c>
      <c r="R57" s="72">
        <f t="shared" si="5"/>
        <v>0.13563012510145253</v>
      </c>
      <c r="S57" s="72">
        <f t="shared" si="5"/>
        <v>4.6741858143722073E-2</v>
      </c>
      <c r="T57" s="72">
        <f t="shared" si="5"/>
        <v>0</v>
      </c>
      <c r="U57" s="72">
        <f t="shared" si="5"/>
        <v>1.9223270176224192E-2</v>
      </c>
      <c r="V57" s="72">
        <f t="shared" si="5"/>
        <v>0.31517916281846764</v>
      </c>
      <c r="W57" s="73">
        <f t="shared" si="5"/>
        <v>0</v>
      </c>
      <c r="X57" s="72">
        <f t="shared" si="2"/>
        <v>6.5965128319946262E-2</v>
      </c>
      <c r="Y57" s="72">
        <f t="shared" si="3"/>
        <v>0.31517916281846764</v>
      </c>
      <c r="Z57" s="73">
        <f t="shared" si="4"/>
        <v>0.33440243299469186</v>
      </c>
    </row>
    <row r="58" spans="1:26" x14ac:dyDescent="0.15">
      <c r="A58" s="68" t="s">
        <v>1061</v>
      </c>
      <c r="B58" s="67">
        <v>2019</v>
      </c>
      <c r="C58" s="64">
        <v>227140</v>
      </c>
      <c r="D58" s="64">
        <v>8913</v>
      </c>
      <c r="E58" s="64">
        <v>3299</v>
      </c>
      <c r="F58" s="64">
        <v>14529</v>
      </c>
      <c r="G58" s="64">
        <v>92632</v>
      </c>
      <c r="H58" s="64">
        <v>26285</v>
      </c>
      <c r="I58" s="64">
        <v>0</v>
      </c>
      <c r="J58" s="64">
        <v>16898</v>
      </c>
      <c r="K58" s="64">
        <v>239363</v>
      </c>
      <c r="L58" s="64">
        <v>0</v>
      </c>
      <c r="M58" s="68">
        <v>629059</v>
      </c>
      <c r="N58" s="69">
        <f t="shared" si="5"/>
        <v>0.3610790084872802</v>
      </c>
      <c r="O58" s="69">
        <f t="shared" si="5"/>
        <v>1.4168782260487491E-2</v>
      </c>
      <c r="P58" s="69">
        <f t="shared" si="5"/>
        <v>5.2443411508300494E-3</v>
      </c>
      <c r="Q58" s="69">
        <f t="shared" si="5"/>
        <v>2.3096402722161197E-2</v>
      </c>
      <c r="R58" s="69">
        <f t="shared" si="5"/>
        <v>0.14725486798535589</v>
      </c>
      <c r="S58" s="69">
        <f t="shared" si="5"/>
        <v>4.178463387377019E-2</v>
      </c>
      <c r="T58" s="69">
        <f t="shared" si="5"/>
        <v>0</v>
      </c>
      <c r="U58" s="69">
        <f t="shared" si="5"/>
        <v>2.6862345185427759E-2</v>
      </c>
      <c r="V58" s="69">
        <f t="shared" si="5"/>
        <v>0.38050961833468722</v>
      </c>
      <c r="W58" s="70">
        <f t="shared" si="5"/>
        <v>0</v>
      </c>
      <c r="X58" s="69">
        <f t="shared" si="2"/>
        <v>6.8646979059197949E-2</v>
      </c>
      <c r="Y58" s="69">
        <f t="shared" si="3"/>
        <v>0.38050961833468722</v>
      </c>
      <c r="Z58" s="70">
        <f t="shared" si="4"/>
        <v>0.40737196352011495</v>
      </c>
    </row>
    <row r="59" spans="1:26" x14ac:dyDescent="0.15">
      <c r="A59" s="68" t="s">
        <v>1061</v>
      </c>
      <c r="B59" s="67">
        <v>2020</v>
      </c>
      <c r="C59" s="64">
        <v>120804</v>
      </c>
      <c r="D59" s="64">
        <v>6655</v>
      </c>
      <c r="E59" s="64">
        <v>15818</v>
      </c>
      <c r="F59" s="64">
        <v>5543</v>
      </c>
      <c r="G59" s="64">
        <v>26668</v>
      </c>
      <c r="H59" s="64">
        <v>13169</v>
      </c>
      <c r="I59" s="64">
        <v>0</v>
      </c>
      <c r="J59" s="64">
        <v>12718</v>
      </c>
      <c r="K59" s="64">
        <v>171091</v>
      </c>
      <c r="L59" s="64">
        <v>0</v>
      </c>
      <c r="M59" s="68">
        <v>372466</v>
      </c>
      <c r="N59" s="69">
        <f t="shared" si="5"/>
        <v>0.32433564405878657</v>
      </c>
      <c r="O59" s="69">
        <f t="shared" si="5"/>
        <v>1.7867402662256421E-2</v>
      </c>
      <c r="P59" s="69">
        <f t="shared" si="5"/>
        <v>4.2468305831941708E-2</v>
      </c>
      <c r="Q59" s="69">
        <f t="shared" si="5"/>
        <v>1.4881895260238519E-2</v>
      </c>
      <c r="R59" s="69">
        <f t="shared" si="5"/>
        <v>7.1598481472134365E-2</v>
      </c>
      <c r="S59" s="69">
        <f t="shared" si="5"/>
        <v>3.5356247281631073E-2</v>
      </c>
      <c r="T59" s="69">
        <f t="shared" si="5"/>
        <v>0</v>
      </c>
      <c r="U59" s="69">
        <f t="shared" si="5"/>
        <v>3.4145398506172375E-2</v>
      </c>
      <c r="V59" s="69">
        <f t="shared" si="5"/>
        <v>0.45934662492683898</v>
      </c>
      <c r="W59" s="70">
        <f t="shared" si="5"/>
        <v>0</v>
      </c>
      <c r="X59" s="69">
        <f t="shared" si="2"/>
        <v>6.9501645787803448E-2</v>
      </c>
      <c r="Y59" s="69">
        <f t="shared" si="3"/>
        <v>0.45934662492683898</v>
      </c>
      <c r="Z59" s="70">
        <f t="shared" si="4"/>
        <v>0.49349202343301135</v>
      </c>
    </row>
    <row r="60" spans="1:26" x14ac:dyDescent="0.15">
      <c r="A60" s="68" t="s">
        <v>1061</v>
      </c>
      <c r="B60" s="67">
        <v>2021</v>
      </c>
      <c r="C60" s="64">
        <v>92379</v>
      </c>
      <c r="D60" s="64">
        <v>4579</v>
      </c>
      <c r="E60" s="64">
        <v>17578</v>
      </c>
      <c r="F60" s="64">
        <v>809</v>
      </c>
      <c r="G60" s="64">
        <v>26498</v>
      </c>
      <c r="H60" s="64">
        <v>12555</v>
      </c>
      <c r="I60" s="64">
        <v>211</v>
      </c>
      <c r="J60" s="64">
        <v>12119</v>
      </c>
      <c r="K60" s="64">
        <v>359045</v>
      </c>
      <c r="L60" s="64">
        <v>10</v>
      </c>
      <c r="M60" s="68">
        <v>525783</v>
      </c>
      <c r="N60" s="69">
        <f t="shared" si="5"/>
        <v>0.17569795904394017</v>
      </c>
      <c r="O60" s="69">
        <f t="shared" si="5"/>
        <v>8.7089160357029429E-3</v>
      </c>
      <c r="P60" s="69">
        <f t="shared" si="5"/>
        <v>3.3432043257389459E-2</v>
      </c>
      <c r="Q60" s="69">
        <f t="shared" si="5"/>
        <v>1.5386575830713431E-3</v>
      </c>
      <c r="R60" s="69">
        <f t="shared" si="5"/>
        <v>5.0397217102873239E-2</v>
      </c>
      <c r="S60" s="69">
        <f t="shared" si="5"/>
        <v>2.3878672380050325E-2</v>
      </c>
      <c r="T60" s="69">
        <f t="shared" si="5"/>
        <v>4.013062423090895E-4</v>
      </c>
      <c r="U60" s="69">
        <f t="shared" si="5"/>
        <v>2.304943294096614E-2</v>
      </c>
      <c r="V60" s="69">
        <f t="shared" si="5"/>
        <v>0.68287677616050724</v>
      </c>
      <c r="W60" s="70">
        <f t="shared" si="5"/>
        <v>1.9019253190004243E-5</v>
      </c>
      <c r="X60" s="69">
        <f t="shared" si="2"/>
        <v>4.7329411563325555E-2</v>
      </c>
      <c r="Y60" s="69">
        <f t="shared" si="3"/>
        <v>0.68289579541369727</v>
      </c>
      <c r="Z60" s="70">
        <f t="shared" si="4"/>
        <v>0.70594522835466345</v>
      </c>
    </row>
    <row r="61" spans="1:26" x14ac:dyDescent="0.15">
      <c r="A61" s="68" t="s">
        <v>1061</v>
      </c>
      <c r="B61" s="67">
        <v>2022</v>
      </c>
      <c r="C61" s="64">
        <v>58392</v>
      </c>
      <c r="D61" s="64">
        <v>3030</v>
      </c>
      <c r="E61" s="64">
        <v>18707</v>
      </c>
      <c r="F61" s="64">
        <v>266</v>
      </c>
      <c r="G61" s="64">
        <v>31467</v>
      </c>
      <c r="H61" s="64">
        <v>10905</v>
      </c>
      <c r="I61" s="64">
        <v>95</v>
      </c>
      <c r="J61" s="64">
        <v>7677</v>
      </c>
      <c r="K61" s="64">
        <v>622529</v>
      </c>
      <c r="L61" s="64">
        <v>187</v>
      </c>
      <c r="M61" s="68">
        <v>753255</v>
      </c>
      <c r="N61" s="69">
        <f t="shared" si="5"/>
        <v>7.7519565087520156E-2</v>
      </c>
      <c r="O61" s="69">
        <f t="shared" si="5"/>
        <v>4.022542166995241E-3</v>
      </c>
      <c r="P61" s="69">
        <f t="shared" si="5"/>
        <v>2.4834883273260715E-2</v>
      </c>
      <c r="Q61" s="69">
        <f t="shared" si="5"/>
        <v>3.5313406482532475E-4</v>
      </c>
      <c r="R61" s="69">
        <f t="shared" si="5"/>
        <v>4.1774697811498097E-2</v>
      </c>
      <c r="S61" s="69">
        <f t="shared" si="5"/>
        <v>1.4477169086166039E-2</v>
      </c>
      <c r="T61" s="69">
        <f t="shared" si="5"/>
        <v>1.261193088661874E-4</v>
      </c>
      <c r="U61" s="69">
        <f t="shared" si="5"/>
        <v>1.0191767728060219E-2</v>
      </c>
      <c r="V61" s="69">
        <f t="shared" si="5"/>
        <v>0.82645186557009243</v>
      </c>
      <c r="W61" s="70">
        <f t="shared" si="5"/>
        <v>2.4825590271554783E-4</v>
      </c>
      <c r="X61" s="69">
        <f t="shared" si="2"/>
        <v>2.4795056123092445E-2</v>
      </c>
      <c r="Y61" s="69">
        <f t="shared" si="3"/>
        <v>0.82670012147280802</v>
      </c>
      <c r="Z61" s="70">
        <f t="shared" si="4"/>
        <v>0.83689188920086821</v>
      </c>
    </row>
    <row r="62" spans="1:26" x14ac:dyDescent="0.15">
      <c r="A62" s="78" t="s">
        <v>1061</v>
      </c>
      <c r="B62" s="76">
        <v>2023</v>
      </c>
      <c r="C62" s="77">
        <v>104824</v>
      </c>
      <c r="D62" s="77">
        <v>5591</v>
      </c>
      <c r="E62" s="77">
        <v>7008</v>
      </c>
      <c r="F62" s="77">
        <v>8</v>
      </c>
      <c r="G62" s="77">
        <v>26819</v>
      </c>
      <c r="H62" s="77">
        <v>16739</v>
      </c>
      <c r="I62" s="77">
        <v>562</v>
      </c>
      <c r="J62" s="77">
        <v>36236</v>
      </c>
      <c r="K62" s="77">
        <v>748751</v>
      </c>
      <c r="L62" s="77">
        <v>0</v>
      </c>
      <c r="M62" s="78">
        <v>946538</v>
      </c>
      <c r="N62" s="79">
        <f t="shared" si="5"/>
        <v>0.11074462937568275</v>
      </c>
      <c r="O62" s="79">
        <f t="shared" si="5"/>
        <v>5.906788739596297E-3</v>
      </c>
      <c r="P62" s="79">
        <f t="shared" si="5"/>
        <v>7.4038231956878647E-3</v>
      </c>
      <c r="Q62" s="79">
        <f t="shared" si="5"/>
        <v>8.4518529631140014E-6</v>
      </c>
      <c r="R62" s="79">
        <f t="shared" si="5"/>
        <v>2.83337805772193E-2</v>
      </c>
      <c r="S62" s="79">
        <f t="shared" si="5"/>
        <v>1.7684445843695659E-2</v>
      </c>
      <c r="T62" s="79">
        <f t="shared" si="5"/>
        <v>5.9374267065875853E-4</v>
      </c>
      <c r="U62" s="79">
        <f t="shared" si="5"/>
        <v>3.8282667996424866E-2</v>
      </c>
      <c r="V62" s="79">
        <f t="shared" si="5"/>
        <v>0.79104166974807144</v>
      </c>
      <c r="W62" s="80">
        <f t="shared" si="5"/>
        <v>0</v>
      </c>
      <c r="X62" s="79">
        <f t="shared" si="2"/>
        <v>5.6560856510779287E-2</v>
      </c>
      <c r="Y62" s="79">
        <f t="shared" si="3"/>
        <v>0.79104166974807144</v>
      </c>
      <c r="Z62" s="80">
        <f t="shared" si="4"/>
        <v>0.82932433774449632</v>
      </c>
    </row>
  </sheetData>
  <mergeCells count="6">
    <mergeCell ref="A1:A2"/>
    <mergeCell ref="C1:L1"/>
    <mergeCell ref="M1:M2"/>
    <mergeCell ref="N1:W1"/>
    <mergeCell ref="X1:Z1"/>
    <mergeCell ref="B1:B2"/>
  </mergeCells>
  <phoneticPr fontId="11" type="noConversion"/>
  <conditionalFormatting sqref="N3:Z62">
    <cfRule type="cellIs" dxfId="2" priority="1" operator="greaterThan">
      <formula>0.5</formula>
    </cfRule>
    <cfRule type="cellIs" dxfId="1" priority="2" operator="greaterThan">
      <formula>0.2</formula>
    </cfRule>
    <cfRule type="cellIs" dxfId="0" priority="3" operator="greaterThan">
      <formula>0.05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"/>
  <sheetViews>
    <sheetView workbookViewId="0"/>
    <sheetView workbookViewId="1"/>
  </sheetViews>
  <sheetFormatPr defaultRowHeight="12.9" x14ac:dyDescent="0.15"/>
  <cols>
    <col min="1" max="1" width="27.25" bestFit="1" customWidth="1"/>
    <col min="2" max="8" width="14.5" customWidth="1"/>
    <col min="10" max="10" width="14.5" bestFit="1" customWidth="1"/>
  </cols>
  <sheetData>
    <row r="1" spans="1:10" ht="38.75" x14ac:dyDescent="0.15">
      <c r="A1" s="25" t="s">
        <v>129</v>
      </c>
      <c r="B1" s="63" t="s">
        <v>1</v>
      </c>
      <c r="C1" s="63" t="s">
        <v>1033</v>
      </c>
      <c r="D1" s="63" t="s">
        <v>1034</v>
      </c>
      <c r="E1" s="63" t="s">
        <v>4</v>
      </c>
      <c r="F1" s="63" t="s">
        <v>5</v>
      </c>
      <c r="G1" s="63" t="s">
        <v>125</v>
      </c>
      <c r="H1" s="63" t="s">
        <v>126</v>
      </c>
    </row>
    <row r="2" spans="1:10" x14ac:dyDescent="0.15">
      <c r="A2" s="1" t="s">
        <v>12</v>
      </c>
      <c r="B2" s="5">
        <v>9632952</v>
      </c>
      <c r="C2" s="5">
        <v>69802</v>
      </c>
      <c r="D2" s="5">
        <v>261344177</v>
      </c>
      <c r="E2" s="5">
        <v>1843349</v>
      </c>
      <c r="F2" s="5">
        <v>2166644</v>
      </c>
      <c r="G2" s="5">
        <v>3345</v>
      </c>
      <c r="H2" s="5">
        <v>331</v>
      </c>
      <c r="J2" s="5"/>
    </row>
    <row r="3" spans="1:10" x14ac:dyDescent="0.15">
      <c r="A3" s="1" t="s">
        <v>13</v>
      </c>
      <c r="B3" s="5">
        <v>548448</v>
      </c>
      <c r="C3" s="5">
        <v>7690</v>
      </c>
      <c r="D3" s="5">
        <v>631888</v>
      </c>
      <c r="E3" s="5">
        <v>850154</v>
      </c>
      <c r="F3" s="5">
        <v>51205</v>
      </c>
      <c r="G3" s="5">
        <v>0</v>
      </c>
      <c r="H3" s="5">
        <v>5415</v>
      </c>
      <c r="I3" s="5"/>
      <c r="J3" s="24"/>
    </row>
    <row r="4" spans="1:10" x14ac:dyDescent="0.15">
      <c r="A4" s="1" t="s">
        <v>14</v>
      </c>
      <c r="B4" s="5">
        <v>0</v>
      </c>
      <c r="C4" s="5">
        <v>0</v>
      </c>
      <c r="D4" s="5">
        <v>0</v>
      </c>
      <c r="E4" s="5">
        <v>3942</v>
      </c>
      <c r="F4" s="5">
        <v>0</v>
      </c>
      <c r="G4" s="5">
        <v>0</v>
      </c>
      <c r="H4" s="5">
        <v>0</v>
      </c>
    </row>
    <row r="5" spans="1:10" x14ac:dyDescent="0.15">
      <c r="A5" s="1" t="s">
        <v>15</v>
      </c>
      <c r="B5" s="5">
        <v>4260.7315835224099</v>
      </c>
      <c r="C5" s="5">
        <v>0</v>
      </c>
      <c r="D5" s="5">
        <v>0</v>
      </c>
      <c r="E5" s="5">
        <v>237.7057232602084</v>
      </c>
      <c r="F5" s="5">
        <v>0</v>
      </c>
      <c r="G5" s="5">
        <v>0</v>
      </c>
      <c r="H5" s="5">
        <v>0</v>
      </c>
    </row>
    <row r="6" spans="1:10" x14ac:dyDescent="0.15">
      <c r="A6" s="1" t="s">
        <v>16</v>
      </c>
      <c r="B6" s="5">
        <v>249.99999999999997</v>
      </c>
      <c r="C6" s="5">
        <v>1</v>
      </c>
      <c r="D6" s="5">
        <v>0</v>
      </c>
      <c r="E6" s="5">
        <v>619</v>
      </c>
      <c r="F6" s="5">
        <v>0</v>
      </c>
      <c r="G6" s="5">
        <v>0</v>
      </c>
      <c r="H6" s="5">
        <v>0</v>
      </c>
    </row>
    <row r="7" spans="1:10" x14ac:dyDescent="0.15">
      <c r="A7" s="1" t="s">
        <v>17</v>
      </c>
      <c r="B7" s="5">
        <v>369461702</v>
      </c>
      <c r="C7" s="5">
        <v>0</v>
      </c>
      <c r="D7" s="5">
        <v>60499298</v>
      </c>
      <c r="E7" s="5">
        <v>0</v>
      </c>
      <c r="F7" s="5">
        <v>0</v>
      </c>
      <c r="G7" s="5">
        <v>0</v>
      </c>
      <c r="H7" s="5">
        <v>0</v>
      </c>
    </row>
    <row r="9" spans="1:10" x14ac:dyDescent="0.15">
      <c r="B9" s="5"/>
      <c r="C9" s="5"/>
      <c r="D9" s="5"/>
      <c r="E9" s="5"/>
      <c r="F9" s="5"/>
      <c r="G9" s="5"/>
      <c r="H9" s="5"/>
    </row>
    <row r="10" spans="1:10" x14ac:dyDescent="0.15">
      <c r="A10" t="str" cm="1">
        <f t="array" ref="A10:G17">TRANSPOSE(A1:H7)</f>
        <v>Number of Vehicles</v>
      </c>
      <c r="B10" t="str">
        <v>LDVs</v>
      </c>
      <c r="C10" t="str">
        <v>HDVs</v>
      </c>
      <c r="D10" t="str">
        <v>aircraft</v>
      </c>
      <c r="E10" t="str">
        <v>rail</v>
      </c>
      <c r="F10" t="str">
        <v>ships</v>
      </c>
      <c r="G10" t="str">
        <v>motorbikes</v>
      </c>
    </row>
    <row r="11" spans="1:10" x14ac:dyDescent="0.15">
      <c r="A11" t="str">
        <v>battery electric vehicle</v>
      </c>
      <c r="B11">
        <v>9632952</v>
      </c>
      <c r="C11">
        <v>548448</v>
      </c>
      <c r="D11">
        <v>0</v>
      </c>
      <c r="E11">
        <v>4260.7315835224099</v>
      </c>
      <c r="F11">
        <v>249.99999999999997</v>
      </c>
      <c r="G11">
        <v>369461702</v>
      </c>
    </row>
    <row r="12" spans="1:10" x14ac:dyDescent="0.15">
      <c r="A12" t="str">
        <v>natural gas</v>
      </c>
      <c r="B12">
        <v>69802</v>
      </c>
      <c r="C12">
        <v>7690</v>
      </c>
      <c r="D12">
        <v>0</v>
      </c>
      <c r="E12">
        <v>0</v>
      </c>
      <c r="F12">
        <v>1</v>
      </c>
      <c r="G12">
        <v>0</v>
      </c>
    </row>
    <row r="13" spans="1:10" x14ac:dyDescent="0.15">
      <c r="A13" t="str">
        <v>gasoline vehicle</v>
      </c>
      <c r="B13">
        <v>261344177</v>
      </c>
      <c r="C13">
        <v>631888</v>
      </c>
      <c r="D13">
        <v>0</v>
      </c>
      <c r="E13">
        <v>0</v>
      </c>
      <c r="F13">
        <v>0</v>
      </c>
      <c r="G13">
        <v>60499298</v>
      </c>
    </row>
    <row r="14" spans="1:10" x14ac:dyDescent="0.15">
      <c r="A14" t="str">
        <v>diesel vehicle</v>
      </c>
      <c r="B14">
        <v>1843349</v>
      </c>
      <c r="C14">
        <v>850154</v>
      </c>
      <c r="D14">
        <v>3942</v>
      </c>
      <c r="E14">
        <v>237.7057232602084</v>
      </c>
      <c r="F14">
        <v>619</v>
      </c>
      <c r="G14">
        <v>0</v>
      </c>
    </row>
    <row r="15" spans="1:10" x14ac:dyDescent="0.15">
      <c r="A15" t="str">
        <v>plugin hybrid vehicle</v>
      </c>
      <c r="B15">
        <v>2166644</v>
      </c>
      <c r="C15">
        <v>51205</v>
      </c>
      <c r="D15">
        <v>0</v>
      </c>
      <c r="E15">
        <v>0</v>
      </c>
      <c r="F15">
        <v>0</v>
      </c>
      <c r="G15">
        <v>0</v>
      </c>
    </row>
    <row r="16" spans="1:10" x14ac:dyDescent="0.15">
      <c r="A16" t="str">
        <v>LPG vehicle</v>
      </c>
      <c r="B16">
        <v>3345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15">
      <c r="A17" t="str">
        <v>hydrogen vehicle</v>
      </c>
      <c r="B17">
        <v>331</v>
      </c>
      <c r="C17">
        <v>5415</v>
      </c>
      <c r="D17">
        <v>0</v>
      </c>
      <c r="E17">
        <v>0</v>
      </c>
      <c r="F17">
        <v>0</v>
      </c>
      <c r="G17">
        <v>0</v>
      </c>
    </row>
    <row r="19" spans="1:7" x14ac:dyDescent="0.15">
      <c r="A19" t="str">
        <f>A10</f>
        <v>Number of Vehicles</v>
      </c>
      <c r="B19" t="str">
        <f t="shared" ref="B19:G19" si="0">B10</f>
        <v>LDVs</v>
      </c>
      <c r="C19" t="str">
        <f t="shared" si="0"/>
        <v>HDVs</v>
      </c>
      <c r="D19" t="str">
        <f t="shared" si="0"/>
        <v>aircraft</v>
      </c>
      <c r="E19" t="str">
        <f t="shared" si="0"/>
        <v>rail</v>
      </c>
      <c r="F19" t="str">
        <f t="shared" si="0"/>
        <v>ships</v>
      </c>
      <c r="G19" t="str">
        <f t="shared" si="0"/>
        <v>motorbikes</v>
      </c>
    </row>
    <row r="20" spans="1:7" x14ac:dyDescent="0.15">
      <c r="A20" t="str">
        <f t="shared" ref="A20:A26" si="1">A11</f>
        <v>battery electric vehicle</v>
      </c>
      <c r="B20">
        <f>B11/SUM(B$11:B$17)</f>
        <v>3.5021198964882649E-2</v>
      </c>
      <c r="C20">
        <f t="shared" ref="C20:G20" si="2">C11/SUM(C$11:C$17)</f>
        <v>0.26181401565781937</v>
      </c>
      <c r="D20">
        <f t="shared" si="2"/>
        <v>0</v>
      </c>
      <c r="E20">
        <f t="shared" si="2"/>
        <v>0.9471581558107296</v>
      </c>
      <c r="F20">
        <f t="shared" si="2"/>
        <v>0.28735632183908044</v>
      </c>
      <c r="G20">
        <f t="shared" si="2"/>
        <v>0.859291196178258</v>
      </c>
    </row>
    <row r="21" spans="1:7" x14ac:dyDescent="0.15">
      <c r="A21" t="str">
        <f t="shared" si="1"/>
        <v>natural gas</v>
      </c>
      <c r="B21">
        <f t="shared" ref="B21:G26" si="3">B12/SUM(B$11:B$17)</f>
        <v>2.5376953296837136E-4</v>
      </c>
      <c r="C21">
        <f t="shared" si="3"/>
        <v>3.6709948443765517E-3</v>
      </c>
      <c r="D21">
        <f t="shared" si="3"/>
        <v>0</v>
      </c>
      <c r="E21">
        <f t="shared" si="3"/>
        <v>0</v>
      </c>
      <c r="F21">
        <f t="shared" si="3"/>
        <v>1.1494252873563218E-3</v>
      </c>
      <c r="G21">
        <f t="shared" si="3"/>
        <v>0</v>
      </c>
    </row>
    <row r="22" spans="1:7" x14ac:dyDescent="0.15">
      <c r="A22" t="str">
        <f t="shared" si="1"/>
        <v>gasoline vehicle</v>
      </c>
      <c r="B22">
        <f t="shared" si="3"/>
        <v>0.95013308703609312</v>
      </c>
      <c r="C22">
        <f t="shared" si="3"/>
        <v>0.3016459805232003</v>
      </c>
      <c r="D22">
        <f t="shared" si="3"/>
        <v>0</v>
      </c>
      <c r="E22">
        <f t="shared" si="3"/>
        <v>0</v>
      </c>
      <c r="F22">
        <f t="shared" si="3"/>
        <v>0</v>
      </c>
      <c r="G22">
        <f t="shared" si="3"/>
        <v>0.14070880382174197</v>
      </c>
    </row>
    <row r="23" spans="1:7" x14ac:dyDescent="0.15">
      <c r="A23" t="str">
        <f t="shared" si="1"/>
        <v>diesel vehicle</v>
      </c>
      <c r="B23">
        <f t="shared" si="3"/>
        <v>6.7016104814720829E-3</v>
      </c>
      <c r="C23">
        <f t="shared" si="3"/>
        <v>0.40584017567309527</v>
      </c>
      <c r="D23">
        <f t="shared" si="3"/>
        <v>1</v>
      </c>
      <c r="E23">
        <f t="shared" si="3"/>
        <v>5.2841844189270425E-2</v>
      </c>
      <c r="F23">
        <f t="shared" si="3"/>
        <v>0.71149425287356327</v>
      </c>
      <c r="G23">
        <f t="shared" si="3"/>
        <v>0</v>
      </c>
    </row>
    <row r="24" spans="1:7" x14ac:dyDescent="0.15">
      <c r="A24" t="str">
        <f t="shared" si="1"/>
        <v>plugin hybrid vehicle</v>
      </c>
      <c r="B24">
        <f t="shared" si="3"/>
        <v>7.8769696568683403E-3</v>
      </c>
      <c r="C24">
        <f t="shared" si="3"/>
        <v>2.4443860989115905E-2</v>
      </c>
      <c r="D24">
        <f t="shared" si="3"/>
        <v>0</v>
      </c>
      <c r="E24">
        <f t="shared" si="3"/>
        <v>0</v>
      </c>
      <c r="F24">
        <f t="shared" si="3"/>
        <v>0</v>
      </c>
      <c r="G24">
        <f t="shared" si="3"/>
        <v>0</v>
      </c>
    </row>
    <row r="25" spans="1:7" x14ac:dyDescent="0.15">
      <c r="A25" t="str">
        <f t="shared" si="1"/>
        <v>LPG vehicle</v>
      </c>
      <c r="B25">
        <f t="shared" si="3"/>
        <v>1.2160956531033526E-5</v>
      </c>
      <c r="C25">
        <f t="shared" si="3"/>
        <v>0</v>
      </c>
      <c r="D25">
        <f t="shared" si="3"/>
        <v>0</v>
      </c>
      <c r="E25">
        <f t="shared" si="3"/>
        <v>0</v>
      </c>
      <c r="F25">
        <f t="shared" si="3"/>
        <v>0</v>
      </c>
      <c r="G25">
        <f t="shared" si="3"/>
        <v>0</v>
      </c>
    </row>
    <row r="26" spans="1:7" x14ac:dyDescent="0.15">
      <c r="A26" t="str">
        <f t="shared" si="1"/>
        <v>hydrogen vehicle</v>
      </c>
      <c r="B26">
        <f t="shared" si="3"/>
        <v>1.2033711843862772E-6</v>
      </c>
      <c r="C26">
        <f t="shared" si="3"/>
        <v>2.584972312392591E-3</v>
      </c>
      <c r="D26">
        <f t="shared" si="3"/>
        <v>0</v>
      </c>
      <c r="E26">
        <f t="shared" si="3"/>
        <v>0</v>
      </c>
      <c r="F26">
        <f t="shared" si="3"/>
        <v>0</v>
      </c>
      <c r="G26">
        <f t="shared" si="3"/>
        <v>0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  <sheetView workbookViewId="1"/>
  </sheetViews>
  <sheetFormatPr defaultRowHeight="12.9" x14ac:dyDescent="0.15"/>
  <cols>
    <col min="1" max="1" width="16.875" customWidth="1"/>
    <col min="2" max="2" width="24.5" customWidth="1"/>
    <col min="3" max="3" width="20.875" customWidth="1"/>
    <col min="4" max="4" width="18.25" customWidth="1"/>
    <col min="5" max="5" width="17.125" customWidth="1"/>
    <col min="6" max="8" width="23.25" customWidth="1"/>
    <col min="9" max="9" width="13.5" bestFit="1" customWidth="1"/>
    <col min="10" max="10" width="12.5" bestFit="1" customWidth="1"/>
  </cols>
  <sheetData>
    <row r="1" spans="1:10" ht="25.85" x14ac:dyDescent="0.15">
      <c r="A1" s="25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15">
      <c r="A2" s="1" t="s">
        <v>12</v>
      </c>
      <c r="B2" s="5">
        <v>300978</v>
      </c>
      <c r="C2" s="5">
        <v>69719</v>
      </c>
      <c r="D2" s="5">
        <v>13054425</v>
      </c>
      <c r="E2" s="5">
        <v>9943096</v>
      </c>
      <c r="F2" s="5">
        <v>3070</v>
      </c>
      <c r="G2" s="5">
        <v>0</v>
      </c>
      <c r="H2">
        <v>812</v>
      </c>
      <c r="I2" s="24"/>
      <c r="J2" s="5"/>
    </row>
    <row r="3" spans="1:10" x14ac:dyDescent="0.15">
      <c r="A3" s="1" t="s">
        <v>13</v>
      </c>
      <c r="B3">
        <v>69711</v>
      </c>
      <c r="C3">
        <v>421918</v>
      </c>
      <c r="D3">
        <v>0</v>
      </c>
      <c r="E3">
        <v>8595806</v>
      </c>
      <c r="F3">
        <v>1247</v>
      </c>
      <c r="G3" s="5">
        <v>0</v>
      </c>
      <c r="H3" s="5">
        <v>7035</v>
      </c>
      <c r="J3" s="5"/>
    </row>
    <row r="4" spans="1:10" x14ac:dyDescent="0.15">
      <c r="A4" s="1" t="s">
        <v>14</v>
      </c>
      <c r="B4">
        <v>0</v>
      </c>
      <c r="C4">
        <v>0</v>
      </c>
      <c r="D4">
        <v>0</v>
      </c>
      <c r="E4" s="11">
        <v>223</v>
      </c>
      <c r="F4">
        <v>0</v>
      </c>
      <c r="G4" s="5">
        <v>0</v>
      </c>
      <c r="H4" s="5">
        <v>0</v>
      </c>
    </row>
    <row r="5" spans="1:10" x14ac:dyDescent="0.15">
      <c r="A5" s="1" t="s">
        <v>15</v>
      </c>
      <c r="B5">
        <v>12036</v>
      </c>
      <c r="C5">
        <v>0</v>
      </c>
      <c r="D5">
        <v>0</v>
      </c>
      <c r="E5" s="5">
        <v>1322.2942767397917</v>
      </c>
      <c r="F5">
        <v>0</v>
      </c>
      <c r="G5" s="5">
        <v>0</v>
      </c>
      <c r="H5" s="5">
        <v>0</v>
      </c>
    </row>
    <row r="6" spans="1:10" x14ac:dyDescent="0.15">
      <c r="A6" s="1" t="s">
        <v>16</v>
      </c>
      <c r="B6">
        <v>0</v>
      </c>
      <c r="C6">
        <v>489</v>
      </c>
      <c r="D6">
        <v>0</v>
      </c>
      <c r="E6" s="5">
        <v>120509</v>
      </c>
      <c r="F6">
        <v>0</v>
      </c>
      <c r="G6" s="5">
        <v>0</v>
      </c>
      <c r="H6" s="5">
        <v>0</v>
      </c>
    </row>
    <row r="7" spans="1:10" x14ac:dyDescent="0.1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 s="5">
        <v>0</v>
      </c>
      <c r="H7" s="5">
        <v>0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0050-E300-413C-BD1D-9AA66E86F56C}">
  <dimension ref="A1:W57"/>
  <sheetViews>
    <sheetView topLeftCell="A23" workbookViewId="0">
      <selection activeCell="G52" sqref="G52"/>
    </sheetView>
    <sheetView workbookViewId="1">
      <selection sqref="A1:A3"/>
    </sheetView>
  </sheetViews>
  <sheetFormatPr defaultColWidth="9.25" defaultRowHeight="12.9" x14ac:dyDescent="0.15"/>
  <cols>
    <col min="1" max="1" width="12.375" style="39" customWidth="1"/>
    <col min="2" max="2" width="12.375" style="39" hidden="1" customWidth="1"/>
    <col min="3" max="3" width="13" style="39" hidden="1" customWidth="1"/>
    <col min="4" max="4" width="9.25" style="39" customWidth="1"/>
    <col min="5" max="5" width="20.875" style="39" customWidth="1"/>
    <col min="6" max="6" width="14" style="39" customWidth="1"/>
    <col min="7" max="7" width="35.625" style="39" customWidth="1"/>
    <col min="8" max="9" width="11.625" style="39" customWidth="1"/>
    <col min="10" max="10" width="17.375" style="39" customWidth="1"/>
    <col min="11" max="11" width="36.25" style="39" hidden="1" customWidth="1"/>
    <col min="12" max="12" width="19.375" style="39" customWidth="1"/>
    <col min="13" max="22" width="10.75" style="39" customWidth="1"/>
    <col min="23" max="16384" width="9.25" style="39"/>
  </cols>
  <sheetData>
    <row r="1" spans="1:23" x14ac:dyDescent="0.15">
      <c r="A1" s="92" t="s">
        <v>936</v>
      </c>
      <c r="B1" s="92" t="s">
        <v>937</v>
      </c>
      <c r="C1" s="92" t="s">
        <v>938</v>
      </c>
      <c r="D1" s="93" t="s">
        <v>939</v>
      </c>
      <c r="E1" s="92" t="s">
        <v>940</v>
      </c>
      <c r="F1" s="92" t="s">
        <v>941</v>
      </c>
      <c r="G1" s="92" t="s">
        <v>1035</v>
      </c>
      <c r="H1" s="92" t="s">
        <v>942</v>
      </c>
      <c r="I1" s="92"/>
      <c r="J1" s="92" t="s">
        <v>943</v>
      </c>
      <c r="K1" s="92" t="s">
        <v>944</v>
      </c>
      <c r="L1" s="92"/>
      <c r="M1" s="92" t="s">
        <v>945</v>
      </c>
      <c r="N1" s="92"/>
      <c r="O1" s="92"/>
      <c r="P1" s="92"/>
      <c r="Q1" s="92"/>
      <c r="R1" s="92"/>
      <c r="S1" s="92"/>
      <c r="T1" s="92"/>
      <c r="U1" s="92"/>
      <c r="V1" s="92"/>
    </row>
    <row r="2" spans="1:23" x14ac:dyDescent="0.15">
      <c r="A2" s="92"/>
      <c r="B2" s="92"/>
      <c r="C2" s="92"/>
      <c r="D2" s="93"/>
      <c r="E2" s="92"/>
      <c r="F2" s="92"/>
      <c r="G2" s="92"/>
      <c r="H2" s="37" t="s">
        <v>946</v>
      </c>
      <c r="I2" s="37" t="s">
        <v>947</v>
      </c>
      <c r="J2" s="92"/>
      <c r="K2" s="92"/>
      <c r="L2" s="92"/>
      <c r="M2" s="38" t="s">
        <v>948</v>
      </c>
      <c r="N2" s="38" t="s">
        <v>949</v>
      </c>
      <c r="O2" s="38" t="s">
        <v>950</v>
      </c>
      <c r="P2" s="38" t="s">
        <v>951</v>
      </c>
      <c r="Q2" s="38" t="s">
        <v>952</v>
      </c>
      <c r="R2" s="38" t="s">
        <v>953</v>
      </c>
      <c r="S2" s="38" t="s">
        <v>954</v>
      </c>
      <c r="T2" s="38" t="s">
        <v>955</v>
      </c>
      <c r="U2" s="38" t="s">
        <v>956</v>
      </c>
      <c r="V2" s="38" t="s">
        <v>957</v>
      </c>
    </row>
    <row r="3" spans="1:23" ht="36.700000000000003" x14ac:dyDescent="0.15">
      <c r="A3" s="92"/>
      <c r="B3" s="92"/>
      <c r="C3" s="92"/>
      <c r="D3" s="93"/>
      <c r="E3" s="92"/>
      <c r="F3" s="92"/>
      <c r="G3" s="92"/>
      <c r="H3" s="38" t="s">
        <v>958</v>
      </c>
      <c r="I3" s="38" t="s">
        <v>959</v>
      </c>
      <c r="J3" s="92"/>
      <c r="K3" s="92" t="s">
        <v>960</v>
      </c>
      <c r="L3" s="92"/>
      <c r="M3" s="40" t="s">
        <v>961</v>
      </c>
      <c r="N3" s="40" t="s">
        <v>962</v>
      </c>
      <c r="O3" s="40" t="s">
        <v>963</v>
      </c>
      <c r="P3" s="40" t="s">
        <v>964</v>
      </c>
      <c r="Q3" s="40" t="s">
        <v>965</v>
      </c>
      <c r="R3" s="40" t="s">
        <v>966</v>
      </c>
      <c r="S3" s="40" t="s">
        <v>967</v>
      </c>
      <c r="T3" s="40" t="s">
        <v>968</v>
      </c>
      <c r="U3" s="40" t="s">
        <v>969</v>
      </c>
      <c r="V3" s="40" t="s">
        <v>970</v>
      </c>
    </row>
    <row r="4" spans="1:23" s="44" customFormat="1" x14ac:dyDescent="0.15">
      <c r="A4" s="41" t="s">
        <v>971</v>
      </c>
      <c r="B4" s="41" t="s">
        <v>972</v>
      </c>
      <c r="C4" s="41" t="s">
        <v>973</v>
      </c>
      <c r="D4" s="41" t="s">
        <v>974</v>
      </c>
      <c r="E4" s="41" t="s">
        <v>975</v>
      </c>
      <c r="F4" s="41" t="s">
        <v>976</v>
      </c>
      <c r="G4" s="41" t="s">
        <v>1</v>
      </c>
      <c r="H4" s="42">
        <f>'[1]SYVbT-passenger'!$B$4</f>
        <v>0</v>
      </c>
      <c r="I4" s="42">
        <v>0</v>
      </c>
      <c r="J4" s="41" t="s">
        <v>977</v>
      </c>
      <c r="K4" s="41" t="s">
        <v>978</v>
      </c>
      <c r="L4" s="43" t="s">
        <v>979</v>
      </c>
      <c r="M4" s="37" t="s">
        <v>980</v>
      </c>
      <c r="N4" s="37"/>
      <c r="O4" s="37"/>
      <c r="P4" s="37"/>
      <c r="Q4" s="37"/>
      <c r="R4" s="37"/>
      <c r="S4" s="37"/>
      <c r="T4" s="37"/>
      <c r="U4" s="37"/>
      <c r="V4" s="37"/>
    </row>
    <row r="5" spans="1:23" s="46" customFormat="1" x14ac:dyDescent="0.15">
      <c r="A5" s="41" t="s">
        <v>971</v>
      </c>
      <c r="B5" s="41" t="s">
        <v>972</v>
      </c>
      <c r="C5" s="41" t="s">
        <v>981</v>
      </c>
      <c r="D5" s="41" t="s">
        <v>974</v>
      </c>
      <c r="E5" s="41" t="s">
        <v>975</v>
      </c>
      <c r="F5" s="41" t="s">
        <v>982</v>
      </c>
      <c r="G5" s="41" t="s">
        <v>4</v>
      </c>
      <c r="H5" s="42">
        <f>'[1]SYVbT-passenger'!$E$4</f>
        <v>3942</v>
      </c>
      <c r="I5" s="42">
        <v>223</v>
      </c>
      <c r="J5" s="41"/>
      <c r="K5" s="41" t="s">
        <v>983</v>
      </c>
      <c r="L5" s="43" t="s">
        <v>984</v>
      </c>
      <c r="M5" s="37"/>
      <c r="N5" s="37"/>
      <c r="O5" s="45" t="s">
        <v>985</v>
      </c>
      <c r="P5" s="37"/>
      <c r="Q5" s="37"/>
      <c r="R5" s="37"/>
      <c r="S5" s="37"/>
      <c r="T5" s="37"/>
      <c r="U5" s="37" t="s">
        <v>980</v>
      </c>
      <c r="V5" s="37"/>
      <c r="W5" s="46" t="s">
        <v>986</v>
      </c>
    </row>
    <row r="6" spans="1:23" s="46" customFormat="1" x14ac:dyDescent="0.15">
      <c r="A6" s="41" t="s">
        <v>971</v>
      </c>
      <c r="B6" s="41" t="s">
        <v>972</v>
      </c>
      <c r="C6" s="41" t="s">
        <v>987</v>
      </c>
      <c r="D6" s="41" t="s">
        <v>974</v>
      </c>
      <c r="E6" s="41" t="s">
        <v>975</v>
      </c>
      <c r="F6" s="41" t="s">
        <v>966</v>
      </c>
      <c r="G6" s="41" t="s">
        <v>126</v>
      </c>
      <c r="H6" s="42">
        <f>'[1]SYVbT-passenger'!$H$4</f>
        <v>0</v>
      </c>
      <c r="I6" s="42">
        <v>0</v>
      </c>
      <c r="J6" s="41" t="s">
        <v>977</v>
      </c>
      <c r="K6" s="41" t="s">
        <v>988</v>
      </c>
      <c r="L6" s="43" t="s">
        <v>989</v>
      </c>
      <c r="M6" s="37"/>
      <c r="N6" s="37"/>
      <c r="O6" s="37"/>
      <c r="P6" s="37"/>
      <c r="Q6" s="37"/>
      <c r="R6" s="37" t="s">
        <v>980</v>
      </c>
      <c r="S6" s="37"/>
      <c r="T6" s="37"/>
      <c r="U6" s="37"/>
      <c r="V6" s="37"/>
    </row>
    <row r="7" spans="1:23" s="46" customFormat="1" x14ac:dyDescent="0.15">
      <c r="A7" s="41" t="s">
        <v>971</v>
      </c>
      <c r="B7" s="41" t="s">
        <v>972</v>
      </c>
      <c r="C7" s="41" t="s">
        <v>990</v>
      </c>
      <c r="D7" s="41" t="s">
        <v>974</v>
      </c>
      <c r="E7" s="41" t="s">
        <v>975</v>
      </c>
      <c r="F7" s="41" t="s">
        <v>967</v>
      </c>
      <c r="G7" s="41" t="s">
        <v>967</v>
      </c>
      <c r="H7" s="42">
        <f>'[1]SYVbT-passenger'!$C$4</f>
        <v>0</v>
      </c>
      <c r="I7" s="42">
        <v>0</v>
      </c>
      <c r="J7" s="41" t="s">
        <v>977</v>
      </c>
      <c r="K7" s="41" t="s">
        <v>991</v>
      </c>
      <c r="L7" s="43" t="s">
        <v>992</v>
      </c>
      <c r="M7" s="37"/>
      <c r="N7" s="37"/>
      <c r="O7" s="37"/>
      <c r="P7" s="37"/>
      <c r="Q7" s="37"/>
      <c r="R7" s="37"/>
      <c r="S7" s="37" t="s">
        <v>980</v>
      </c>
      <c r="T7" s="37"/>
      <c r="U7" s="37"/>
      <c r="V7" s="37"/>
    </row>
    <row r="8" spans="1:23" s="46" customFormat="1" x14ac:dyDescent="0.15">
      <c r="A8" s="41" t="s">
        <v>971</v>
      </c>
      <c r="B8" s="41" t="s">
        <v>972</v>
      </c>
      <c r="C8" s="41" t="s">
        <v>993</v>
      </c>
      <c r="D8" s="41" t="s">
        <v>974</v>
      </c>
      <c r="E8" s="41" t="s">
        <v>975</v>
      </c>
      <c r="F8" s="41" t="s">
        <v>994</v>
      </c>
      <c r="G8" s="41" t="s">
        <v>3</v>
      </c>
      <c r="H8" s="42">
        <f>'[1]SYVbT-passenger'!$D$4</f>
        <v>0</v>
      </c>
      <c r="I8" s="42"/>
      <c r="J8" s="41" t="s">
        <v>995</v>
      </c>
      <c r="K8" s="41"/>
      <c r="L8" s="43" t="e">
        <v>#N/A</v>
      </c>
      <c r="M8" s="37"/>
      <c r="N8" s="37"/>
      <c r="O8" s="37"/>
      <c r="P8" s="37" t="s">
        <v>980</v>
      </c>
      <c r="Q8" s="37" t="s">
        <v>980</v>
      </c>
      <c r="R8" s="37"/>
      <c r="S8" s="37"/>
      <c r="T8" s="37"/>
      <c r="U8" s="37"/>
      <c r="V8" s="37"/>
    </row>
    <row r="9" spans="1:23" s="46" customFormat="1" x14ac:dyDescent="0.15">
      <c r="A9" s="47" t="s">
        <v>996</v>
      </c>
      <c r="B9" s="47" t="s">
        <v>997</v>
      </c>
      <c r="C9" s="47" t="s">
        <v>973</v>
      </c>
      <c r="D9" s="47" t="s">
        <v>13</v>
      </c>
      <c r="E9" s="47" t="s">
        <v>998</v>
      </c>
      <c r="F9" s="47" t="s">
        <v>976</v>
      </c>
      <c r="G9" s="47" t="s">
        <v>1</v>
      </c>
      <c r="H9" s="48"/>
      <c r="I9" s="48">
        <v>75142</v>
      </c>
      <c r="J9" s="47"/>
      <c r="K9" s="47" t="s">
        <v>978</v>
      </c>
      <c r="L9" s="43" t="s">
        <v>979</v>
      </c>
      <c r="M9" s="37" t="s">
        <v>980</v>
      </c>
      <c r="N9" s="37"/>
      <c r="O9" s="37"/>
      <c r="P9" s="37"/>
      <c r="Q9" s="37"/>
      <c r="R9" s="37"/>
      <c r="S9" s="37"/>
      <c r="T9" s="37"/>
      <c r="U9" s="37"/>
      <c r="V9" s="37"/>
    </row>
    <row r="10" spans="1:23" s="46" customFormat="1" x14ac:dyDescent="0.15">
      <c r="A10" s="47" t="s">
        <v>996</v>
      </c>
      <c r="B10" s="47" t="s">
        <v>997</v>
      </c>
      <c r="C10" s="47" t="s">
        <v>981</v>
      </c>
      <c r="D10" s="47" t="s">
        <v>13</v>
      </c>
      <c r="E10" s="47" t="s">
        <v>998</v>
      </c>
      <c r="F10" s="47" t="s">
        <v>982</v>
      </c>
      <c r="G10" s="47" t="s">
        <v>4</v>
      </c>
      <c r="H10" s="48"/>
      <c r="I10" s="48">
        <v>9266883</v>
      </c>
      <c r="J10" s="47"/>
      <c r="K10" s="47" t="s">
        <v>999</v>
      </c>
      <c r="L10" s="43" t="s">
        <v>1000</v>
      </c>
      <c r="M10" s="37"/>
      <c r="N10" s="37" t="s">
        <v>980</v>
      </c>
      <c r="O10" s="45" t="s">
        <v>985</v>
      </c>
      <c r="P10" s="37"/>
      <c r="Q10" s="37"/>
      <c r="R10" s="37"/>
      <c r="S10" s="37"/>
      <c r="T10" s="37"/>
      <c r="U10" s="37"/>
      <c r="V10" s="37"/>
    </row>
    <row r="11" spans="1:23" s="46" customFormat="1" x14ac:dyDescent="0.15">
      <c r="A11" s="47" t="s">
        <v>996</v>
      </c>
      <c r="B11" s="47" t="s">
        <v>997</v>
      </c>
      <c r="C11" s="47" t="s">
        <v>993</v>
      </c>
      <c r="D11" s="47" t="s">
        <v>13</v>
      </c>
      <c r="E11" s="47" t="s">
        <v>998</v>
      </c>
      <c r="F11" s="47" t="s">
        <v>994</v>
      </c>
      <c r="G11" s="47" t="s">
        <v>3</v>
      </c>
      <c r="H11" s="48"/>
      <c r="I11" s="48">
        <v>0</v>
      </c>
      <c r="J11" s="47" t="s">
        <v>995</v>
      </c>
      <c r="K11" s="47" t="s">
        <v>1001</v>
      </c>
      <c r="L11" s="43" t="s">
        <v>1002</v>
      </c>
      <c r="M11" s="37"/>
      <c r="N11" s="37"/>
      <c r="O11" s="37"/>
      <c r="P11" s="37" t="s">
        <v>980</v>
      </c>
      <c r="Q11" s="45" t="s">
        <v>1003</v>
      </c>
      <c r="R11" s="37"/>
      <c r="S11" s="37"/>
      <c r="T11" s="37"/>
      <c r="U11" s="37"/>
      <c r="V11" s="37"/>
    </row>
    <row r="12" spans="1:23" s="49" customFormat="1" x14ac:dyDescent="0.15">
      <c r="A12" s="47" t="s">
        <v>996</v>
      </c>
      <c r="B12" s="47" t="s">
        <v>997</v>
      </c>
      <c r="C12" s="47" t="s">
        <v>987</v>
      </c>
      <c r="D12" s="47" t="s">
        <v>13</v>
      </c>
      <c r="E12" s="47" t="s">
        <v>998</v>
      </c>
      <c r="F12" s="47" t="s">
        <v>966</v>
      </c>
      <c r="G12" s="47" t="s">
        <v>126</v>
      </c>
      <c r="H12" s="48"/>
      <c r="I12" s="48">
        <v>7583</v>
      </c>
      <c r="J12" s="47"/>
      <c r="K12" s="47" t="s">
        <v>988</v>
      </c>
      <c r="L12" s="43" t="s">
        <v>989</v>
      </c>
      <c r="M12" s="37"/>
      <c r="N12" s="37"/>
      <c r="O12" s="37"/>
      <c r="P12" s="37"/>
      <c r="Q12" s="37"/>
      <c r="R12" s="37" t="s">
        <v>980</v>
      </c>
      <c r="S12" s="37"/>
      <c r="T12" s="37"/>
      <c r="U12" s="37"/>
      <c r="V12" s="37"/>
    </row>
    <row r="13" spans="1:23" s="44" customFormat="1" x14ac:dyDescent="0.15">
      <c r="A13" s="47" t="s">
        <v>996</v>
      </c>
      <c r="B13" s="47" t="s">
        <v>997</v>
      </c>
      <c r="C13" s="47" t="s">
        <v>955</v>
      </c>
      <c r="D13" s="47" t="s">
        <v>13</v>
      </c>
      <c r="E13" s="47" t="s">
        <v>998</v>
      </c>
      <c r="F13" s="47" t="s">
        <v>1004</v>
      </c>
      <c r="G13" s="47" t="s">
        <v>125</v>
      </c>
      <c r="H13" s="48"/>
      <c r="I13" s="48">
        <v>0</v>
      </c>
      <c r="J13" s="47" t="s">
        <v>995</v>
      </c>
      <c r="K13" s="47" t="s">
        <v>1005</v>
      </c>
      <c r="L13" s="43" t="s">
        <v>1005</v>
      </c>
      <c r="M13" s="37"/>
      <c r="N13" s="37"/>
      <c r="O13" s="37"/>
      <c r="P13" s="37"/>
      <c r="Q13" s="37"/>
      <c r="R13" s="37"/>
      <c r="S13" s="37"/>
      <c r="T13" s="37" t="s">
        <v>980</v>
      </c>
      <c r="U13" s="37"/>
      <c r="V13" s="37"/>
    </row>
    <row r="14" spans="1:23" s="49" customFormat="1" x14ac:dyDescent="0.15">
      <c r="A14" s="47" t="s">
        <v>996</v>
      </c>
      <c r="B14" s="47" t="s">
        <v>997</v>
      </c>
      <c r="C14" s="47" t="s">
        <v>990</v>
      </c>
      <c r="D14" s="47" t="s">
        <v>13</v>
      </c>
      <c r="E14" s="47" t="s">
        <v>998</v>
      </c>
      <c r="F14" s="47" t="s">
        <v>967</v>
      </c>
      <c r="G14" s="47" t="s">
        <v>967</v>
      </c>
      <c r="H14" s="48"/>
      <c r="I14" s="48">
        <v>454791</v>
      </c>
      <c r="J14" s="47"/>
      <c r="K14" s="47" t="s">
        <v>991</v>
      </c>
      <c r="L14" s="43" t="s">
        <v>992</v>
      </c>
      <c r="M14" s="37"/>
      <c r="N14" s="37"/>
      <c r="O14" s="37"/>
      <c r="P14" s="37"/>
      <c r="Q14" s="37"/>
      <c r="R14" s="37"/>
      <c r="S14" s="37" t="s">
        <v>980</v>
      </c>
      <c r="T14" s="37"/>
      <c r="U14" s="37"/>
      <c r="V14" s="37"/>
    </row>
    <row r="15" spans="1:23" s="49" customFormat="1" x14ac:dyDescent="0.15">
      <c r="A15" s="47" t="s">
        <v>996</v>
      </c>
      <c r="B15" s="47" t="s">
        <v>997</v>
      </c>
      <c r="C15" s="47" t="s">
        <v>1006</v>
      </c>
      <c r="D15" s="47" t="s">
        <v>13</v>
      </c>
      <c r="E15" s="47" t="s">
        <v>998</v>
      </c>
      <c r="F15" s="47" t="s">
        <v>1007</v>
      </c>
      <c r="G15" s="47" t="s">
        <v>5</v>
      </c>
      <c r="H15" s="48"/>
      <c r="I15" s="48">
        <v>0</v>
      </c>
      <c r="J15" s="47" t="s">
        <v>1008</v>
      </c>
      <c r="K15" s="47" t="s">
        <v>1009</v>
      </c>
      <c r="L15" s="50" t="s">
        <v>1010</v>
      </c>
      <c r="M15" s="45" t="s">
        <v>980</v>
      </c>
      <c r="N15" s="37" t="s">
        <v>980</v>
      </c>
      <c r="O15" s="45" t="s">
        <v>985</v>
      </c>
      <c r="P15" s="37"/>
      <c r="Q15" s="37"/>
      <c r="R15" s="37"/>
      <c r="S15" s="37"/>
      <c r="T15" s="37"/>
      <c r="U15" s="37"/>
      <c r="V15" s="37"/>
    </row>
    <row r="16" spans="1:23" s="49" customFormat="1" x14ac:dyDescent="0.15">
      <c r="A16" s="47" t="s">
        <v>996</v>
      </c>
      <c r="B16" s="47" t="s">
        <v>1011</v>
      </c>
      <c r="C16" s="47" t="s">
        <v>973</v>
      </c>
      <c r="D16" s="47" t="s">
        <v>13</v>
      </c>
      <c r="E16" s="47" t="s">
        <v>1012</v>
      </c>
      <c r="F16" s="47" t="s">
        <v>976</v>
      </c>
      <c r="G16" s="47" t="s">
        <v>1</v>
      </c>
      <c r="H16" s="48">
        <v>548448</v>
      </c>
      <c r="I16" s="48"/>
      <c r="J16" s="47"/>
      <c r="K16" s="47" t="s">
        <v>978</v>
      </c>
      <c r="L16" s="43" t="s">
        <v>979</v>
      </c>
      <c r="M16" s="37" t="s">
        <v>980</v>
      </c>
      <c r="N16" s="37"/>
      <c r="O16" s="37"/>
      <c r="P16" s="37"/>
      <c r="Q16" s="37"/>
      <c r="R16" s="37"/>
      <c r="S16" s="37"/>
      <c r="T16" s="37"/>
      <c r="U16" s="37"/>
      <c r="V16" s="37"/>
    </row>
    <row r="17" spans="1:22" s="49" customFormat="1" x14ac:dyDescent="0.15">
      <c r="A17" s="47" t="s">
        <v>996</v>
      </c>
      <c r="B17" s="47" t="s">
        <v>1011</v>
      </c>
      <c r="C17" s="47" t="s">
        <v>981</v>
      </c>
      <c r="D17" s="47" t="s">
        <v>13</v>
      </c>
      <c r="E17" s="47" t="s">
        <v>1012</v>
      </c>
      <c r="F17" s="47" t="s">
        <v>982</v>
      </c>
      <c r="G17" s="47" t="s">
        <v>4</v>
      </c>
      <c r="H17" s="48">
        <v>901359</v>
      </c>
      <c r="I17" s="48"/>
      <c r="J17" s="47"/>
      <c r="K17" s="47" t="s">
        <v>999</v>
      </c>
      <c r="L17" s="43" t="s">
        <v>1000</v>
      </c>
      <c r="M17" s="37"/>
      <c r="N17" s="37" t="s">
        <v>980</v>
      </c>
      <c r="O17" s="45" t="s">
        <v>985</v>
      </c>
      <c r="P17" s="37"/>
      <c r="Q17" s="37"/>
      <c r="R17" s="37"/>
      <c r="S17" s="37"/>
      <c r="T17" s="37"/>
      <c r="U17" s="37"/>
      <c r="V17" s="37"/>
    </row>
    <row r="18" spans="1:22" s="49" customFormat="1" x14ac:dyDescent="0.15">
      <c r="A18" s="47" t="s">
        <v>996</v>
      </c>
      <c r="B18" s="47" t="s">
        <v>1011</v>
      </c>
      <c r="C18" s="47" t="s">
        <v>993</v>
      </c>
      <c r="D18" s="47" t="s">
        <v>13</v>
      </c>
      <c r="E18" s="47" t="s">
        <v>1012</v>
      </c>
      <c r="F18" s="47" t="s">
        <v>994</v>
      </c>
      <c r="G18" s="47" t="s">
        <v>3</v>
      </c>
      <c r="H18" s="48">
        <v>631888</v>
      </c>
      <c r="I18" s="48"/>
      <c r="J18" s="47"/>
      <c r="K18" s="47" t="s">
        <v>1001</v>
      </c>
      <c r="L18" s="43" t="s">
        <v>1002</v>
      </c>
      <c r="M18" s="37"/>
      <c r="N18" s="37"/>
      <c r="O18" s="37"/>
      <c r="P18" s="37" t="s">
        <v>980</v>
      </c>
      <c r="Q18" s="45" t="s">
        <v>1003</v>
      </c>
      <c r="R18" s="37"/>
      <c r="S18" s="37"/>
      <c r="T18" s="37"/>
      <c r="U18" s="37"/>
      <c r="V18" s="37"/>
    </row>
    <row r="19" spans="1:22" s="49" customFormat="1" x14ac:dyDescent="0.15">
      <c r="A19" s="47" t="s">
        <v>996</v>
      </c>
      <c r="B19" s="47" t="s">
        <v>1011</v>
      </c>
      <c r="C19" s="47" t="s">
        <v>987</v>
      </c>
      <c r="D19" s="47" t="s">
        <v>13</v>
      </c>
      <c r="E19" s="47" t="s">
        <v>1012</v>
      </c>
      <c r="F19" s="47" t="s">
        <v>966</v>
      </c>
      <c r="G19" s="47" t="s">
        <v>126</v>
      </c>
      <c r="H19" s="48">
        <v>5415</v>
      </c>
      <c r="I19" s="48"/>
      <c r="J19" s="47"/>
      <c r="K19" s="47" t="s">
        <v>988</v>
      </c>
      <c r="L19" s="43" t="s">
        <v>989</v>
      </c>
      <c r="M19" s="37"/>
      <c r="N19" s="37"/>
      <c r="O19" s="37"/>
      <c r="P19" s="37"/>
      <c r="Q19" s="37"/>
      <c r="R19" s="37" t="s">
        <v>980</v>
      </c>
      <c r="S19" s="37"/>
      <c r="T19" s="37"/>
      <c r="U19" s="37"/>
      <c r="V19" s="37"/>
    </row>
    <row r="20" spans="1:22" s="49" customFormat="1" x14ac:dyDescent="0.15">
      <c r="A20" s="47" t="s">
        <v>996</v>
      </c>
      <c r="B20" s="47" t="s">
        <v>1011</v>
      </c>
      <c r="C20" s="47" t="s">
        <v>955</v>
      </c>
      <c r="D20" s="47" t="s">
        <v>13</v>
      </c>
      <c r="E20" s="47" t="s">
        <v>1012</v>
      </c>
      <c r="F20" s="47" t="s">
        <v>1004</v>
      </c>
      <c r="G20" s="47" t="s">
        <v>125</v>
      </c>
      <c r="H20" s="48">
        <v>0</v>
      </c>
      <c r="I20" s="48"/>
      <c r="J20" s="50" t="s">
        <v>1013</v>
      </c>
      <c r="K20" s="47" t="s">
        <v>1005</v>
      </c>
      <c r="L20" s="43" t="s">
        <v>1005</v>
      </c>
      <c r="M20" s="37"/>
      <c r="N20" s="37"/>
      <c r="O20" s="37"/>
      <c r="P20" s="37"/>
      <c r="Q20" s="37"/>
      <c r="R20" s="37"/>
      <c r="S20" s="37"/>
      <c r="T20" s="37" t="s">
        <v>980</v>
      </c>
      <c r="U20" s="37"/>
      <c r="V20" s="37"/>
    </row>
    <row r="21" spans="1:22" s="51" customFormat="1" x14ac:dyDescent="0.15">
      <c r="A21" s="47" t="s">
        <v>996</v>
      </c>
      <c r="B21" s="47" t="s">
        <v>1011</v>
      </c>
      <c r="C21" s="47" t="s">
        <v>990</v>
      </c>
      <c r="D21" s="47" t="s">
        <v>13</v>
      </c>
      <c r="E21" s="47" t="s">
        <v>1012</v>
      </c>
      <c r="F21" s="47" t="s">
        <v>967</v>
      </c>
      <c r="G21" s="47" t="s">
        <v>967</v>
      </c>
      <c r="H21" s="48">
        <v>7690</v>
      </c>
      <c r="I21" s="48"/>
      <c r="J21" s="47"/>
      <c r="K21" s="47" t="s">
        <v>991</v>
      </c>
      <c r="L21" s="43" t="s">
        <v>992</v>
      </c>
      <c r="M21" s="37"/>
      <c r="N21" s="37"/>
      <c r="O21" s="37"/>
      <c r="P21" s="37"/>
      <c r="Q21" s="37"/>
      <c r="R21" s="37"/>
      <c r="S21" s="37" t="s">
        <v>980</v>
      </c>
      <c r="T21" s="37"/>
      <c r="U21" s="37"/>
      <c r="V21" s="37"/>
    </row>
    <row r="22" spans="1:22" s="51" customFormat="1" x14ac:dyDescent="0.15">
      <c r="A22" s="47" t="s">
        <v>996</v>
      </c>
      <c r="B22" s="47" t="s">
        <v>1011</v>
      </c>
      <c r="C22" s="47" t="s">
        <v>1006</v>
      </c>
      <c r="D22" s="47" t="s">
        <v>13</v>
      </c>
      <c r="E22" s="47" t="s">
        <v>1012</v>
      </c>
      <c r="F22" s="47" t="s">
        <v>1007</v>
      </c>
      <c r="G22" s="47" t="s">
        <v>5</v>
      </c>
      <c r="H22" s="48">
        <v>0</v>
      </c>
      <c r="I22" s="48"/>
      <c r="J22" s="47"/>
      <c r="K22" s="47" t="s">
        <v>1009</v>
      </c>
      <c r="L22" s="50" t="s">
        <v>1010</v>
      </c>
      <c r="M22" s="45" t="s">
        <v>980</v>
      </c>
      <c r="N22" s="37" t="s">
        <v>980</v>
      </c>
      <c r="O22" s="45" t="s">
        <v>985</v>
      </c>
      <c r="P22" s="37"/>
      <c r="Q22" s="37"/>
      <c r="R22" s="37"/>
      <c r="S22" s="37"/>
      <c r="T22" s="37"/>
      <c r="U22" s="37"/>
      <c r="V22" s="37"/>
    </row>
    <row r="23" spans="1:22" s="51" customFormat="1" x14ac:dyDescent="0.15">
      <c r="A23" s="52" t="s">
        <v>1014</v>
      </c>
      <c r="B23" s="52" t="s">
        <v>972</v>
      </c>
      <c r="C23" s="52" t="s">
        <v>973</v>
      </c>
      <c r="D23" s="52" t="s">
        <v>12</v>
      </c>
      <c r="E23" s="52" t="s">
        <v>975</v>
      </c>
      <c r="F23" s="52" t="s">
        <v>976</v>
      </c>
      <c r="G23" s="52" t="s">
        <v>1</v>
      </c>
      <c r="H23" s="53">
        <v>9632952</v>
      </c>
      <c r="I23" s="53">
        <v>300978</v>
      </c>
      <c r="J23" s="52"/>
      <c r="K23" s="52" t="s">
        <v>978</v>
      </c>
      <c r="L23" s="43" t="s">
        <v>979</v>
      </c>
      <c r="M23" s="37" t="s">
        <v>980</v>
      </c>
      <c r="N23" s="37"/>
      <c r="O23" s="37"/>
      <c r="P23" s="37"/>
      <c r="Q23" s="37"/>
      <c r="R23" s="37"/>
      <c r="S23" s="37"/>
      <c r="T23" s="37"/>
      <c r="U23" s="37"/>
      <c r="V23" s="37"/>
    </row>
    <row r="24" spans="1:22" s="51" customFormat="1" x14ac:dyDescent="0.15">
      <c r="A24" s="52" t="s">
        <v>1014</v>
      </c>
      <c r="B24" s="52" t="s">
        <v>972</v>
      </c>
      <c r="C24" s="52" t="s">
        <v>981</v>
      </c>
      <c r="D24" s="52" t="s">
        <v>12</v>
      </c>
      <c r="E24" s="52" t="s">
        <v>975</v>
      </c>
      <c r="F24" s="52" t="s">
        <v>982</v>
      </c>
      <c r="G24" s="52" t="s">
        <v>4</v>
      </c>
      <c r="H24" s="53">
        <v>4009993</v>
      </c>
      <c r="I24" s="53">
        <v>9266883</v>
      </c>
      <c r="J24" s="52"/>
      <c r="K24" s="52" t="s">
        <v>999</v>
      </c>
      <c r="L24" s="43" t="s">
        <v>1000</v>
      </c>
      <c r="M24" s="37"/>
      <c r="N24" s="37" t="s">
        <v>980</v>
      </c>
      <c r="O24" s="45" t="s">
        <v>985</v>
      </c>
      <c r="P24" s="37"/>
      <c r="Q24" s="37"/>
      <c r="R24" s="37"/>
      <c r="S24" s="37"/>
      <c r="T24" s="37"/>
      <c r="U24" s="37"/>
      <c r="V24" s="37"/>
    </row>
    <row r="25" spans="1:22" s="51" customFormat="1" x14ac:dyDescent="0.15">
      <c r="A25" s="52" t="s">
        <v>1014</v>
      </c>
      <c r="B25" s="52" t="s">
        <v>972</v>
      </c>
      <c r="C25" s="52" t="s">
        <v>993</v>
      </c>
      <c r="D25" s="52" t="s">
        <v>12</v>
      </c>
      <c r="E25" s="52" t="s">
        <v>975</v>
      </c>
      <c r="F25" s="52" t="s">
        <v>994</v>
      </c>
      <c r="G25" s="52" t="s">
        <v>3</v>
      </c>
      <c r="H25" s="53">
        <v>261344177</v>
      </c>
      <c r="I25" s="53">
        <v>13054425</v>
      </c>
      <c r="J25" s="52"/>
      <c r="K25" s="52" t="s">
        <v>1001</v>
      </c>
      <c r="L25" s="43" t="s">
        <v>1002</v>
      </c>
      <c r="M25" s="37"/>
      <c r="N25" s="37"/>
      <c r="O25" s="37"/>
      <c r="P25" s="37" t="s">
        <v>980</v>
      </c>
      <c r="Q25" s="45" t="s">
        <v>1003</v>
      </c>
      <c r="R25" s="37"/>
      <c r="S25" s="37"/>
      <c r="T25" s="37"/>
      <c r="U25" s="37"/>
      <c r="V25" s="37"/>
    </row>
    <row r="26" spans="1:22" s="51" customFormat="1" x14ac:dyDescent="0.15">
      <c r="A26" s="52" t="s">
        <v>1014</v>
      </c>
      <c r="B26" s="52" t="s">
        <v>972</v>
      </c>
      <c r="C26" s="52" t="s">
        <v>987</v>
      </c>
      <c r="D26" s="52" t="s">
        <v>12</v>
      </c>
      <c r="E26" s="52" t="s">
        <v>975</v>
      </c>
      <c r="F26" s="52" t="s">
        <v>966</v>
      </c>
      <c r="G26" s="52" t="s">
        <v>126</v>
      </c>
      <c r="H26" s="53">
        <v>331</v>
      </c>
      <c r="I26" s="53">
        <v>812</v>
      </c>
      <c r="J26" s="52"/>
      <c r="K26" s="52" t="s">
        <v>988</v>
      </c>
      <c r="L26" s="43" t="s">
        <v>989</v>
      </c>
      <c r="M26" s="37"/>
      <c r="N26" s="37"/>
      <c r="O26" s="37"/>
      <c r="P26" s="37"/>
      <c r="Q26" s="37"/>
      <c r="R26" s="37" t="s">
        <v>980</v>
      </c>
      <c r="S26" s="37"/>
      <c r="T26" s="37"/>
      <c r="U26" s="37"/>
      <c r="V26" s="37"/>
    </row>
    <row r="27" spans="1:22" s="51" customFormat="1" x14ac:dyDescent="0.15">
      <c r="A27" s="52" t="s">
        <v>1014</v>
      </c>
      <c r="B27" s="52" t="s">
        <v>972</v>
      </c>
      <c r="C27" s="52" t="s">
        <v>955</v>
      </c>
      <c r="D27" s="52" t="s">
        <v>12</v>
      </c>
      <c r="E27" s="52" t="s">
        <v>975</v>
      </c>
      <c r="F27" s="52" t="s">
        <v>1004</v>
      </c>
      <c r="G27" s="52" t="s">
        <v>125</v>
      </c>
      <c r="H27" s="53">
        <v>3345</v>
      </c>
      <c r="I27" s="53">
        <v>0</v>
      </c>
      <c r="J27" s="52" t="s">
        <v>1015</v>
      </c>
      <c r="K27" s="52" t="s">
        <v>1005</v>
      </c>
      <c r="L27" s="43" t="s">
        <v>1005</v>
      </c>
      <c r="M27" s="37"/>
      <c r="N27" s="37"/>
      <c r="O27" s="37"/>
      <c r="P27" s="37"/>
      <c r="Q27" s="37"/>
      <c r="R27" s="37"/>
      <c r="S27" s="37"/>
      <c r="T27" s="37" t="s">
        <v>980</v>
      </c>
      <c r="U27" s="37"/>
      <c r="V27" s="37"/>
    </row>
    <row r="28" spans="1:22" s="51" customFormat="1" x14ac:dyDescent="0.15">
      <c r="A28" s="52" t="s">
        <v>1014</v>
      </c>
      <c r="B28" s="52" t="s">
        <v>972</v>
      </c>
      <c r="C28" s="52" t="s">
        <v>990</v>
      </c>
      <c r="D28" s="52" t="s">
        <v>12</v>
      </c>
      <c r="E28" s="52" t="s">
        <v>975</v>
      </c>
      <c r="F28" s="52" t="s">
        <v>967</v>
      </c>
      <c r="G28" s="52" t="s">
        <v>967</v>
      </c>
      <c r="H28" s="53">
        <v>69802</v>
      </c>
      <c r="I28" s="53">
        <v>69719</v>
      </c>
      <c r="J28" s="52"/>
      <c r="K28" s="52" t="s">
        <v>991</v>
      </c>
      <c r="L28" s="43" t="s">
        <v>992</v>
      </c>
      <c r="M28" s="37"/>
      <c r="N28" s="37"/>
      <c r="O28" s="37"/>
      <c r="P28" s="37"/>
      <c r="Q28" s="37"/>
      <c r="R28" s="37"/>
      <c r="S28" s="37" t="s">
        <v>980</v>
      </c>
      <c r="T28" s="37"/>
      <c r="U28" s="37"/>
      <c r="V28" s="37"/>
    </row>
    <row r="29" spans="1:22" s="51" customFormat="1" x14ac:dyDescent="0.15">
      <c r="A29" s="52" t="s">
        <v>1014</v>
      </c>
      <c r="B29" s="52" t="s">
        <v>972</v>
      </c>
      <c r="C29" s="52" t="s">
        <v>1006</v>
      </c>
      <c r="D29" s="52" t="s">
        <v>12</v>
      </c>
      <c r="E29" s="52" t="s">
        <v>975</v>
      </c>
      <c r="F29" s="52" t="s">
        <v>1007</v>
      </c>
      <c r="G29" s="52" t="s">
        <v>5</v>
      </c>
      <c r="H29" s="53">
        <v>0</v>
      </c>
      <c r="I29" s="53">
        <v>3070</v>
      </c>
      <c r="J29" s="52"/>
      <c r="K29" s="52" t="s">
        <v>1016</v>
      </c>
      <c r="L29" s="50" t="s">
        <v>1017</v>
      </c>
      <c r="M29" s="45" t="s">
        <v>980</v>
      </c>
      <c r="N29" s="37"/>
      <c r="O29" s="37"/>
      <c r="P29" s="37" t="s">
        <v>980</v>
      </c>
      <c r="Q29" s="45" t="s">
        <v>1003</v>
      </c>
      <c r="R29" s="37"/>
      <c r="S29" s="37"/>
      <c r="T29" s="37"/>
      <c r="U29" s="37"/>
      <c r="V29" s="37"/>
    </row>
    <row r="30" spans="1:22" s="51" customFormat="1" x14ac:dyDescent="0.15">
      <c r="A30" s="54" t="s">
        <v>1018</v>
      </c>
      <c r="B30" s="55" t="s">
        <v>997</v>
      </c>
      <c r="C30" s="54" t="s">
        <v>1019</v>
      </c>
      <c r="D30" s="54" t="s">
        <v>1020</v>
      </c>
      <c r="E30" s="55" t="s">
        <v>998</v>
      </c>
      <c r="F30" s="54" t="s">
        <v>1021</v>
      </c>
      <c r="G30" s="54" t="s">
        <v>3</v>
      </c>
      <c r="H30" s="56">
        <v>0</v>
      </c>
      <c r="I30" s="56"/>
      <c r="J30" s="54" t="s">
        <v>1022</v>
      </c>
      <c r="K30" s="54" t="s">
        <v>1001</v>
      </c>
      <c r="L30" s="43" t="s">
        <v>1002</v>
      </c>
      <c r="M30" s="37"/>
      <c r="N30" s="37"/>
      <c r="O30" s="37"/>
      <c r="P30" s="37" t="s">
        <v>980</v>
      </c>
      <c r="Q30" s="37" t="s">
        <v>1003</v>
      </c>
      <c r="R30" s="37"/>
      <c r="S30" s="37"/>
      <c r="T30" s="37"/>
      <c r="U30" s="37"/>
      <c r="V30" s="37"/>
    </row>
    <row r="31" spans="1:22" s="57" customFormat="1" x14ac:dyDescent="0.15">
      <c r="A31" s="54" t="s">
        <v>1018</v>
      </c>
      <c r="B31" s="54" t="s">
        <v>1011</v>
      </c>
      <c r="C31" s="54" t="s">
        <v>973</v>
      </c>
      <c r="D31" s="54" t="s">
        <v>1020</v>
      </c>
      <c r="E31" s="54" t="s">
        <v>1012</v>
      </c>
      <c r="F31" s="54" t="s">
        <v>976</v>
      </c>
      <c r="G31" s="54" t="s">
        <v>1</v>
      </c>
      <c r="H31" s="56"/>
      <c r="I31" s="56"/>
      <c r="J31" s="50" t="s">
        <v>1023</v>
      </c>
      <c r="K31" s="54" t="s">
        <v>978</v>
      </c>
      <c r="L31" s="43" t="s">
        <v>979</v>
      </c>
      <c r="M31" s="37" t="s">
        <v>980</v>
      </c>
      <c r="N31" s="37"/>
      <c r="O31" s="37"/>
      <c r="P31" s="37"/>
      <c r="Q31" s="37"/>
      <c r="R31" s="37"/>
      <c r="S31" s="37"/>
      <c r="T31" s="37"/>
      <c r="U31" s="37"/>
      <c r="V31" s="37"/>
    </row>
    <row r="32" spans="1:22" s="57" customFormat="1" x14ac:dyDescent="0.15">
      <c r="A32" s="54" t="s">
        <v>1018</v>
      </c>
      <c r="B32" s="54" t="s">
        <v>1011</v>
      </c>
      <c r="C32" s="54" t="s">
        <v>981</v>
      </c>
      <c r="D32" s="54" t="s">
        <v>1020</v>
      </c>
      <c r="E32" s="54" t="s">
        <v>1012</v>
      </c>
      <c r="F32" s="54" t="s">
        <v>982</v>
      </c>
      <c r="G32" s="54" t="s">
        <v>4</v>
      </c>
      <c r="H32" s="56"/>
      <c r="I32" s="56"/>
      <c r="J32" s="54" t="s">
        <v>1024</v>
      </c>
      <c r="K32" s="54" t="s">
        <v>999</v>
      </c>
      <c r="L32" s="43" t="s">
        <v>1000</v>
      </c>
      <c r="M32" s="37"/>
      <c r="N32" s="37" t="s">
        <v>980</v>
      </c>
      <c r="O32" s="37" t="s">
        <v>985</v>
      </c>
      <c r="P32" s="37"/>
      <c r="Q32" s="37"/>
      <c r="R32" s="37"/>
      <c r="S32" s="37"/>
      <c r="T32" s="37"/>
      <c r="U32" s="37"/>
      <c r="V32" s="37"/>
    </row>
    <row r="33" spans="1:22" s="57" customFormat="1" x14ac:dyDescent="0.15">
      <c r="A33" s="54" t="s">
        <v>1018</v>
      </c>
      <c r="B33" s="54" t="s">
        <v>1011</v>
      </c>
      <c r="C33" s="54" t="s">
        <v>993</v>
      </c>
      <c r="D33" s="54" t="s">
        <v>1020</v>
      </c>
      <c r="E33" s="54" t="s">
        <v>1012</v>
      </c>
      <c r="F33" s="54" t="s">
        <v>994</v>
      </c>
      <c r="G33" s="54" t="s">
        <v>3</v>
      </c>
      <c r="H33" s="56">
        <v>80720000</v>
      </c>
      <c r="I33" s="56"/>
      <c r="J33" s="54"/>
      <c r="K33" s="54" t="s">
        <v>1001</v>
      </c>
      <c r="L33" s="43" t="s">
        <v>1002</v>
      </c>
      <c r="M33" s="37"/>
      <c r="N33" s="37"/>
      <c r="O33" s="37"/>
      <c r="P33" s="37" t="s">
        <v>980</v>
      </c>
      <c r="Q33" s="45" t="s">
        <v>1003</v>
      </c>
      <c r="R33" s="37"/>
      <c r="S33" s="37"/>
      <c r="T33" s="37"/>
      <c r="U33" s="37"/>
      <c r="V33" s="37"/>
    </row>
    <row r="34" spans="1:22" s="57" customFormat="1" x14ac:dyDescent="0.15">
      <c r="A34" s="54" t="s">
        <v>1018</v>
      </c>
      <c r="B34" s="54" t="s">
        <v>1011</v>
      </c>
      <c r="C34" s="54" t="s">
        <v>987</v>
      </c>
      <c r="D34" s="54" t="s">
        <v>1020</v>
      </c>
      <c r="E34" s="54" t="s">
        <v>1012</v>
      </c>
      <c r="F34" s="54" t="s">
        <v>966</v>
      </c>
      <c r="G34" s="54" t="s">
        <v>126</v>
      </c>
      <c r="H34" s="56"/>
      <c r="I34" s="56"/>
      <c r="J34" s="54" t="s">
        <v>1025</v>
      </c>
      <c r="K34" s="54" t="s">
        <v>988</v>
      </c>
      <c r="L34" s="43" t="s">
        <v>989</v>
      </c>
      <c r="M34" s="37"/>
      <c r="N34" s="37"/>
      <c r="O34" s="37"/>
      <c r="P34" s="37"/>
      <c r="Q34" s="37"/>
      <c r="R34" s="37" t="s">
        <v>980</v>
      </c>
      <c r="S34" s="37"/>
      <c r="T34" s="37"/>
      <c r="U34" s="37"/>
      <c r="V34" s="37"/>
    </row>
    <row r="35" spans="1:22" s="57" customFormat="1" x14ac:dyDescent="0.15">
      <c r="A35" s="54" t="s">
        <v>1018</v>
      </c>
      <c r="B35" s="54" t="s">
        <v>1011</v>
      </c>
      <c r="C35" s="54" t="s">
        <v>955</v>
      </c>
      <c r="D35" s="54" t="s">
        <v>1020</v>
      </c>
      <c r="E35" s="54" t="s">
        <v>1012</v>
      </c>
      <c r="F35" s="54" t="s">
        <v>1004</v>
      </c>
      <c r="G35" s="54" t="s">
        <v>125</v>
      </c>
      <c r="H35" s="56"/>
      <c r="I35" s="56"/>
      <c r="J35" s="54" t="s">
        <v>1025</v>
      </c>
      <c r="K35" s="54" t="s">
        <v>1005</v>
      </c>
      <c r="L35" s="43" t="s">
        <v>1005</v>
      </c>
      <c r="M35" s="37"/>
      <c r="N35" s="37"/>
      <c r="O35" s="37"/>
      <c r="P35" s="37"/>
      <c r="Q35" s="37"/>
      <c r="R35" s="37"/>
      <c r="S35" s="37"/>
      <c r="T35" s="37" t="s">
        <v>980</v>
      </c>
      <c r="U35" s="37"/>
      <c r="V35" s="37"/>
    </row>
    <row r="36" spans="1:22" s="57" customFormat="1" x14ac:dyDescent="0.15">
      <c r="A36" s="54" t="s">
        <v>1018</v>
      </c>
      <c r="B36" s="54" t="s">
        <v>1011</v>
      </c>
      <c r="C36" s="54" t="s">
        <v>990</v>
      </c>
      <c r="D36" s="54" t="s">
        <v>1020</v>
      </c>
      <c r="E36" s="54" t="s">
        <v>1012</v>
      </c>
      <c r="F36" s="54" t="s">
        <v>967</v>
      </c>
      <c r="G36" s="54" t="s">
        <v>967</v>
      </c>
      <c r="H36" s="56"/>
      <c r="I36" s="56"/>
      <c r="J36" s="54" t="s">
        <v>1024</v>
      </c>
      <c r="K36" s="54" t="s">
        <v>991</v>
      </c>
      <c r="L36" s="43" t="s">
        <v>992</v>
      </c>
      <c r="M36" s="37"/>
      <c r="N36" s="37"/>
      <c r="O36" s="37"/>
      <c r="P36" s="37"/>
      <c r="Q36" s="37"/>
      <c r="R36" s="37"/>
      <c r="S36" s="37" t="s">
        <v>980</v>
      </c>
      <c r="T36" s="37"/>
      <c r="U36" s="37"/>
      <c r="V36" s="37"/>
    </row>
    <row r="37" spans="1:22" s="57" customFormat="1" x14ac:dyDescent="0.15">
      <c r="A37" s="54" t="s">
        <v>1018</v>
      </c>
      <c r="B37" s="54" t="s">
        <v>1011</v>
      </c>
      <c r="C37" s="54" t="s">
        <v>1006</v>
      </c>
      <c r="D37" s="54" t="s">
        <v>1020</v>
      </c>
      <c r="E37" s="54" t="s">
        <v>1012</v>
      </c>
      <c r="F37" s="54" t="s">
        <v>1007</v>
      </c>
      <c r="G37" s="54" t="s">
        <v>5</v>
      </c>
      <c r="H37" s="56"/>
      <c r="I37" s="56"/>
      <c r="J37" s="54" t="s">
        <v>1025</v>
      </c>
      <c r="K37" s="54" t="s">
        <v>1009</v>
      </c>
      <c r="L37" s="43" t="s">
        <v>1010</v>
      </c>
      <c r="M37" s="37" t="s">
        <v>980</v>
      </c>
      <c r="N37" s="37"/>
      <c r="O37" s="37"/>
      <c r="P37" s="37" t="s">
        <v>980</v>
      </c>
      <c r="Q37" s="37" t="s">
        <v>1003</v>
      </c>
      <c r="R37" s="37"/>
      <c r="S37" s="37"/>
      <c r="T37" s="37"/>
      <c r="U37" s="37"/>
      <c r="V37" s="37"/>
    </row>
    <row r="38" spans="1:22" s="44" customFormat="1" x14ac:dyDescent="0.15">
      <c r="A38" s="58" t="s">
        <v>1026</v>
      </c>
      <c r="B38" s="58" t="s">
        <v>997</v>
      </c>
      <c r="C38" s="58" t="s">
        <v>973</v>
      </c>
      <c r="D38" s="58" t="s">
        <v>15</v>
      </c>
      <c r="E38" s="58" t="s">
        <v>998</v>
      </c>
      <c r="F38" s="58" t="s">
        <v>976</v>
      </c>
      <c r="G38" s="58" t="s">
        <v>1</v>
      </c>
      <c r="H38" s="59"/>
      <c r="I38" s="59">
        <v>12003</v>
      </c>
      <c r="J38" s="58"/>
      <c r="K38" s="58" t="s">
        <v>978</v>
      </c>
      <c r="L38" s="43" t="s">
        <v>979</v>
      </c>
      <c r="M38" s="37" t="s">
        <v>980</v>
      </c>
      <c r="N38" s="37"/>
      <c r="O38" s="37"/>
      <c r="P38" s="37"/>
      <c r="Q38" s="37"/>
      <c r="R38" s="37"/>
      <c r="S38" s="37"/>
      <c r="T38" s="37"/>
      <c r="U38" s="37"/>
      <c r="V38" s="37"/>
    </row>
    <row r="39" spans="1:22" s="57" customFormat="1" x14ac:dyDescent="0.15">
      <c r="A39" s="58" t="s">
        <v>1026</v>
      </c>
      <c r="B39" s="58" t="s">
        <v>997</v>
      </c>
      <c r="C39" s="58" t="s">
        <v>981</v>
      </c>
      <c r="D39" s="58" t="s">
        <v>15</v>
      </c>
      <c r="E39" s="58" t="s">
        <v>998</v>
      </c>
      <c r="F39" s="58" t="s">
        <v>982</v>
      </c>
      <c r="G39" s="58" t="s">
        <v>4</v>
      </c>
      <c r="H39" s="59"/>
      <c r="I39" s="59">
        <v>1334</v>
      </c>
      <c r="J39" s="58"/>
      <c r="K39" s="58" t="s">
        <v>999</v>
      </c>
      <c r="L39" s="43" t="s">
        <v>1000</v>
      </c>
      <c r="M39" s="37"/>
      <c r="N39" s="37" t="s">
        <v>980</v>
      </c>
      <c r="O39" s="45" t="s">
        <v>985</v>
      </c>
      <c r="P39" s="37"/>
      <c r="Q39" s="37"/>
      <c r="R39" s="37"/>
      <c r="S39" s="37"/>
      <c r="T39" s="37"/>
      <c r="U39" s="37"/>
      <c r="V39" s="37"/>
    </row>
    <row r="40" spans="1:22" s="57" customFormat="1" x14ac:dyDescent="0.15">
      <c r="A40" s="58" t="s">
        <v>1026</v>
      </c>
      <c r="B40" s="58" t="s">
        <v>997</v>
      </c>
      <c r="C40" s="58" t="s">
        <v>993</v>
      </c>
      <c r="D40" s="58" t="s">
        <v>15</v>
      </c>
      <c r="E40" s="58" t="s">
        <v>998</v>
      </c>
      <c r="F40" s="58" t="s">
        <v>994</v>
      </c>
      <c r="G40" s="58" t="s">
        <v>3</v>
      </c>
      <c r="H40" s="59"/>
      <c r="I40" s="59"/>
      <c r="J40" s="58" t="s">
        <v>1025</v>
      </c>
      <c r="K40" s="58" t="s">
        <v>1001</v>
      </c>
      <c r="L40" s="43" t="s">
        <v>1002</v>
      </c>
      <c r="M40" s="37"/>
      <c r="N40" s="37"/>
      <c r="O40" s="37"/>
      <c r="P40" s="37" t="s">
        <v>980</v>
      </c>
      <c r="Q40" s="37" t="s">
        <v>985</v>
      </c>
      <c r="R40" s="37"/>
      <c r="S40" s="37"/>
      <c r="T40" s="37"/>
      <c r="U40" s="37"/>
      <c r="V40" s="37"/>
    </row>
    <row r="41" spans="1:22" s="57" customFormat="1" x14ac:dyDescent="0.15">
      <c r="A41" s="58" t="s">
        <v>1026</v>
      </c>
      <c r="B41" s="58" t="s">
        <v>997</v>
      </c>
      <c r="C41" s="58" t="s">
        <v>987</v>
      </c>
      <c r="D41" s="58" t="s">
        <v>15</v>
      </c>
      <c r="E41" s="58" t="s">
        <v>998</v>
      </c>
      <c r="F41" s="58" t="s">
        <v>966</v>
      </c>
      <c r="G41" s="58" t="s">
        <v>126</v>
      </c>
      <c r="H41" s="59"/>
      <c r="I41" s="59"/>
      <c r="J41" s="58"/>
      <c r="K41" s="58" t="s">
        <v>988</v>
      </c>
      <c r="L41" s="43" t="s">
        <v>989</v>
      </c>
      <c r="M41" s="37"/>
      <c r="N41" s="37"/>
      <c r="O41" s="37"/>
      <c r="P41" s="37"/>
      <c r="Q41" s="37"/>
      <c r="R41" s="37" t="s">
        <v>980</v>
      </c>
      <c r="S41" s="37"/>
      <c r="T41" s="37"/>
      <c r="U41" s="37"/>
      <c r="V41" s="37"/>
    </row>
    <row r="42" spans="1:22" s="60" customFormat="1" x14ac:dyDescent="0.15">
      <c r="A42" s="58" t="s">
        <v>1026</v>
      </c>
      <c r="B42" s="58" t="s">
        <v>997</v>
      </c>
      <c r="C42" s="58" t="s">
        <v>990</v>
      </c>
      <c r="D42" s="58" t="s">
        <v>15</v>
      </c>
      <c r="E42" s="58" t="s">
        <v>998</v>
      </c>
      <c r="F42" s="58" t="s">
        <v>967</v>
      </c>
      <c r="G42" s="58" t="s">
        <v>967</v>
      </c>
      <c r="H42" s="59"/>
      <c r="I42" s="59"/>
      <c r="J42" s="58" t="s">
        <v>1025</v>
      </c>
      <c r="K42" s="58" t="s">
        <v>991</v>
      </c>
      <c r="L42" s="43" t="s">
        <v>992</v>
      </c>
      <c r="M42" s="37"/>
      <c r="N42" s="37"/>
      <c r="O42" s="37"/>
      <c r="P42" s="37"/>
      <c r="Q42" s="37"/>
      <c r="R42" s="37"/>
      <c r="S42" s="37" t="s">
        <v>980</v>
      </c>
      <c r="T42" s="37"/>
      <c r="U42" s="37"/>
      <c r="V42" s="37"/>
    </row>
    <row r="43" spans="1:22" s="60" customFormat="1" x14ac:dyDescent="0.15">
      <c r="A43" s="58" t="s">
        <v>1026</v>
      </c>
      <c r="B43" s="58" t="s">
        <v>1011</v>
      </c>
      <c r="C43" s="58" t="s">
        <v>973</v>
      </c>
      <c r="D43" s="58" t="s">
        <v>15</v>
      </c>
      <c r="E43" s="58" t="s">
        <v>1027</v>
      </c>
      <c r="F43" s="58" t="s">
        <v>976</v>
      </c>
      <c r="G43" s="58" t="s">
        <v>1</v>
      </c>
      <c r="H43" s="59">
        <v>2196</v>
      </c>
      <c r="I43" s="59"/>
      <c r="J43" s="58"/>
      <c r="K43" s="58" t="s">
        <v>978</v>
      </c>
      <c r="L43" s="43" t="s">
        <v>979</v>
      </c>
      <c r="M43" s="37" t="s">
        <v>980</v>
      </c>
      <c r="N43" s="37"/>
      <c r="O43" s="37"/>
      <c r="P43" s="37"/>
      <c r="Q43" s="37"/>
      <c r="R43" s="37"/>
      <c r="S43" s="37"/>
      <c r="T43" s="37"/>
      <c r="U43" s="37"/>
      <c r="V43" s="37"/>
    </row>
    <row r="44" spans="1:22" s="60" customFormat="1" ht="13.6" customHeight="1" x14ac:dyDescent="0.15">
      <c r="A44" s="58" t="s">
        <v>1026</v>
      </c>
      <c r="B44" s="58" t="s">
        <v>1011</v>
      </c>
      <c r="C44" s="58" t="s">
        <v>981</v>
      </c>
      <c r="D44" s="58" t="s">
        <v>15</v>
      </c>
      <c r="E44" s="58" t="s">
        <v>1027</v>
      </c>
      <c r="F44" s="58" t="s">
        <v>982</v>
      </c>
      <c r="G44" s="58" t="s">
        <v>4</v>
      </c>
      <c r="H44" s="59">
        <v>244</v>
      </c>
      <c r="I44" s="59"/>
      <c r="J44" s="58"/>
      <c r="K44" s="58" t="s">
        <v>999</v>
      </c>
      <c r="L44" s="43" t="s">
        <v>1000</v>
      </c>
      <c r="M44" s="37"/>
      <c r="N44" s="37" t="s">
        <v>980</v>
      </c>
      <c r="O44" s="45" t="s">
        <v>985</v>
      </c>
      <c r="P44" s="37"/>
      <c r="Q44" s="37"/>
      <c r="R44" s="37"/>
      <c r="S44" s="37"/>
      <c r="T44" s="37"/>
      <c r="U44" s="37"/>
      <c r="V44" s="37"/>
    </row>
    <row r="45" spans="1:22" s="60" customFormat="1" x14ac:dyDescent="0.15">
      <c r="A45" s="58" t="s">
        <v>1026</v>
      </c>
      <c r="B45" s="58" t="s">
        <v>1011</v>
      </c>
      <c r="C45" s="58" t="s">
        <v>993</v>
      </c>
      <c r="D45" s="58" t="s">
        <v>15</v>
      </c>
      <c r="E45" s="58" t="s">
        <v>1027</v>
      </c>
      <c r="F45" s="58" t="s">
        <v>994</v>
      </c>
      <c r="G45" s="58" t="s">
        <v>3</v>
      </c>
      <c r="H45" s="59"/>
      <c r="I45" s="59"/>
      <c r="J45" s="58" t="s">
        <v>1025</v>
      </c>
      <c r="K45" s="58" t="s">
        <v>1001</v>
      </c>
      <c r="L45" s="43" t="s">
        <v>1002</v>
      </c>
      <c r="M45" s="37"/>
      <c r="N45" s="37"/>
      <c r="O45" s="37"/>
      <c r="P45" s="37" t="s">
        <v>980</v>
      </c>
      <c r="Q45" s="37" t="s">
        <v>985</v>
      </c>
      <c r="R45" s="37"/>
      <c r="S45" s="37"/>
      <c r="T45" s="37"/>
      <c r="U45" s="37"/>
      <c r="V45" s="37"/>
    </row>
    <row r="46" spans="1:22" s="60" customFormat="1" x14ac:dyDescent="0.15">
      <c r="A46" s="58" t="s">
        <v>1026</v>
      </c>
      <c r="B46" s="58" t="s">
        <v>1011</v>
      </c>
      <c r="C46" s="58" t="s">
        <v>987</v>
      </c>
      <c r="D46" s="58" t="s">
        <v>15</v>
      </c>
      <c r="E46" s="58" t="s">
        <v>1027</v>
      </c>
      <c r="F46" s="58" t="s">
        <v>966</v>
      </c>
      <c r="G46" s="58" t="s">
        <v>126</v>
      </c>
      <c r="H46" s="59"/>
      <c r="I46" s="59"/>
      <c r="J46" s="58"/>
      <c r="K46" s="58" t="s">
        <v>988</v>
      </c>
      <c r="L46" s="43" t="s">
        <v>989</v>
      </c>
      <c r="M46" s="37"/>
      <c r="N46" s="37"/>
      <c r="O46" s="37"/>
      <c r="P46" s="37"/>
      <c r="Q46" s="37"/>
      <c r="R46" s="37" t="s">
        <v>980</v>
      </c>
      <c r="S46" s="37"/>
      <c r="T46" s="37"/>
      <c r="U46" s="37"/>
      <c r="V46" s="37"/>
    </row>
    <row r="47" spans="1:22" s="44" customFormat="1" x14ac:dyDescent="0.15">
      <c r="A47" s="58" t="s">
        <v>1026</v>
      </c>
      <c r="B47" s="58" t="s">
        <v>1011</v>
      </c>
      <c r="C47" s="58" t="s">
        <v>990</v>
      </c>
      <c r="D47" s="58" t="s">
        <v>15</v>
      </c>
      <c r="E47" s="58" t="s">
        <v>1027</v>
      </c>
      <c r="F47" s="58" t="s">
        <v>967</v>
      </c>
      <c r="G47" s="58" t="s">
        <v>967</v>
      </c>
      <c r="H47" s="59"/>
      <c r="I47" s="59"/>
      <c r="J47" s="58" t="s">
        <v>1025</v>
      </c>
      <c r="K47" s="58" t="s">
        <v>991</v>
      </c>
      <c r="L47" s="43" t="s">
        <v>992</v>
      </c>
      <c r="M47" s="37"/>
      <c r="N47" s="37"/>
      <c r="O47" s="37"/>
      <c r="P47" s="37"/>
      <c r="Q47" s="37"/>
      <c r="R47" s="37"/>
      <c r="S47" s="37" t="s">
        <v>980</v>
      </c>
      <c r="T47" s="37"/>
      <c r="U47" s="37"/>
      <c r="V47" s="37"/>
    </row>
    <row r="48" spans="1:22" s="44" customFormat="1" x14ac:dyDescent="0.15">
      <c r="A48" s="61" t="s">
        <v>1028</v>
      </c>
      <c r="B48" s="61" t="s">
        <v>997</v>
      </c>
      <c r="C48" s="61" t="s">
        <v>973</v>
      </c>
      <c r="D48" s="61" t="s">
        <v>16</v>
      </c>
      <c r="E48" s="61" t="s">
        <v>1029</v>
      </c>
      <c r="F48" s="61" t="s">
        <v>976</v>
      </c>
      <c r="G48" s="61" t="s">
        <v>1</v>
      </c>
      <c r="H48" s="62"/>
      <c r="I48" s="62"/>
      <c r="J48" s="61" t="s">
        <v>977</v>
      </c>
      <c r="K48" s="61" t="s">
        <v>978</v>
      </c>
      <c r="L48" s="43" t="s">
        <v>979</v>
      </c>
      <c r="M48" s="37" t="s">
        <v>980</v>
      </c>
      <c r="N48" s="37"/>
      <c r="O48" s="37"/>
      <c r="P48" s="37"/>
      <c r="Q48" s="37"/>
      <c r="R48" s="37"/>
      <c r="S48" s="37"/>
      <c r="T48" s="37"/>
      <c r="U48" s="37"/>
      <c r="V48" s="37"/>
    </row>
    <row r="49" spans="1:22" s="44" customFormat="1" x14ac:dyDescent="0.15">
      <c r="A49" s="61" t="s">
        <v>1028</v>
      </c>
      <c r="B49" s="61" t="s">
        <v>997</v>
      </c>
      <c r="C49" s="61" t="s">
        <v>981</v>
      </c>
      <c r="D49" s="61" t="s">
        <v>16</v>
      </c>
      <c r="E49" s="61" t="s">
        <v>1029</v>
      </c>
      <c r="F49" s="61" t="s">
        <v>982</v>
      </c>
      <c r="G49" s="61" t="s">
        <v>4</v>
      </c>
      <c r="H49" s="62"/>
      <c r="I49" s="62">
        <v>120509</v>
      </c>
      <c r="J49" s="61"/>
      <c r="K49" s="61" t="s">
        <v>1030</v>
      </c>
      <c r="L49" s="50" t="s">
        <v>1031</v>
      </c>
      <c r="M49" s="37"/>
      <c r="N49" s="37" t="s">
        <v>980</v>
      </c>
      <c r="O49" s="45" t="s">
        <v>985</v>
      </c>
      <c r="P49" s="37"/>
      <c r="Q49" s="37"/>
      <c r="R49" s="37"/>
      <c r="S49" s="37"/>
      <c r="T49" s="37"/>
      <c r="U49" s="37"/>
      <c r="V49" s="45" t="s">
        <v>1032</v>
      </c>
    </row>
    <row r="50" spans="1:22" s="44" customFormat="1" x14ac:dyDescent="0.15">
      <c r="A50" s="61" t="s">
        <v>1028</v>
      </c>
      <c r="B50" s="61" t="s">
        <v>997</v>
      </c>
      <c r="C50" s="61" t="s">
        <v>993</v>
      </c>
      <c r="D50" s="61" t="s">
        <v>16</v>
      </c>
      <c r="E50" s="61" t="s">
        <v>1029</v>
      </c>
      <c r="F50" s="61" t="s">
        <v>994</v>
      </c>
      <c r="G50" s="61" t="s">
        <v>3</v>
      </c>
      <c r="H50" s="62"/>
      <c r="I50" s="62"/>
      <c r="J50" s="61" t="s">
        <v>1025</v>
      </c>
      <c r="K50" s="61" t="s">
        <v>1001</v>
      </c>
      <c r="L50" s="43" t="s">
        <v>1002</v>
      </c>
      <c r="M50" s="37"/>
      <c r="N50" s="37"/>
      <c r="O50" s="37"/>
      <c r="P50" s="37" t="s">
        <v>980</v>
      </c>
      <c r="Q50" s="37"/>
      <c r="R50" s="37"/>
      <c r="S50" s="37"/>
      <c r="T50" s="37"/>
      <c r="U50" s="37"/>
      <c r="V50" s="37"/>
    </row>
    <row r="51" spans="1:22" s="44" customFormat="1" x14ac:dyDescent="0.15">
      <c r="A51" s="61" t="s">
        <v>1028</v>
      </c>
      <c r="B51" s="61" t="s">
        <v>997</v>
      </c>
      <c r="C51" s="61" t="s">
        <v>987</v>
      </c>
      <c r="D51" s="61" t="s">
        <v>16</v>
      </c>
      <c r="E51" s="61" t="s">
        <v>1029</v>
      </c>
      <c r="F51" s="61" t="s">
        <v>966</v>
      </c>
      <c r="G51" s="61" t="s">
        <v>126</v>
      </c>
      <c r="H51" s="62"/>
      <c r="I51" s="62"/>
      <c r="J51" s="61" t="s">
        <v>977</v>
      </c>
      <c r="K51" s="61" t="s">
        <v>988</v>
      </c>
      <c r="L51" s="43" t="s">
        <v>989</v>
      </c>
      <c r="M51" s="37"/>
      <c r="N51" s="37"/>
      <c r="O51" s="37"/>
      <c r="P51" s="37"/>
      <c r="Q51" s="37"/>
      <c r="R51" s="37" t="s">
        <v>980</v>
      </c>
      <c r="S51" s="37"/>
      <c r="T51" s="37"/>
      <c r="U51" s="37"/>
      <c r="V51" s="37"/>
    </row>
    <row r="52" spans="1:22" s="44" customFormat="1" x14ac:dyDescent="0.15">
      <c r="A52" s="61" t="s">
        <v>1028</v>
      </c>
      <c r="B52" s="61" t="s">
        <v>997</v>
      </c>
      <c r="C52" s="61" t="s">
        <v>990</v>
      </c>
      <c r="D52" s="61" t="s">
        <v>16</v>
      </c>
      <c r="E52" s="61" t="s">
        <v>1029</v>
      </c>
      <c r="F52" s="61" t="s">
        <v>967</v>
      </c>
      <c r="G52" s="61" t="s">
        <v>967</v>
      </c>
      <c r="H52" s="62"/>
      <c r="I52" s="62">
        <v>489</v>
      </c>
      <c r="J52" s="61"/>
      <c r="K52" s="61" t="s">
        <v>991</v>
      </c>
      <c r="L52" s="43" t="s">
        <v>992</v>
      </c>
      <c r="M52" s="37"/>
      <c r="N52" s="37"/>
      <c r="O52" s="37"/>
      <c r="P52" s="37"/>
      <c r="Q52" s="37"/>
      <c r="R52" s="37"/>
      <c r="S52" s="37" t="s">
        <v>980</v>
      </c>
      <c r="T52" s="37"/>
      <c r="U52" s="37"/>
      <c r="V52" s="37"/>
    </row>
    <row r="53" spans="1:22" s="44" customFormat="1" x14ac:dyDescent="0.15">
      <c r="A53" s="61" t="s">
        <v>1028</v>
      </c>
      <c r="B53" s="61" t="s">
        <v>1011</v>
      </c>
      <c r="C53" s="61" t="s">
        <v>973</v>
      </c>
      <c r="D53" s="61" t="s">
        <v>16</v>
      </c>
      <c r="E53" s="61" t="s">
        <v>1012</v>
      </c>
      <c r="F53" s="61" t="s">
        <v>976</v>
      </c>
      <c r="G53" s="61" t="s">
        <v>1</v>
      </c>
      <c r="H53" s="62">
        <v>250</v>
      </c>
      <c r="I53" s="62"/>
      <c r="J53" s="61"/>
      <c r="K53" s="61" t="s">
        <v>978</v>
      </c>
      <c r="L53" s="43" t="s">
        <v>979</v>
      </c>
      <c r="M53" s="37" t="s">
        <v>980</v>
      </c>
      <c r="N53" s="37"/>
      <c r="O53" s="37"/>
      <c r="P53" s="37"/>
      <c r="Q53" s="37"/>
      <c r="R53" s="37"/>
      <c r="S53" s="37"/>
      <c r="T53" s="37"/>
      <c r="U53" s="37"/>
      <c r="V53" s="37"/>
    </row>
    <row r="54" spans="1:22" s="44" customFormat="1" x14ac:dyDescent="0.15">
      <c r="A54" s="61" t="s">
        <v>1028</v>
      </c>
      <c r="B54" s="61" t="s">
        <v>1011</v>
      </c>
      <c r="C54" s="61" t="s">
        <v>981</v>
      </c>
      <c r="D54" s="61" t="s">
        <v>16</v>
      </c>
      <c r="E54" s="61" t="s">
        <v>1012</v>
      </c>
      <c r="F54" s="61" t="s">
        <v>982</v>
      </c>
      <c r="G54" s="61" t="s">
        <v>4</v>
      </c>
      <c r="H54" s="62">
        <v>619</v>
      </c>
      <c r="I54" s="62"/>
      <c r="J54" s="61"/>
      <c r="K54" s="61" t="s">
        <v>999</v>
      </c>
      <c r="L54" s="43" t="s">
        <v>1000</v>
      </c>
      <c r="M54" s="37"/>
      <c r="N54" s="37" t="s">
        <v>980</v>
      </c>
      <c r="O54" s="45" t="s">
        <v>985</v>
      </c>
      <c r="P54" s="37"/>
      <c r="Q54" s="37"/>
      <c r="R54" s="37"/>
      <c r="S54" s="37"/>
      <c r="T54" s="37"/>
      <c r="U54" s="37"/>
      <c r="V54" s="45" t="s">
        <v>1032</v>
      </c>
    </row>
    <row r="55" spans="1:22" s="44" customFormat="1" x14ac:dyDescent="0.15">
      <c r="A55" s="61" t="s">
        <v>1028</v>
      </c>
      <c r="B55" s="61" t="s">
        <v>1011</v>
      </c>
      <c r="C55" s="61" t="s">
        <v>993</v>
      </c>
      <c r="D55" s="61" t="s">
        <v>16</v>
      </c>
      <c r="E55" s="61" t="s">
        <v>1012</v>
      </c>
      <c r="F55" s="61" t="s">
        <v>994</v>
      </c>
      <c r="G55" s="61" t="s">
        <v>3</v>
      </c>
      <c r="H55" s="62"/>
      <c r="I55" s="62"/>
      <c r="J55" s="61" t="s">
        <v>1025</v>
      </c>
      <c r="K55" s="61" t="s">
        <v>1001</v>
      </c>
      <c r="L55" s="43" t="s">
        <v>1002</v>
      </c>
      <c r="M55" s="37"/>
      <c r="N55" s="37"/>
      <c r="O55" s="37"/>
      <c r="P55" s="37" t="s">
        <v>980</v>
      </c>
      <c r="Q55" s="37" t="s">
        <v>985</v>
      </c>
      <c r="R55" s="37"/>
      <c r="S55" s="37"/>
      <c r="T55" s="37"/>
      <c r="U55" s="37"/>
      <c r="V55" s="37"/>
    </row>
    <row r="56" spans="1:22" s="44" customFormat="1" x14ac:dyDescent="0.15">
      <c r="A56" s="61" t="s">
        <v>1028</v>
      </c>
      <c r="B56" s="61" t="s">
        <v>1011</v>
      </c>
      <c r="C56" s="61" t="s">
        <v>987</v>
      </c>
      <c r="D56" s="61" t="s">
        <v>16</v>
      </c>
      <c r="E56" s="61" t="s">
        <v>1012</v>
      </c>
      <c r="F56" s="61" t="s">
        <v>966</v>
      </c>
      <c r="G56" s="61" t="s">
        <v>126</v>
      </c>
      <c r="H56" s="62"/>
      <c r="I56" s="62"/>
      <c r="J56" s="61" t="s">
        <v>977</v>
      </c>
      <c r="K56" s="61" t="s">
        <v>988</v>
      </c>
      <c r="L56" s="43" t="s">
        <v>989</v>
      </c>
      <c r="M56" s="37"/>
      <c r="N56" s="37"/>
      <c r="O56" s="37"/>
      <c r="P56" s="37"/>
      <c r="Q56" s="37"/>
      <c r="R56" s="37" t="s">
        <v>980</v>
      </c>
      <c r="S56" s="37"/>
      <c r="T56" s="37"/>
      <c r="U56" s="37"/>
      <c r="V56" s="37"/>
    </row>
    <row r="57" spans="1:22" s="44" customFormat="1" x14ac:dyDescent="0.15">
      <c r="A57" s="61" t="s">
        <v>1028</v>
      </c>
      <c r="B57" s="61" t="s">
        <v>1011</v>
      </c>
      <c r="C57" s="61" t="s">
        <v>990</v>
      </c>
      <c r="D57" s="61" t="s">
        <v>16</v>
      </c>
      <c r="E57" s="61" t="s">
        <v>1012</v>
      </c>
      <c r="F57" s="61" t="s">
        <v>967</v>
      </c>
      <c r="G57" s="61" t="s">
        <v>967</v>
      </c>
      <c r="H57" s="62">
        <v>1</v>
      </c>
      <c r="I57" s="62"/>
      <c r="J57" s="61" t="s">
        <v>1025</v>
      </c>
      <c r="K57" s="61" t="s">
        <v>991</v>
      </c>
      <c r="L57" s="43" t="s">
        <v>992</v>
      </c>
      <c r="M57" s="37"/>
      <c r="N57" s="37"/>
      <c r="O57" s="37"/>
      <c r="P57" s="37"/>
      <c r="Q57" s="37"/>
      <c r="R57" s="37"/>
      <c r="S57" s="37" t="s">
        <v>980</v>
      </c>
      <c r="T57" s="37"/>
      <c r="U57" s="37"/>
      <c r="V57" s="37"/>
    </row>
  </sheetData>
  <autoFilter ref="A3:V57" xr:uid="{00000000-0001-0000-0000-000000000000}">
    <filterColumn colId="10" showButton="0"/>
    <sortState xmlns:xlrd2="http://schemas.microsoft.com/office/spreadsheetml/2017/richdata2" ref="A6:V57">
      <sortCondition ref="D3:D57"/>
    </sortState>
  </autoFilter>
  <mergeCells count="12">
    <mergeCell ref="G1:G3"/>
    <mergeCell ref="H1:I1"/>
    <mergeCell ref="J1:J3"/>
    <mergeCell ref="K1:L2"/>
    <mergeCell ref="M1:V1"/>
    <mergeCell ref="K3:L3"/>
    <mergeCell ref="F1:F3"/>
    <mergeCell ref="A1:A3"/>
    <mergeCell ref="B1:B3"/>
    <mergeCell ref="C1:C3"/>
    <mergeCell ref="D1:D3"/>
    <mergeCell ref="E1:E3"/>
  </mergeCells>
  <phoneticPr fontId="1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"/>
  <sheetViews>
    <sheetView workbookViewId="0"/>
    <sheetView workbookViewId="1"/>
  </sheetViews>
  <sheetFormatPr defaultColWidth="9.125" defaultRowHeight="12.9" x14ac:dyDescent="0.15"/>
  <sheetData>
    <row r="1" spans="1:1" x14ac:dyDescent="0.15">
      <c r="A1" s="1" t="s">
        <v>67</v>
      </c>
    </row>
    <row r="2" spans="1:1" x14ac:dyDescent="0.15">
      <c r="A2" s="15">
        <v>5</v>
      </c>
    </row>
    <row r="4" spans="1:1" x14ac:dyDescent="0.15">
      <c r="A4" t="s">
        <v>62</v>
      </c>
    </row>
    <row r="5" spans="1:1" x14ac:dyDescent="0.15">
      <c r="A5" t="s">
        <v>63</v>
      </c>
    </row>
    <row r="6" spans="1:1" x14ac:dyDescent="0.15">
      <c r="A6" t="s">
        <v>64</v>
      </c>
    </row>
    <row r="7" spans="1:1" x14ac:dyDescent="0.15">
      <c r="A7" t="s">
        <v>65</v>
      </c>
    </row>
    <row r="8" spans="1:1" x14ac:dyDescent="0.15">
      <c r="A8" t="s">
        <v>66</v>
      </c>
    </row>
    <row r="10" spans="1:1" x14ac:dyDescent="0.15">
      <c r="A10" s="1" t="s">
        <v>127</v>
      </c>
    </row>
    <row r="11" spans="1:1" x14ac:dyDescent="0.15">
      <c r="A11" s="15">
        <v>4</v>
      </c>
    </row>
    <row r="13" spans="1:1" x14ac:dyDescent="0.15">
      <c r="A13" t="s">
        <v>88</v>
      </c>
    </row>
    <row r="14" spans="1:1" x14ac:dyDescent="0.15">
      <c r="A14" t="s">
        <v>89</v>
      </c>
    </row>
    <row r="15" spans="1:1" x14ac:dyDescent="0.15">
      <c r="A15" t="s">
        <v>64</v>
      </c>
    </row>
    <row r="16" spans="1:1" x14ac:dyDescent="0.15">
      <c r="A16" t="s">
        <v>90</v>
      </c>
    </row>
    <row r="17" spans="1:1" x14ac:dyDescent="0.15">
      <c r="A17" t="s">
        <v>91</v>
      </c>
    </row>
    <row r="19" spans="1:1" x14ac:dyDescent="0.15">
      <c r="A19" t="s">
        <v>92</v>
      </c>
    </row>
    <row r="20" spans="1:1" x14ac:dyDescent="0.15">
      <c r="A20" t="s">
        <v>93</v>
      </c>
    </row>
    <row r="21" spans="1:1" x14ac:dyDescent="0.15">
      <c r="A21" t="s">
        <v>94</v>
      </c>
    </row>
    <row r="22" spans="1:1" x14ac:dyDescent="0.15">
      <c r="A22" t="s">
        <v>95</v>
      </c>
    </row>
    <row r="23" spans="1:1" x14ac:dyDescent="0.15">
      <c r="A23" t="s">
        <v>96</v>
      </c>
    </row>
    <row r="24" spans="1:1" x14ac:dyDescent="0.15">
      <c r="A24" t="s">
        <v>97</v>
      </c>
    </row>
    <row r="25" spans="1:1" x14ac:dyDescent="0.15">
      <c r="A25" t="s">
        <v>98</v>
      </c>
    </row>
    <row r="27" spans="1:1" x14ac:dyDescent="0.15">
      <c r="A27" s="1" t="s">
        <v>138</v>
      </c>
    </row>
    <row r="28" spans="1:1" x14ac:dyDescent="0.15">
      <c r="A28" t="s">
        <v>139</v>
      </c>
    </row>
    <row r="29" spans="1:1" x14ac:dyDescent="0.15">
      <c r="A29" t="s">
        <v>140</v>
      </c>
    </row>
    <row r="30" spans="1:1" x14ac:dyDescent="0.15">
      <c r="A30" t="s">
        <v>922</v>
      </c>
    </row>
    <row r="31" spans="1:1" x14ac:dyDescent="0.15">
      <c r="A31" t="s">
        <v>924</v>
      </c>
    </row>
    <row r="32" spans="1:1" x14ac:dyDescent="0.15">
      <c r="A32" t="s">
        <v>923</v>
      </c>
    </row>
    <row r="34" spans="1:17" x14ac:dyDescent="0.15">
      <c r="E34">
        <v>2020</v>
      </c>
      <c r="F34">
        <v>2021</v>
      </c>
      <c r="G34">
        <v>2022</v>
      </c>
      <c r="H34">
        <v>2023</v>
      </c>
      <c r="I34">
        <v>2024</v>
      </c>
      <c r="J34">
        <v>2025</v>
      </c>
      <c r="K34">
        <v>2026</v>
      </c>
      <c r="L34">
        <v>2027</v>
      </c>
      <c r="M34">
        <v>2028</v>
      </c>
      <c r="N34">
        <v>2029</v>
      </c>
      <c r="O34">
        <v>2030</v>
      </c>
    </row>
    <row r="35" spans="1:17" x14ac:dyDescent="0.15">
      <c r="A35" t="s">
        <v>142</v>
      </c>
      <c r="E35" s="30">
        <v>1.5498342796602832E-2</v>
      </c>
      <c r="F35" s="30">
        <v>2.6968232742923152E-2</v>
      </c>
      <c r="G35" s="30">
        <v>3.2290471250354419E-2</v>
      </c>
      <c r="H35" s="30">
        <v>4.0342019838675566E-2</v>
      </c>
      <c r="I35" s="30">
        <v>5.1241146693974234E-2</v>
      </c>
      <c r="J35" s="30">
        <v>6.7165252396267638E-2</v>
      </c>
      <c r="K35" s="30">
        <v>8.985786256899396E-2</v>
      </c>
      <c r="L35" s="30">
        <v>0.11862621990117418</v>
      </c>
      <c r="M35" s="30">
        <v>0.15509808714486734</v>
      </c>
      <c r="N35" s="30">
        <v>0.19610921734678641</v>
      </c>
      <c r="O35" s="30">
        <v>0.23878898573568191</v>
      </c>
    </row>
    <row r="36" spans="1:17" s="28" customFormat="1" x14ac:dyDescent="0.15">
      <c r="A36" s="28" t="s">
        <v>141</v>
      </c>
      <c r="E36" s="29">
        <v>0.03</v>
      </c>
      <c r="F36" s="29">
        <v>3.5000000000000003E-2</v>
      </c>
      <c r="G36" s="29">
        <v>4.4999999999999998E-2</v>
      </c>
      <c r="H36" s="29">
        <v>0.05</v>
      </c>
      <c r="I36" s="29">
        <v>6.5000000000000002E-2</v>
      </c>
      <c r="J36" s="29">
        <v>0.08</v>
      </c>
      <c r="K36" s="29">
        <v>0.105</v>
      </c>
      <c r="L36" s="29">
        <v>0.125</v>
      </c>
      <c r="M36" s="29">
        <v>0.15</v>
      </c>
      <c r="N36" s="29">
        <v>0.18</v>
      </c>
      <c r="O36" s="29">
        <v>0.22</v>
      </c>
    </row>
    <row r="37" spans="1:17" s="28" customFormat="1" x14ac:dyDescent="0.15">
      <c r="A37" s="28" t="s">
        <v>925</v>
      </c>
      <c r="E37" s="29"/>
      <c r="F37" s="29"/>
      <c r="G37" s="29"/>
      <c r="H37" s="29"/>
      <c r="I37" s="29"/>
      <c r="J37" s="29">
        <v>7.0000000000000007E-2</v>
      </c>
      <c r="K37" s="29"/>
      <c r="L37" s="29"/>
      <c r="M37" s="29"/>
      <c r="N37" s="29"/>
      <c r="O37" s="29">
        <v>0.26</v>
      </c>
    </row>
    <row r="38" spans="1:17" s="28" customFormat="1" x14ac:dyDescent="0.15"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</sheetData>
  <phoneticPr fontId="11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V92"/>
  <sheetViews>
    <sheetView topLeftCell="A7" workbookViewId="0">
      <selection activeCell="I35" sqref="I35"/>
    </sheetView>
    <sheetView topLeftCell="A4" workbookViewId="1">
      <selection activeCell="K23" sqref="K23"/>
    </sheetView>
  </sheetViews>
  <sheetFormatPr defaultColWidth="9.125" defaultRowHeight="12.9" x14ac:dyDescent="0.15"/>
  <cols>
    <col min="1" max="1" width="23.25" customWidth="1"/>
    <col min="2" max="2" width="18.875" customWidth="1"/>
    <col min="3" max="3" width="24.125" customWidth="1"/>
    <col min="4" max="4" width="14.75" customWidth="1"/>
    <col min="5" max="5" width="16.25" customWidth="1"/>
    <col min="6" max="6" width="18" style="7" customWidth="1"/>
    <col min="8" max="9" width="9.125" customWidth="1"/>
  </cols>
  <sheetData>
    <row r="1" spans="1:48" x14ac:dyDescent="0.15">
      <c r="A1" t="s">
        <v>103</v>
      </c>
      <c r="H1" s="16" t="s">
        <v>144</v>
      </c>
      <c r="I1" s="17"/>
      <c r="J1" s="18"/>
      <c r="K1" s="18"/>
      <c r="L1" s="18"/>
      <c r="N1" s="16" t="s">
        <v>143</v>
      </c>
      <c r="O1" s="17"/>
      <c r="P1" s="18"/>
      <c r="Q1" s="18"/>
      <c r="R1" s="18"/>
    </row>
    <row r="2" spans="1:48" x14ac:dyDescent="0.15">
      <c r="A2" t="s">
        <v>104</v>
      </c>
      <c r="H2" s="9" t="s">
        <v>99</v>
      </c>
      <c r="I2" s="19">
        <v>1</v>
      </c>
      <c r="N2" s="9" t="s">
        <v>99</v>
      </c>
      <c r="O2" s="19">
        <v>1</v>
      </c>
    </row>
    <row r="3" spans="1:48" x14ac:dyDescent="0.15">
      <c r="A3" t="s">
        <v>105</v>
      </c>
      <c r="H3" s="9" t="s">
        <v>100</v>
      </c>
      <c r="I3" s="19">
        <v>-0.3</v>
      </c>
      <c r="N3" s="9" t="s">
        <v>100</v>
      </c>
      <c r="O3" s="19">
        <v>-0.4</v>
      </c>
    </row>
    <row r="4" spans="1:48" ht="13.6" thickBot="1" x14ac:dyDescent="0.2">
      <c r="A4" t="s">
        <v>106</v>
      </c>
      <c r="H4" s="10" t="s">
        <v>101</v>
      </c>
      <c r="I4" s="20">
        <v>-16</v>
      </c>
      <c r="N4" s="10" t="s">
        <v>101</v>
      </c>
      <c r="O4" s="20">
        <v>-12</v>
      </c>
    </row>
    <row r="5" spans="1:48" x14ac:dyDescent="0.15">
      <c r="A5" t="s">
        <v>107</v>
      </c>
    </row>
    <row r="6" spans="1:48" ht="38.75" x14ac:dyDescent="0.15">
      <c r="A6" s="12"/>
      <c r="B6" s="12"/>
      <c r="C6" s="12"/>
      <c r="D6" s="2" t="s">
        <v>20</v>
      </c>
      <c r="E6" s="2" t="s">
        <v>20</v>
      </c>
      <c r="F6" s="2" t="s">
        <v>102</v>
      </c>
    </row>
    <row r="7" spans="1:48" ht="51.65" x14ac:dyDescent="0.15">
      <c r="A7" s="12"/>
      <c r="B7" s="12"/>
      <c r="C7" s="12"/>
      <c r="D7" s="27">
        <v>2020</v>
      </c>
      <c r="E7" s="27">
        <v>2050</v>
      </c>
      <c r="F7" s="27" t="s">
        <v>137</v>
      </c>
    </row>
    <row r="8" spans="1:48" x14ac:dyDescent="0.15">
      <c r="A8" s="12" t="s">
        <v>9</v>
      </c>
      <c r="B8" s="12" t="s">
        <v>10</v>
      </c>
      <c r="C8" s="12" t="s">
        <v>11</v>
      </c>
      <c r="D8" s="12">
        <v>2025</v>
      </c>
      <c r="E8" s="12">
        <v>2050</v>
      </c>
      <c r="F8" s="6"/>
      <c r="H8" s="21">
        <f>D8</f>
        <v>2025</v>
      </c>
      <c r="I8" s="21">
        <f>H8+1</f>
        <v>2026</v>
      </c>
      <c r="J8" s="21">
        <f t="shared" ref="J8:AA8" si="0">I8+1</f>
        <v>2027</v>
      </c>
      <c r="K8" s="21">
        <f t="shared" si="0"/>
        <v>2028</v>
      </c>
      <c r="L8" s="21">
        <f t="shared" si="0"/>
        <v>2029</v>
      </c>
      <c r="M8" s="21">
        <f t="shared" si="0"/>
        <v>2030</v>
      </c>
      <c r="N8" s="21">
        <f t="shared" si="0"/>
        <v>2031</v>
      </c>
      <c r="O8" s="21">
        <f t="shared" si="0"/>
        <v>2032</v>
      </c>
      <c r="P8" s="21">
        <f t="shared" si="0"/>
        <v>2033</v>
      </c>
      <c r="Q8" s="21">
        <f t="shared" si="0"/>
        <v>2034</v>
      </c>
      <c r="R8" s="21">
        <f t="shared" si="0"/>
        <v>2035</v>
      </c>
      <c r="S8" s="21">
        <f t="shared" si="0"/>
        <v>2036</v>
      </c>
      <c r="T8" s="21">
        <f t="shared" si="0"/>
        <v>2037</v>
      </c>
      <c r="U8" s="21">
        <f t="shared" si="0"/>
        <v>2038</v>
      </c>
      <c r="V8" s="21">
        <f t="shared" si="0"/>
        <v>2039</v>
      </c>
      <c r="W8" s="21">
        <f t="shared" si="0"/>
        <v>2040</v>
      </c>
      <c r="X8" s="21">
        <f t="shared" si="0"/>
        <v>2041</v>
      </c>
      <c r="Y8" s="21">
        <f t="shared" si="0"/>
        <v>2042</v>
      </c>
      <c r="Z8" s="21">
        <f t="shared" si="0"/>
        <v>2043</v>
      </c>
      <c r="AA8" s="21">
        <f t="shared" si="0"/>
        <v>2044</v>
      </c>
      <c r="AB8" s="21">
        <f t="shared" ref="AB8" si="1">AA8+1</f>
        <v>2045</v>
      </c>
      <c r="AC8" s="21">
        <f t="shared" ref="AC8" si="2">AB8+1</f>
        <v>2046</v>
      </c>
      <c r="AD8" s="21">
        <f t="shared" ref="AD8" si="3">AC8+1</f>
        <v>2047</v>
      </c>
      <c r="AE8" s="21">
        <f t="shared" ref="AE8" si="4">AD8+1</f>
        <v>2048</v>
      </c>
      <c r="AF8" s="21">
        <f t="shared" ref="AF8" si="5">AE8+1</f>
        <v>2049</v>
      </c>
      <c r="AG8" s="21">
        <f t="shared" ref="AG8" si="6">AF8+1</f>
        <v>2050</v>
      </c>
      <c r="AH8" s="21">
        <f t="shared" ref="AH8" si="7">AG8+1</f>
        <v>2051</v>
      </c>
      <c r="AI8" s="21">
        <f t="shared" ref="AI8" si="8">AH8+1</f>
        <v>2052</v>
      </c>
      <c r="AJ8" s="21">
        <f t="shared" ref="AJ8" si="9">AI8+1</f>
        <v>2053</v>
      </c>
      <c r="AK8" s="21">
        <f t="shared" ref="AK8" si="10">AJ8+1</f>
        <v>2054</v>
      </c>
      <c r="AL8" s="21">
        <f t="shared" ref="AL8" si="11">AK8+1</f>
        <v>2055</v>
      </c>
      <c r="AM8" s="21">
        <f t="shared" ref="AM8" si="12">AL8+1</f>
        <v>2056</v>
      </c>
      <c r="AN8" s="21">
        <f t="shared" ref="AN8" si="13">AM8+1</f>
        <v>2057</v>
      </c>
      <c r="AO8" s="21">
        <f t="shared" ref="AO8" si="14">AN8+1</f>
        <v>2058</v>
      </c>
      <c r="AP8" s="21">
        <f t="shared" ref="AP8" si="15">AO8+1</f>
        <v>2059</v>
      </c>
      <c r="AQ8" s="21">
        <f t="shared" ref="AQ8" si="16">AP8+1</f>
        <v>2060</v>
      </c>
      <c r="AR8" s="21">
        <f t="shared" ref="AR8" si="17">AQ8+1</f>
        <v>2061</v>
      </c>
      <c r="AS8" s="21">
        <f t="shared" ref="AS8" si="18">AR8+1</f>
        <v>2062</v>
      </c>
      <c r="AT8" s="21">
        <f t="shared" ref="AT8" si="19">AS8+1</f>
        <v>2063</v>
      </c>
      <c r="AU8" s="21">
        <f t="shared" ref="AU8" si="20">AT8+1</f>
        <v>2064</v>
      </c>
      <c r="AV8" s="21">
        <f t="shared" ref="AV8" si="21">AU8+1</f>
        <v>2065</v>
      </c>
    </row>
    <row r="9" spans="1:48" x14ac:dyDescent="0.15">
      <c r="A9" t="s">
        <v>12</v>
      </c>
      <c r="B9" t="s">
        <v>19</v>
      </c>
      <c r="C9" t="s">
        <v>1</v>
      </c>
      <c r="D9" s="22">
        <f>Summary!V26</f>
        <v>0.2294143659214489</v>
      </c>
      <c r="E9">
        <v>1</v>
      </c>
      <c r="F9" s="7" t="str">
        <f>IF(D9=E9,"n/a",IF(OR(C9="battery electric vehicle",C9="natural gas vehicle",C9="plugin hybrid vehicle"),"s-curve","linear"))</f>
        <v>s-curve</v>
      </c>
      <c r="H9" s="22">
        <f>D9</f>
        <v>0.2294143659214489</v>
      </c>
      <c r="I9">
        <f>IF($F9="s-curve",$D9+($E9-$D9)*$O$2/(1+EXP($O$3*(COUNT($H$8:I$8)+$O$4))),TREND($D9:$E9,$D$7:$E$7,I$8))</f>
        <v>0.24327428092975717</v>
      </c>
      <c r="J9">
        <f>IF($F9="s-curve",$D9+($E9-$D9)*$O$2/(1+EXP($O$3*(COUNT($H$8:J$8)+$O$4))),TREND($D9:$E9,$D$7:$E$7,J$8))</f>
        <v>0.24990962708146122</v>
      </c>
      <c r="K9">
        <f>IF($F9="s-curve",$D9+($E9-$D9)*$O$2/(1+EXP($O$3*(COUNT($H$8:K$8)+$O$4))),TREND($D9:$E9,$D$7:$E$7,K$8))</f>
        <v>0.25959490925693834</v>
      </c>
      <c r="L9">
        <f>IF($F9="s-curve",$D9+($E9-$D9)*$O$2/(1+EXP($O$3*(COUNT($H$8:L$8)+$O$4))),TREND($D9:$E9,$D$7:$E$7,L$8))</f>
        <v>0.27358755235450904</v>
      </c>
      <c r="M9">
        <f>IF($F9="s-curve",$D9+($E9-$D9)*$O$2/(1+EXP($O$3*(COUNT($H$8:M$8)+$O$4))),TREND($D9:$E9,$D$7:$E$7,M$8))</f>
        <v>0.29350605098724092</v>
      </c>
      <c r="N9">
        <f>IF($F9="s-curve",$D9+($E9-$D9)*$O$2/(1+EXP($O$3*(COUNT($H$8:N$8)+$O$4))),TREND($D9:$E9,$D$7:$E$7,N$8))</f>
        <v>0.32127042517187843</v>
      </c>
      <c r="O9">
        <f>IF($F9="s-curve",$D9+($E9-$D9)*$O$2/(1+EXP($O$3*(COUNT($H$8:O$8)+$O$4))),TREND($D9:$E9,$D$7:$E$7,O$8))</f>
        <v>0.35885858512656266</v>
      </c>
      <c r="P9">
        <f>IF($F9="s-curve",$D9+($E9-$D9)*$O$2/(1+EXP($O$3*(COUNT($H$8:P$8)+$O$4))),TREND($D9:$E9,$D$7:$E$7,P$8))</f>
        <v>0.40778584240232829</v>
      </c>
      <c r="Q9">
        <f>IF($F9="s-curve",$D9+($E9-$D9)*$O$2/(1+EXP($O$3*(COUNT($H$8:Q$8)+$O$4))),TREND($D9:$E9,$D$7:$E$7,Q$8))</f>
        <v>0.46831557696225945</v>
      </c>
      <c r="R9">
        <f>IF($F9="s-curve",$D9+($E9-$D9)*$O$2/(1+EXP($O$3*(COUNT($H$8:R$8)+$O$4))),TREND($D9:$E9,$D$7:$E$7,R$8))</f>
        <v>0.53865988981724211</v>
      </c>
      <c r="S9">
        <f>IF($F9="s-curve",$D9+($E9-$D9)*$O$2/(1+EXP($O$3*(COUNT($H$8:S$8)+$O$4))),TREND($D9:$E9,$D$7:$E$7,S$8))</f>
        <v>0.61470718296072446</v>
      </c>
      <c r="T9">
        <f>IF($F9="s-curve",$D9+($E9-$D9)*$O$2/(1+EXP($O$3*(COUNT($H$8:T$8)+$O$4))),TREND($D9:$E9,$D$7:$E$7,T$8))</f>
        <v>0.69075447610420682</v>
      </c>
      <c r="U9">
        <f>IF($F9="s-curve",$D9+($E9-$D9)*$O$2/(1+EXP($O$3*(COUNT($H$8:U$8)+$O$4))),TREND($D9:$E9,$D$7:$E$7,U$8))</f>
        <v>0.76109878895918948</v>
      </c>
      <c r="V9">
        <f>IF($F9="s-curve",$D9+($E9-$D9)*$O$2/(1+EXP($O$3*(COUNT($H$8:V$8)+$O$4))),TREND($D9:$E9,$D$7:$E$7,V$8))</f>
        <v>0.82162852351912063</v>
      </c>
      <c r="W9">
        <f>IF($F9="s-curve",$D9+($E9-$D9)*$O$2/(1+EXP($O$3*(COUNT($H$8:W$8)+$O$4))),TREND($D9:$E9,$D$7:$E$7,W$8))</f>
        <v>0.87055578079488616</v>
      </c>
      <c r="X9">
        <f>IF($F9="s-curve",$D9+($E9-$D9)*$O$2/(1+EXP($O$3*(COUNT($H$8:X$8)+$O$4))),TREND($D9:$E9,$D$7:$E$7,X$8))</f>
        <v>0.90814394074957039</v>
      </c>
      <c r="Y9">
        <f>IF($F9="s-curve",$D9+($E9-$D9)*$O$2/(1+EXP($O$3*(COUNT($H$8:Y$8)+$O$4))),TREND($D9:$E9,$D$7:$E$7,Y$8))</f>
        <v>0.93590831493420801</v>
      </c>
      <c r="Z9">
        <f>IF($F9="s-curve",$D9+($E9-$D9)*$O$2/(1+EXP($O$3*(COUNT($H$8:Z$8)+$O$4))),TREND($D9:$E9,$D$7:$E$7,Z$8))</f>
        <v>0.95582681356693988</v>
      </c>
      <c r="AA9">
        <f>IF($F9="s-curve",$D9+($E9-$D9)*$O$2/(1+EXP($O$3*(COUNT($H$8:AA$8)+$O$4))),TREND($D9:$E9,$D$7:$E$7,AA$8))</f>
        <v>0.96981945666451064</v>
      </c>
      <c r="AB9">
        <f>IF($F9="s-curve",$D9+($E9-$D9)*$O$2/(1+EXP($O$3*(COUNT($H$8:AB$8)+$O$4))),TREND($D9:$E9,$D$7:$E$7,AB$8))</f>
        <v>0.97950473883998757</v>
      </c>
      <c r="AC9">
        <f>IF($F9="s-curve",$D9+($E9-$D9)*$O$2/(1+EXP($O$3*(COUNT($H$8:AC$8)+$O$4))),TREND($D9:$E9,$D$7:$E$7,AC$8))</f>
        <v>0.9861400849916917</v>
      </c>
      <c r="AD9">
        <f>IF($F9="s-curve",$D9+($E9-$D9)*$O$2/(1+EXP($O$3*(COUNT($H$8:AD$8)+$O$4))),TREND($D9:$E9,$D$7:$E$7,AD$8))</f>
        <v>0.99065400223726252</v>
      </c>
      <c r="AE9">
        <f>IF($F9="s-curve",$D9+($E9-$D9)*$O$2/(1+EXP($O$3*(COUNT($H$8:AE$8)+$O$4))),TREND($D9:$E9,$D$7:$E$7,AE$8))</f>
        <v>0.99371003993223095</v>
      </c>
      <c r="AF9">
        <f>IF($F9="s-curve",$D9+($E9-$D9)*$O$2/(1+EXP($O$3*(COUNT($H$8:AF$8)+$O$4))),TREND($D9:$E9,$D$7:$E$7,AF$8))</f>
        <v>0.9957723368838225</v>
      </c>
      <c r="AG9">
        <f>IF($F9="s-curve",$D9+($E9-$D9)*$O$2/(1+EXP($O$3*(COUNT($H$8:AG$8)+$O$4))),TREND($D9:$E9,$D$7:$E$7,AG$8))</f>
        <v>0.99716097766099565</v>
      </c>
      <c r="AH9">
        <f>IF($F9="s-curve",$D9+($E9-$D9)*$O$2/(1+EXP($O$3*(COUNT($H$8:AH$8)+$O$4))),TREND($D9:$E9,$D$7:$E$7,AH$8))</f>
        <v>0.99809463211700733</v>
      </c>
      <c r="AI9">
        <f>IF($F9="s-curve",$D9+($E9-$D9)*$O$2/(1+EXP($O$3*(COUNT($H$8:AI$8)+$O$4))),TREND($D9:$E9,$D$7:$E$7,AI$8))</f>
        <v>0.99872175171782362</v>
      </c>
      <c r="AJ9">
        <f>IF($F9="s-curve",$D9+($E9-$D9)*$O$2/(1+EXP($O$3*(COUNT($H$8:AJ$8)+$O$4))),TREND($D9:$E9,$D$7:$E$7,AJ$8))</f>
        <v>0.99914269571568315</v>
      </c>
      <c r="AK9">
        <f>IF($F9="s-curve",$D9+($E9-$D9)*$O$2/(1+EXP($O$3*(COUNT($H$8:AK$8)+$O$4))),TREND($D9:$E9,$D$7:$E$7,AK$8))</f>
        <v>0.99942512089803714</v>
      </c>
      <c r="AL9">
        <f>IF($F9="s-curve",$D9+($E9-$D9)*$O$2/(1+EXP($O$3*(COUNT($H$8:AL$8)+$O$4))),TREND($D9:$E9,$D$7:$E$7,AL$8))</f>
        <v>0.99961455221273432</v>
      </c>
      <c r="AM9">
        <f>IF($F9="s-curve",$D9+($E9-$D9)*$O$2/(1+EXP($O$3*(COUNT($H$8:AM$8)+$O$4))),TREND($D9:$E9,$D$7:$E$7,AM$8))</f>
        <v>0.99974158400707624</v>
      </c>
      <c r="AN9">
        <f>IF($F9="s-curve",$D9+($E9-$D9)*$O$2/(1+EXP($O$3*(COUNT($H$8:AN$8)+$O$4))),TREND($D9:$E9,$D$7:$E$7,AN$8))</f>
        <v>0.99982675942655819</v>
      </c>
      <c r="AO9">
        <f>IF($F9="s-curve",$D9+($E9-$D9)*$O$2/(1+EXP($O$3*(COUNT($H$8:AO$8)+$O$4))),TREND($D9:$E9,$D$7:$E$7,AO$8))</f>
        <v>0.99988386476317237</v>
      </c>
      <c r="AP9">
        <f>IF($F9="s-curve",$D9+($E9-$D9)*$O$2/(1+EXP($O$3*(COUNT($H$8:AP$8)+$O$4))),TREND($D9:$E9,$D$7:$E$7,AP$8))</f>
        <v>0.99992214835455218</v>
      </c>
      <c r="AQ9">
        <f>IF($F9="s-curve",$D9+($E9-$D9)*$O$2/(1+EXP($O$3*(COUNT($H$8:AQ$8)+$O$4))),TREND($D9:$E9,$D$7:$E$7,AQ$8))</f>
        <v>0.99994781274322286</v>
      </c>
      <c r="AR9">
        <f>IF($F9="s-curve",$D9+($E9-$D9)*$O$2/(1+EXP($O$3*(COUNT($H$8:AR$8)+$O$4))),TREND($D9:$E9,$D$7:$E$7,AR$8))</f>
        <v>0.99996501705456009</v>
      </c>
      <c r="AS9">
        <f>IF($F9="s-curve",$D9+($E9-$D9)*$O$2/(1+EXP($O$3*(COUNT($H$8:AS$8)+$O$4))),TREND($D9:$E9,$D$7:$E$7,AS$8))</f>
        <v>0.99997654987942974</v>
      </c>
      <c r="AT9">
        <f>IF($F9="s-curve",$D9+($E9-$D9)*$O$2/(1+EXP($O$3*(COUNT($H$8:AT$8)+$O$4))),TREND($D9:$E9,$D$7:$E$7,AT$8))</f>
        <v>0.99998428075639378</v>
      </c>
      <c r="AU9">
        <f>IF($F9="s-curve",$D9+($E9-$D9)*$O$2/(1+EXP($O$3*(COUNT($H$8:AU$8)+$O$4))),TREND($D9:$E9,$D$7:$E$7,AU$8))</f>
        <v>0.9999894630050391</v>
      </c>
      <c r="AV9">
        <f>IF($F9="s-curve",$D9+($E9-$D9)*$O$2/(1+EXP($O$3*(COUNT($H$8:AV$8)+$O$4))),TREND($D9:$E9,$D$7:$E$7,AV$8))</f>
        <v>0.99999293680921164</v>
      </c>
    </row>
    <row r="10" spans="1:48" x14ac:dyDescent="0.15">
      <c r="C10" t="s">
        <v>2</v>
      </c>
      <c r="D10" s="22">
        <f>SUM(SUM(INDEX('AEO 39'!$29:$30,0,MATCH($D$8,'AEO 39'!$1:$1,0))),SUM(INDEX('AEO 39'!$51:$52,0,MATCH($D$8,'AEO 39'!$1:$1,0))))/INDEX('AEO 39'!$59:$59,MATCH($D$8,'AEO 39'!$1:$1,0))</f>
        <v>3.5629410543316963E-4</v>
      </c>
      <c r="E10" s="22">
        <f>SUM(SUM(INDEX('AEO 39'!$29:$30,0,MATCH($E$8,'AEO 39'!$1:$1,0))),SUM(INDEX('AEO 39'!$51:$52,0,MATCH($E$8,'AEO 39'!$1:$1,0))))/INDEX('AEO 39'!$59:$59,MATCH($E$8,'AEO 39'!$1:$1,0))*Assumptions!$A$11</f>
        <v>1.235369525889815E-3</v>
      </c>
      <c r="F10" s="7" t="str">
        <f>IF(D10=E10,"n/a",IF(OR(C10="battery electric vehicle",C10="natural gas vehicle",C10="plugin hybrid vehicle"),"s-curve","linear"))</f>
        <v>s-curve</v>
      </c>
      <c r="H10" s="22">
        <f t="shared" ref="H10:H39" si="22">D10</f>
        <v>3.5629410543316963E-4</v>
      </c>
      <c r="I10">
        <f>IF($F10="s-curve",$D10+($E10-$D10)*$I$2/(1+EXP($I$3*(COUNT($H$8:I$8)+$I$4))),TREND($D10:$E10,$D$8:$E$8,I$8))</f>
        <v>3.6928159355577344E-4</v>
      </c>
      <c r="J10">
        <f>IF($F10="s-curve",$D10+($E10-$D10)*$I$2/(1+EXP($I$3*(COUNT($H$8:J$8)+$I$4))),TREND($D10:$E10,$D$8:$E$8,J$8))</f>
        <v>3.737352305383422E-4</v>
      </c>
      <c r="K10">
        <f>IF($F10="s-curve",$D10+($E10-$D10)*$I$2/(1+EXP($I$3*(COUNT($H$8:K$8)+$I$4))),TREND($D10:$E10,$D$8:$E$8,K$8))</f>
        <v>3.7967486874463567E-4</v>
      </c>
      <c r="L10">
        <f>IF($F10="s-curve",$D10+($E10-$D10)*$I$2/(1+EXP($I$3*(COUNT($H$8:L$8)+$I$4))),TREND($D10:$E10,$D$8:$E$8,L$8))</f>
        <v>3.8756386359915519E-4</v>
      </c>
      <c r="M10">
        <f>IF($F10="s-curve",$D10+($E10-$D10)*$I$2/(1+EXP($I$3*(COUNT($H$8:M$8)+$I$4))),TREND($D10:$E10,$D$8:$E$8,M$8))</f>
        <v>3.9798502483726268E-4</v>
      </c>
      <c r="N10">
        <f>IF($F10="s-curve",$D10+($E10-$D10)*$I$2/(1+EXP($I$3*(COUNT($H$8:N$8)+$I$4))),TREND($D10:$E10,$D$8:$E$8,N$8))</f>
        <v>4.1165243488653985E-4</v>
      </c>
      <c r="O10">
        <f>IF($F10="s-curve",$D10+($E10-$D10)*$I$2/(1+EXP($I$3*(COUNT($H$8:O$8)+$I$4))),TREND($D10:$E10,$D$8:$E$8,O$8))</f>
        <v>4.2940917857407741E-4</v>
      </c>
      <c r="P10">
        <f>IF($F10="s-curve",$D10+($E10-$D10)*$I$2/(1+EXP($I$3*(COUNT($H$8:P$8)+$I$4))),TREND($D10:$E10,$D$8:$E$8,P$8))</f>
        <v>4.5219843939618655E-4</v>
      </c>
      <c r="Q10">
        <f>IF($F10="s-curve",$D10+($E10-$D10)*$I$2/(1+EXP($I$3*(COUNT($H$8:Q$8)+$I$4))),TREND($D10:$E10,$D$8:$E$8,Q$8))</f>
        <v>4.8099188995278882E-4</v>
      </c>
      <c r="R10">
        <f>IF($F10="s-curve",$D10+($E10-$D10)*$I$2/(1+EXP($I$3*(COUNT($H$8:R$8)+$I$4))),TREND($D10:$E10,$D$8:$E$8,R$8))</f>
        <v>5.1665989947526612E-4</v>
      </c>
      <c r="S10">
        <f>IF($F10="s-curve",$D10+($E10-$D10)*$I$2/(1+EXP($I$3*(COUNT($H$8:S$8)+$I$4))),TREND($D10:$E10,$D$8:$E$8,S$8))</f>
        <v>5.5977827870406377E-4</v>
      </c>
      <c r="T10">
        <f>IF($F10="s-curve",$D10+($E10-$D10)*$I$2/(1+EXP($I$3*(COUNT($H$8:T$8)+$I$4))),TREND($D10:$E10,$D$8:$E$8,T$8))</f>
        <v>6.1039129294629684E-4</v>
      </c>
      <c r="U10">
        <f>IF($F10="s-curve",$D10+($E10-$D10)*$I$2/(1+EXP($I$3*(COUNT($H$8:U$8)+$I$4))),TREND($D10:$E10,$D$8:$E$8,U$8))</f>
        <v>6.6778893702388936E-4</v>
      </c>
      <c r="V10">
        <f>IF($F10="s-curve",$D10+($E10-$D10)*$I$2/(1+EXP($I$3*(COUNT($H$8:V$8)+$I$4))),TREND($D10:$E10,$D$8:$E$8,V$8))</f>
        <v>7.3039122889543228E-4</v>
      </c>
      <c r="W10">
        <f>IF($F10="s-curve",$D10+($E10-$D10)*$I$2/(1+EXP($I$3*(COUNT($H$8:W$8)+$I$4))),TREND($D10:$E10,$D$8:$E$8,W$8))</f>
        <v>7.9583181566149233E-4</v>
      </c>
      <c r="X10">
        <f>IF($F10="s-curve",$D10+($E10-$D10)*$I$2/(1+EXP($I$3*(COUNT($H$8:X$8)+$I$4))),TREND($D10:$E10,$D$8:$E$8,X$8))</f>
        <v>8.6127240242755239E-4</v>
      </c>
      <c r="Y10">
        <f>IF($F10="s-curve",$D10+($E10-$D10)*$I$2/(1+EXP($I$3*(COUNT($H$8:Y$8)+$I$4))),TREND($D10:$E10,$D$8:$E$8,Y$8))</f>
        <v>9.2387469429909531E-4</v>
      </c>
      <c r="Z10">
        <f>IF($F10="s-curve",$D10+($E10-$D10)*$I$2/(1+EXP($I$3*(COUNT($H$8:Z$8)+$I$4))),TREND($D10:$E10,$D$8:$E$8,Z$8))</f>
        <v>9.8127233837668783E-4</v>
      </c>
      <c r="AA10">
        <f>IF($F10="s-curve",$D10+($E10-$D10)*$I$2/(1+EXP($I$3*(COUNT($H$8:AA$8)+$I$4))),TREND($D10:$E10,$D$8:$E$8,AA$8))</f>
        <v>1.0318853526189208E-3</v>
      </c>
      <c r="AB10">
        <f>IF($F10="s-curve",$D10+($E10-$D10)*$I$2/(1+EXP($I$3*(COUNT($H$8:AB$8)+$I$4))),TREND($D10:$E10,$D$8:$E$8,AB$8))</f>
        <v>1.0750037318477184E-3</v>
      </c>
      <c r="AC10">
        <f>IF($F10="s-curve",$D10+($E10-$D10)*$I$2/(1+EXP($I$3*(COUNT($H$8:AC$8)+$I$4))),TREND($D10:$E10,$D$8:$E$8,AC$8))</f>
        <v>1.1106717413701958E-3</v>
      </c>
      <c r="AD10">
        <f>IF($F10="s-curve",$D10+($E10-$D10)*$I$2/(1+EXP($I$3*(COUNT($H$8:AD$8)+$I$4))),TREND($D10:$E10,$D$8:$E$8,AD$8))</f>
        <v>1.1394651919267981E-3</v>
      </c>
      <c r="AE10">
        <f>IF($F10="s-curve",$D10+($E10-$D10)*$I$2/(1+EXP($I$3*(COUNT($H$8:AE$8)+$I$4))),TREND($D10:$E10,$D$8:$E$8,AE$8))</f>
        <v>1.1622544527489073E-3</v>
      </c>
      <c r="AF10">
        <f>IF($F10="s-curve",$D10+($E10-$D10)*$I$2/(1+EXP($I$3*(COUNT($H$8:AF$8)+$I$4))),TREND($D10:$E10,$D$8:$E$8,AF$8))</f>
        <v>1.1800111964364447E-3</v>
      </c>
      <c r="AG10">
        <f>IF($F10="s-curve",$D10+($E10-$D10)*$I$2/(1+EXP($I$3*(COUNT($H$8:AG$8)+$I$4))),TREND($D10:$E10,$D$8:$E$8,AG$8))</f>
        <v>1.193678606485722E-3</v>
      </c>
      <c r="AH10">
        <f>IF($F10="s-curve",$D10+($E10-$D10)*$I$2/(1+EXP($I$3*(COUNT($H$8:AH$8)+$I$4))),TREND($D10:$E10,$D$8:$E$8,AH$8))</f>
        <v>1.2040997677238295E-3</v>
      </c>
      <c r="AI10">
        <f>IF($F10="s-curve",$D10+($E10-$D10)*$I$2/(1+EXP($I$3*(COUNT($H$8:AI$8)+$I$4))),TREND($D10:$E10,$D$8:$E$8,AI$8))</f>
        <v>1.2119887625783488E-3</v>
      </c>
      <c r="AJ10">
        <f>IF($F10="s-curve",$D10+($E10-$D10)*$I$2/(1+EXP($I$3*(COUNT($H$8:AJ$8)+$I$4))),TREND($D10:$E10,$D$8:$E$8,AJ$8))</f>
        <v>1.2179284007846425E-3</v>
      </c>
      <c r="AK10">
        <f>IF($F10="s-curve",$D10+($E10-$D10)*$I$2/(1+EXP($I$3*(COUNT($H$8:AK$8)+$I$4))),TREND($D10:$E10,$D$8:$E$8,AK$8))</f>
        <v>1.2223820377672112E-3</v>
      </c>
      <c r="AL10">
        <f>IF($F10="s-curve",$D10+($E10-$D10)*$I$2/(1+EXP($I$3*(COUNT($H$8:AL$8)+$I$4))),TREND($D10:$E10,$D$8:$E$8,AL$8))</f>
        <v>1.2257111746772935E-3</v>
      </c>
      <c r="AM10">
        <f>IF($F10="s-curve",$D10+($E10-$D10)*$I$2/(1+EXP($I$3*(COUNT($H$8:AM$8)+$I$4))),TREND($D10:$E10,$D$8:$E$8,AM$8))</f>
        <v>1.2281940102213437E-3</v>
      </c>
      <c r="AN10">
        <f>IF($F10="s-curve",$D10+($E10-$D10)*$I$2/(1+EXP($I$3*(COUNT($H$8:AN$8)+$I$4))),TREND($D10:$E10,$D$8:$E$8,AN$8))</f>
        <v>1.2300425033457169E-3</v>
      </c>
      <c r="AO10">
        <f>IF($F10="s-curve",$D10+($E10-$D10)*$I$2/(1+EXP($I$3*(COUNT($H$8:AO$8)+$I$4))),TREND($D10:$E10,$D$8:$E$8,AO$8))</f>
        <v>1.2314169626703726E-3</v>
      </c>
      <c r="AP10">
        <f>IF($F10="s-curve",$D10+($E10-$D10)*$I$2/(1+EXP($I$3*(COUNT($H$8:AP$8)+$I$4))),TREND($D10:$E10,$D$8:$E$8,AP$8))</f>
        <v>1.2324379787539089E-3</v>
      </c>
      <c r="AQ10">
        <f>IF($F10="s-curve",$D10+($E10-$D10)*$I$2/(1+EXP($I$3*(COUNT($H$8:AQ$8)+$I$4))),TREND($D10:$E10,$D$8:$E$8,AQ$8))</f>
        <v>1.2331959036487655E-3</v>
      </c>
      <c r="AR10">
        <f>IF($F10="s-curve",$D10+($E10-$D10)*$I$2/(1+EXP($I$3*(COUNT($H$8:AR$8)+$I$4))),TREND($D10:$E10,$D$8:$E$8,AR$8))</f>
        <v>1.233758234318272E-3</v>
      </c>
      <c r="AS10">
        <f>IF($F10="s-curve",$D10+($E10-$D10)*$I$2/(1+EXP($I$3*(COUNT($H$8:AS$8)+$I$4))),TREND($D10:$E10,$D$8:$E$8,AS$8))</f>
        <v>1.2341752843931931E-3</v>
      </c>
      <c r="AT10">
        <f>IF($F10="s-curve",$D10+($E10-$D10)*$I$2/(1+EXP($I$3*(COUNT($H$8:AT$8)+$I$4))),TREND($D10:$E10,$D$8:$E$8,AT$8))</f>
        <v>1.2344844984078448E-3</v>
      </c>
      <c r="AU10">
        <f>IF($F10="s-curve",$D10+($E10-$D10)*$I$2/(1+EXP($I$3*(COUNT($H$8:AU$8)+$I$4))),TREND($D10:$E10,$D$8:$E$8,AU$8))</f>
        <v>1.2347137102790373E-3</v>
      </c>
      <c r="AV10">
        <f>IF($F10="s-curve",$D10+($E10-$D10)*$I$2/(1+EXP($I$3*(COUNT($H$8:AV$8)+$I$4))),TREND($D10:$E10,$D$8:$E$8,AV$8))</f>
        <v>1.234883591777142E-3</v>
      </c>
    </row>
    <row r="11" spans="1:48" x14ac:dyDescent="0.15">
      <c r="C11" t="s">
        <v>3</v>
      </c>
      <c r="D11">
        <v>1</v>
      </c>
      <c r="E11">
        <v>1</v>
      </c>
      <c r="F11" s="7" t="str">
        <f>IF(D11=E11,"n/a",IF(OR(C11="battery electric vehicle",C11="natural gas vehicle",C11="plugin hybrid vehicle"),"s-curve","linear"))</f>
        <v>n/a</v>
      </c>
      <c r="H11" s="22">
        <f t="shared" si="22"/>
        <v>1</v>
      </c>
      <c r="I11">
        <f>IF($F11="s-curve",$D11+($E11-$D11)*$I$2/(1+EXP($I$3*(COUNT($H$8:I$8)+$I$4))),TREND($D11:$E11,$D$8:$E$8,I$8))</f>
        <v>1</v>
      </c>
      <c r="J11">
        <f>IF($F11="s-curve",$D11+($E11-$D11)*$I$2/(1+EXP($I$3*(COUNT($H$8:J$8)+$I$4))),TREND($D11:$E11,$D$8:$E$8,J$8))</f>
        <v>1</v>
      </c>
      <c r="K11">
        <f>IF($F11="s-curve",$D11+($E11-$D11)*$I$2/(1+EXP($I$3*(COUNT($H$8:K$8)+$I$4))),TREND($D11:$E11,$D$8:$E$8,K$8))</f>
        <v>1</v>
      </c>
      <c r="L11">
        <f>IF($F11="s-curve",$D11+($E11-$D11)*$I$2/(1+EXP($I$3*(COUNT($H$8:L$8)+$I$4))),TREND($D11:$E11,$D$8:$E$8,L$8))</f>
        <v>1</v>
      </c>
      <c r="M11">
        <f>IF($F11="s-curve",$D11+($E11-$D11)*$I$2/(1+EXP($I$3*(COUNT($H$8:M$8)+$I$4))),TREND($D11:$E11,$D$8:$E$8,M$8))</f>
        <v>1</v>
      </c>
      <c r="N11">
        <f>IF($F11="s-curve",$D11+($E11-$D11)*$I$2/(1+EXP($I$3*(COUNT($H$8:N$8)+$I$4))),TREND($D11:$E11,$D$8:$E$8,N$8))</f>
        <v>1</v>
      </c>
      <c r="O11">
        <f>IF($F11="s-curve",$D11+($E11-$D11)*$I$2/(1+EXP($I$3*(COUNT($H$8:O$8)+$I$4))),TREND($D11:$E11,$D$8:$E$8,O$8))</f>
        <v>1</v>
      </c>
      <c r="P11">
        <f>IF($F11="s-curve",$D11+($E11-$D11)*$I$2/(1+EXP($I$3*(COUNT($H$8:P$8)+$I$4))),TREND($D11:$E11,$D$8:$E$8,P$8))</f>
        <v>1</v>
      </c>
      <c r="Q11">
        <f>IF($F11="s-curve",$D11+($E11-$D11)*$I$2/(1+EXP($I$3*(COUNT($H$8:Q$8)+$I$4))),TREND($D11:$E11,$D$8:$E$8,Q$8))</f>
        <v>1</v>
      </c>
      <c r="R11">
        <f>IF($F11="s-curve",$D11+($E11-$D11)*$I$2/(1+EXP($I$3*(COUNT($H$8:R$8)+$I$4))),TREND($D11:$E11,$D$8:$E$8,R$8))</f>
        <v>1</v>
      </c>
      <c r="S11">
        <f>IF($F11="s-curve",$D11+($E11-$D11)*$I$2/(1+EXP($I$3*(COUNT($H$8:S$8)+$I$4))),TREND($D11:$E11,$D$8:$E$8,S$8))</f>
        <v>1</v>
      </c>
      <c r="T11">
        <f>IF($F11="s-curve",$D11+($E11-$D11)*$I$2/(1+EXP($I$3*(COUNT($H$8:T$8)+$I$4))),TREND($D11:$E11,$D$8:$E$8,T$8))</f>
        <v>1</v>
      </c>
      <c r="U11">
        <f>IF($F11="s-curve",$D11+($E11-$D11)*$I$2/(1+EXP($I$3*(COUNT($H$8:U$8)+$I$4))),TREND($D11:$E11,$D$8:$E$8,U$8))</f>
        <v>1</v>
      </c>
      <c r="V11">
        <f>IF($F11="s-curve",$D11+($E11-$D11)*$I$2/(1+EXP($I$3*(COUNT($H$8:V$8)+$I$4))),TREND($D11:$E11,$D$8:$E$8,V$8))</f>
        <v>1</v>
      </c>
      <c r="W11">
        <f>IF($F11="s-curve",$D11+($E11-$D11)*$I$2/(1+EXP($I$3*(COUNT($H$8:W$8)+$I$4))),TREND($D11:$E11,$D$8:$E$8,W$8))</f>
        <v>1</v>
      </c>
      <c r="X11">
        <f>IF($F11="s-curve",$D11+($E11-$D11)*$I$2/(1+EXP($I$3*(COUNT($H$8:X$8)+$I$4))),TREND($D11:$E11,$D$8:$E$8,X$8))</f>
        <v>1</v>
      </c>
      <c r="Y11">
        <f>IF($F11="s-curve",$D11+($E11-$D11)*$I$2/(1+EXP($I$3*(COUNT($H$8:Y$8)+$I$4))),TREND($D11:$E11,$D$8:$E$8,Y$8))</f>
        <v>1</v>
      </c>
      <c r="Z11">
        <f>IF($F11="s-curve",$D11+($E11-$D11)*$I$2/(1+EXP($I$3*(COUNT($H$8:Z$8)+$I$4))),TREND($D11:$E11,$D$8:$E$8,Z$8))</f>
        <v>1</v>
      </c>
      <c r="AA11">
        <f>IF($F11="s-curve",$D11+($E11-$D11)*$I$2/(1+EXP($I$3*(COUNT($H$8:AA$8)+$I$4))),TREND($D11:$E11,$D$8:$E$8,AA$8))</f>
        <v>1</v>
      </c>
      <c r="AB11">
        <f>IF($F11="s-curve",$D11+($E11-$D11)*$I$2/(1+EXP($I$3*(COUNT($H$8:AB$8)+$I$4))),TREND($D11:$E11,$D$8:$E$8,AB$8))</f>
        <v>1</v>
      </c>
      <c r="AC11">
        <f>IF($F11="s-curve",$D11+($E11-$D11)*$I$2/(1+EXP($I$3*(COUNT($H$8:AC$8)+$I$4))),TREND($D11:$E11,$D$8:$E$8,AC$8))</f>
        <v>1</v>
      </c>
      <c r="AD11">
        <f>IF($F11="s-curve",$D11+($E11-$D11)*$I$2/(1+EXP($I$3*(COUNT($H$8:AD$8)+$I$4))),TREND($D11:$E11,$D$8:$E$8,AD$8))</f>
        <v>1</v>
      </c>
      <c r="AE11">
        <f>IF($F11="s-curve",$D11+($E11-$D11)*$I$2/(1+EXP($I$3*(COUNT($H$8:AE$8)+$I$4))),TREND($D11:$E11,$D$8:$E$8,AE$8))</f>
        <v>1</v>
      </c>
      <c r="AF11">
        <f>IF($F11="s-curve",$D11+($E11-$D11)*$I$2/(1+EXP($I$3*(COUNT($H$8:AF$8)+$I$4))),TREND($D11:$E11,$D$8:$E$8,AF$8))</f>
        <v>1</v>
      </c>
      <c r="AG11">
        <f>IF($F11="s-curve",$D11+($E11-$D11)*$I$2/(1+EXP($I$3*(COUNT($H$8:AG$8)+$I$4))),TREND($D11:$E11,$D$8:$E$8,AG$8))</f>
        <v>1</v>
      </c>
      <c r="AH11">
        <f>IF($F11="s-curve",$D11+($E11-$D11)*$I$2/(1+EXP($I$3*(COUNT($H$8:AH$8)+$I$4))),TREND($D11:$E11,$D$8:$E$8,AH$8))</f>
        <v>1</v>
      </c>
      <c r="AI11">
        <f>IF($F11="s-curve",$D11+($E11-$D11)*$I$2/(1+EXP($I$3*(COUNT($H$8:AI$8)+$I$4))),TREND($D11:$E11,$D$8:$E$8,AI$8))</f>
        <v>1</v>
      </c>
      <c r="AJ11">
        <f>IF($F11="s-curve",$D11+($E11-$D11)*$I$2/(1+EXP($I$3*(COUNT($H$8:AJ$8)+$I$4))),TREND($D11:$E11,$D$8:$E$8,AJ$8))</f>
        <v>1</v>
      </c>
      <c r="AK11">
        <f>IF($F11="s-curve",$D11+($E11-$D11)*$I$2/(1+EXP($I$3*(COUNT($H$8:AK$8)+$I$4))),TREND($D11:$E11,$D$8:$E$8,AK$8))</f>
        <v>1</v>
      </c>
      <c r="AL11">
        <f>IF($F11="s-curve",$D11+($E11-$D11)*$I$2/(1+EXP($I$3*(COUNT($H$8:AL$8)+$I$4))),TREND($D11:$E11,$D$8:$E$8,AL$8))</f>
        <v>1</v>
      </c>
      <c r="AM11">
        <f>IF($F11="s-curve",$D11+($E11-$D11)*$I$2/(1+EXP($I$3*(COUNT($H$8:AM$8)+$I$4))),TREND($D11:$E11,$D$8:$E$8,AM$8))</f>
        <v>1</v>
      </c>
      <c r="AN11">
        <f>IF($F11="s-curve",$D11+($E11-$D11)*$I$2/(1+EXP($I$3*(COUNT($H$8:AN$8)+$I$4))),TREND($D11:$E11,$D$8:$E$8,AN$8))</f>
        <v>1</v>
      </c>
      <c r="AO11">
        <f>IF($F11="s-curve",$D11+($E11-$D11)*$I$2/(1+EXP($I$3*(COUNT($H$8:AO$8)+$I$4))),TREND($D11:$E11,$D$8:$E$8,AO$8))</f>
        <v>1</v>
      </c>
      <c r="AP11">
        <f>IF($F11="s-curve",$D11+($E11-$D11)*$I$2/(1+EXP($I$3*(COUNT($H$8:AP$8)+$I$4))),TREND($D11:$E11,$D$8:$E$8,AP$8))</f>
        <v>1</v>
      </c>
      <c r="AQ11">
        <f>IF($F11="s-curve",$D11+($E11-$D11)*$I$2/(1+EXP($I$3*(COUNT($H$8:AQ$8)+$I$4))),TREND($D11:$E11,$D$8:$E$8,AQ$8))</f>
        <v>1</v>
      </c>
      <c r="AR11">
        <f>IF($F11="s-curve",$D11+($E11-$D11)*$I$2/(1+EXP($I$3*(COUNT($H$8:AR$8)+$I$4))),TREND($D11:$E11,$D$8:$E$8,AR$8))</f>
        <v>1</v>
      </c>
      <c r="AS11">
        <f>IF($F11="s-curve",$D11+($E11-$D11)*$I$2/(1+EXP($I$3*(COUNT($H$8:AS$8)+$I$4))),TREND($D11:$E11,$D$8:$E$8,AS$8))</f>
        <v>1</v>
      </c>
      <c r="AT11">
        <f>IF($F11="s-curve",$D11+($E11-$D11)*$I$2/(1+EXP($I$3*(COUNT($H$8:AT$8)+$I$4))),TREND($D11:$E11,$D$8:$E$8,AT$8))</f>
        <v>1</v>
      </c>
      <c r="AU11">
        <f>IF($F11="s-curve",$D11+($E11-$D11)*$I$2/(1+EXP($I$3*(COUNT($H$8:AU$8)+$I$4))),TREND($D11:$E11,$D$8:$E$8,AU$8))</f>
        <v>1</v>
      </c>
      <c r="AV11">
        <f>IF($F11="s-curve",$D11+($E11-$D11)*$I$2/(1+EXP($I$3*(COUNT($H$8:AV$8)+$I$4))),TREND($D11:$E11,$D$8:$E$8,AV$8))</f>
        <v>1</v>
      </c>
    </row>
    <row r="12" spans="1:48" x14ac:dyDescent="0.15">
      <c r="C12" t="s">
        <v>4</v>
      </c>
      <c r="D12" s="22">
        <f>SUM(INDEX('AEO 39'!$18:$18,MATCH(D$8,'AEO 39'!$1:$1,0)),INDEX('AEO 39'!$27:$27,MATCH(D$8,'AEO 39'!$1:$1,0)),INDEX('AEO 39'!$40:$40,MATCH(D$8,'AEO 39'!$1:$1,0)),INDEX('AEO 39'!$49:$49,MATCH(D$8,'AEO 39'!$1:$1,0)))/INDEX('AEO 39'!$59:$59,MATCH(D$8,'AEO 39'!$1:$1,0))</f>
        <v>5.2736439574548885E-3</v>
      </c>
      <c r="E12" s="22">
        <f>SUM(INDEX('AEO 39'!$18:$18,MATCH(E$8,'AEO 39'!$1:$1,0)),INDEX('AEO 39'!$27:$27,MATCH(E$8,'AEO 39'!$1:$1,0)),INDEX('AEO 39'!$40:$40,MATCH(E$8,'AEO 39'!$1:$1,0)),INDEX('AEO 39'!$49:$49,MATCH(E$8,'AEO 39'!$1:$1,0)))/INDEX('AEO 39'!$59:$59,MATCH(E$8,'AEO 39'!$1:$1,0))*Assumptions!A11</f>
        <v>3.0818463927506295E-2</v>
      </c>
      <c r="F12" s="7" t="str">
        <f>IF(D12=E12,"n/a",IF(OR(C12="battery electric vehicle",C12="natural gas vehicle",C12="plugin hybrid vehicle"),"s-curve","linear"))</f>
        <v>linear</v>
      </c>
      <c r="H12" s="22">
        <f t="shared" si="22"/>
        <v>5.2736439574548885E-3</v>
      </c>
      <c r="I12">
        <f>IF($F12="s-curve",$D12+($E12-$D12)*$I$2/(1+EXP($I$3*(COUNT($H$8:I$8)+$I$4))),TREND($D12:$E12,$D$8:$E$8,I$8))</f>
        <v>6.2954367562571001E-3</v>
      </c>
      <c r="J12">
        <f>IF($F12="s-curve",$D12+($E12-$D12)*$I$2/(1+EXP($I$3*(COUNT($H$8:J$8)+$I$4))),TREND($D12:$E12,$D$8:$E$8,J$8))</f>
        <v>7.3172295550594235E-3</v>
      </c>
      <c r="K12">
        <f>IF($F12="s-curve",$D12+($E12-$D12)*$I$2/(1+EXP($I$3*(COUNT($H$8:K$8)+$I$4))),TREND($D12:$E12,$D$8:$E$8,K$8))</f>
        <v>8.3390223538613029E-3</v>
      </c>
      <c r="L12">
        <f>IF($F12="s-curve",$D12+($E12-$D12)*$I$2/(1+EXP($I$3*(COUNT($H$8:L$8)+$I$4))),TREND($D12:$E12,$D$8:$E$8,L$8))</f>
        <v>9.3608151526631822E-3</v>
      </c>
      <c r="M12">
        <f>IF($F12="s-curve",$D12+($E12-$D12)*$I$2/(1+EXP($I$3*(COUNT($H$8:M$8)+$I$4))),TREND($D12:$E12,$D$8:$E$8,M$8))</f>
        <v>1.0382607951465506E-2</v>
      </c>
      <c r="N12">
        <f>IF($F12="s-curve",$D12+($E12-$D12)*$I$2/(1+EXP($I$3*(COUNT($H$8:N$8)+$I$4))),TREND($D12:$E12,$D$8:$E$8,N$8))</f>
        <v>1.1404400750267385E-2</v>
      </c>
      <c r="O12">
        <f>IF($F12="s-curve",$D12+($E12-$D12)*$I$2/(1+EXP($I$3*(COUNT($H$8:O$8)+$I$4))),TREND($D12:$E12,$D$8:$E$8,O$8))</f>
        <v>1.2426193549069708E-2</v>
      </c>
      <c r="P12">
        <f>IF($F12="s-curve",$D12+($E12-$D12)*$I$2/(1+EXP($I$3*(COUNT($H$8:P$8)+$I$4))),TREND($D12:$E12,$D$8:$E$8,P$8))</f>
        <v>1.3447986347871588E-2</v>
      </c>
      <c r="Q12">
        <f>IF($F12="s-curve",$D12+($E12-$D12)*$I$2/(1+EXP($I$3*(COUNT($H$8:Q$8)+$I$4))),TREND($D12:$E12,$D$8:$E$8,Q$8))</f>
        <v>1.4469779146673467E-2</v>
      </c>
      <c r="R12">
        <f>IF($F12="s-curve",$D12+($E12-$D12)*$I$2/(1+EXP($I$3*(COUNT($H$8:R$8)+$I$4))),TREND($D12:$E12,$D$8:$E$8,R$8))</f>
        <v>1.5491571945475791E-2</v>
      </c>
      <c r="S12">
        <f>IF($F12="s-curve",$D12+($E12-$D12)*$I$2/(1+EXP($I$3*(COUNT($H$8:S$8)+$I$4))),TREND($D12:$E12,$D$8:$E$8,S$8))</f>
        <v>1.651336474427767E-2</v>
      </c>
      <c r="T12">
        <f>IF($F12="s-curve",$D12+($E12-$D12)*$I$2/(1+EXP($I$3*(COUNT($H$8:T$8)+$I$4))),TREND($D12:$E12,$D$8:$E$8,T$8))</f>
        <v>1.7535157543079993E-2</v>
      </c>
      <c r="U12">
        <f>IF($F12="s-curve",$D12+($E12-$D12)*$I$2/(1+EXP($I$3*(COUNT($H$8:U$8)+$I$4))),TREND($D12:$E12,$D$8:$E$8,U$8))</f>
        <v>1.8556950341881873E-2</v>
      </c>
      <c r="V12">
        <f>IF($F12="s-curve",$D12+($E12-$D12)*$I$2/(1+EXP($I$3*(COUNT($H$8:V$8)+$I$4))),TREND($D12:$E12,$D$8:$E$8,V$8))</f>
        <v>1.9578743140683752E-2</v>
      </c>
      <c r="W12">
        <f>IF($F12="s-curve",$D12+($E12-$D12)*$I$2/(1+EXP($I$3*(COUNT($H$8:W$8)+$I$4))),TREND($D12:$E12,$D$8:$E$8,W$8))</f>
        <v>2.0600535939486075E-2</v>
      </c>
      <c r="X12">
        <f>IF($F12="s-curve",$D12+($E12-$D12)*$I$2/(1+EXP($I$3*(COUNT($H$8:X$8)+$I$4))),TREND($D12:$E12,$D$8:$E$8,X$8))</f>
        <v>2.1622328738287955E-2</v>
      </c>
      <c r="Y12">
        <f>IF($F12="s-curve",$D12+($E12-$D12)*$I$2/(1+EXP($I$3*(COUNT($H$8:Y$8)+$I$4))),TREND($D12:$E12,$D$8:$E$8,Y$8))</f>
        <v>2.2644121537090278E-2</v>
      </c>
      <c r="Z12">
        <f>IF($F12="s-curve",$D12+($E12-$D12)*$I$2/(1+EXP($I$3*(COUNT($H$8:Z$8)+$I$4))),TREND($D12:$E12,$D$8:$E$8,Z$8))</f>
        <v>2.3665914335892158E-2</v>
      </c>
      <c r="AA12">
        <f>IF($F12="s-curve",$D12+($E12-$D12)*$I$2/(1+EXP($I$3*(COUNT($H$8:AA$8)+$I$4))),TREND($D12:$E12,$D$8:$E$8,AA$8))</f>
        <v>2.4687707134694037E-2</v>
      </c>
      <c r="AB12">
        <f>IF($F12="s-curve",$D12+($E12-$D12)*$I$2/(1+EXP($I$3*(COUNT($H$8:AB$8)+$I$4))),TREND($D12:$E12,$D$8:$E$8,AB$8))</f>
        <v>2.570949993349636E-2</v>
      </c>
      <c r="AC12">
        <f>IF($F12="s-curve",$D12+($E12-$D12)*$I$2/(1+EXP($I$3*(COUNT($H$8:AC$8)+$I$4))),TREND($D12:$E12,$D$8:$E$8,AC$8))</f>
        <v>2.673129273229824E-2</v>
      </c>
      <c r="AD12">
        <f>IF($F12="s-curve",$D12+($E12-$D12)*$I$2/(1+EXP($I$3*(COUNT($H$8:AD$8)+$I$4))),TREND($D12:$E12,$D$8:$E$8,AD$8))</f>
        <v>2.7753085531100563E-2</v>
      </c>
      <c r="AE12">
        <f>IF($F12="s-curve",$D12+($E12-$D12)*$I$2/(1+EXP($I$3*(COUNT($H$8:AE$8)+$I$4))),TREND($D12:$E12,$D$8:$E$8,AE$8))</f>
        <v>2.8774878329902442E-2</v>
      </c>
      <c r="AF12">
        <f>IF($F12="s-curve",$D12+($E12-$D12)*$I$2/(1+EXP($I$3*(COUNT($H$8:AF$8)+$I$4))),TREND($D12:$E12,$D$8:$E$8,AF$8))</f>
        <v>2.9796671128704322E-2</v>
      </c>
      <c r="AG12">
        <f>IF($F12="s-curve",$D12+($E12-$D12)*$I$2/(1+EXP($I$3*(COUNT($H$8:AG$8)+$I$4))),TREND($D12:$E12,$D$8:$E$8,AG$8))</f>
        <v>3.0818463927506645E-2</v>
      </c>
      <c r="AH12">
        <f>IF($F12="s-curve",$D12+($E12-$D12)*$I$2/(1+EXP($I$3*(COUNT($H$8:AH$8)+$I$4))),TREND($D12:$E12,$D$8:$E$8,AH$8))</f>
        <v>3.1840256726308525E-2</v>
      </c>
      <c r="AI12">
        <f>IF($F12="s-curve",$D12+($E12-$D12)*$I$2/(1+EXP($I$3*(COUNT($H$8:AI$8)+$I$4))),TREND($D12:$E12,$D$8:$E$8,AI$8))</f>
        <v>3.2862049525110848E-2</v>
      </c>
      <c r="AJ12">
        <f>IF($F12="s-curve",$D12+($E12-$D12)*$I$2/(1+EXP($I$3*(COUNT($H$8:AJ$8)+$I$4))),TREND($D12:$E12,$D$8:$E$8,AJ$8))</f>
        <v>3.3883842323912727E-2</v>
      </c>
      <c r="AK12">
        <f>IF($F12="s-curve",$D12+($E12-$D12)*$I$2/(1+EXP($I$3*(COUNT($H$8:AK$8)+$I$4))),TREND($D12:$E12,$D$8:$E$8,AK$8))</f>
        <v>3.4905635122714607E-2</v>
      </c>
      <c r="AL12">
        <f>IF($F12="s-curve",$D12+($E12-$D12)*$I$2/(1+EXP($I$3*(COUNT($H$8:AL$8)+$I$4))),TREND($D12:$E12,$D$8:$E$8,AL$8))</f>
        <v>3.592742792151693E-2</v>
      </c>
      <c r="AM12">
        <f>IF($F12="s-curve",$D12+($E12-$D12)*$I$2/(1+EXP($I$3*(COUNT($H$8:AM$8)+$I$4))),TREND($D12:$E12,$D$8:$E$8,AM$8))</f>
        <v>3.6949220720318809E-2</v>
      </c>
      <c r="AN12">
        <f>IF($F12="s-curve",$D12+($E12-$D12)*$I$2/(1+EXP($I$3*(COUNT($H$8:AN$8)+$I$4))),TREND($D12:$E12,$D$8:$E$8,AN$8))</f>
        <v>3.7971013519121133E-2</v>
      </c>
      <c r="AO12">
        <f>IF($F12="s-curve",$D12+($E12-$D12)*$I$2/(1+EXP($I$3*(COUNT($H$8:AO$8)+$I$4))),TREND($D12:$E12,$D$8:$E$8,AO$8))</f>
        <v>3.8992806317923012E-2</v>
      </c>
      <c r="AP12">
        <f>IF($F12="s-curve",$D12+($E12-$D12)*$I$2/(1+EXP($I$3*(COUNT($H$8:AP$8)+$I$4))),TREND($D12:$E12,$D$8:$E$8,AP$8))</f>
        <v>4.0014599116724892E-2</v>
      </c>
      <c r="AQ12">
        <f>IF($F12="s-curve",$D12+($E12-$D12)*$I$2/(1+EXP($I$3*(COUNT($H$8:AQ$8)+$I$4))),TREND($D12:$E12,$D$8:$E$8,AQ$8))</f>
        <v>4.1036391915527215E-2</v>
      </c>
      <c r="AR12">
        <f>IF($F12="s-curve",$D12+($E12-$D12)*$I$2/(1+EXP($I$3*(COUNT($H$8:AR$8)+$I$4))),TREND($D12:$E12,$D$8:$E$8,AR$8))</f>
        <v>4.2058184714329094E-2</v>
      </c>
      <c r="AS12">
        <f>IF($F12="s-curve",$D12+($E12-$D12)*$I$2/(1+EXP($I$3*(COUNT($H$8:AS$8)+$I$4))),TREND($D12:$E12,$D$8:$E$8,AS$8))</f>
        <v>4.3079977513131418E-2</v>
      </c>
      <c r="AT12">
        <f>IF($F12="s-curve",$D12+($E12-$D12)*$I$2/(1+EXP($I$3*(COUNT($H$8:AT$8)+$I$4))),TREND($D12:$E12,$D$8:$E$8,AT$8))</f>
        <v>4.4101770311933297E-2</v>
      </c>
      <c r="AU12">
        <f>IF($F12="s-curve",$D12+($E12-$D12)*$I$2/(1+EXP($I$3*(COUNT($H$8:AU$8)+$I$4))),TREND($D12:$E12,$D$8:$E$8,AU$8))</f>
        <v>4.5123563110735176E-2</v>
      </c>
      <c r="AV12">
        <f>IF($F12="s-curve",$D12+($E12-$D12)*$I$2/(1+EXP($I$3*(COUNT($H$8:AV$8)+$I$4))),TREND($D12:$E12,$D$8:$E$8,AV$8))</f>
        <v>4.61453559095375E-2</v>
      </c>
    </row>
    <row r="13" spans="1:48" x14ac:dyDescent="0.15">
      <c r="C13" t="s">
        <v>5</v>
      </c>
      <c r="D13" s="22">
        <f>SUM(SUM(INDEX('AEO 39'!25:26,0,MATCH(D$8,'AEO 39'!$1:$1,0))),SUM(INDEX('AEO 39'!47:48,0,MATCH(D$8,'AEO 39'!$1:$1,0))))/INDEX('AEO 39'!$59:$59,MATCH(D$8,'AEO 39'!$1:$1,0))</f>
        <v>3.5727113543484136E-3</v>
      </c>
      <c r="E13" s="22">
        <f>SUM(SUM(INDEX('AEO 39'!25:26,0,MATCH(E$8,'AEO 39'!$1:$1,0))),SUM(INDEX('AEO 39'!47:48,0,MATCH(E$8,'AEO 39'!$1:$1,0))))/INDEX('AEO 39'!$59:$59,MATCH(E$8,'AEO 39'!$1:$1,0))*Assumptions!A11</f>
        <v>6.5546755430319736E-2</v>
      </c>
      <c r="F13" s="7" t="str">
        <f>IF(D13=E13,"n/a",IF(OR(C13="battery electric vehicle",C13="natural gas vehicle",C13="plugin hybrid vehicle",C13="hydrogen vehicle"),"s-curve","linear"))</f>
        <v>s-curve</v>
      </c>
      <c r="H13" s="22">
        <f t="shared" si="22"/>
        <v>3.5727113543484136E-3</v>
      </c>
      <c r="I13">
        <f>IF($F13="s-curve",$D13+($E13-$D13)*$I$2/(1+EXP($I$3*(COUNT($H$8:I$8)+$I$4))),TREND($D13:$E13,$D$8:$E$8,I$8))</f>
        <v>4.4883178456871153E-3</v>
      </c>
      <c r="J13">
        <f>IF($F13="s-curve",$D13+($E13-$D13)*$I$2/(1+EXP($I$3*(COUNT($H$8:J$8)+$I$4))),TREND($D13:$E13,$D$8:$E$8,J$8))</f>
        <v>4.8022953363928795E-3</v>
      </c>
      <c r="K13">
        <f>IF($F13="s-curve",$D13+($E13-$D13)*$I$2/(1+EXP($I$3*(COUNT($H$8:K$8)+$I$4))),TREND($D13:$E13,$D$8:$E$8,K$8))</f>
        <v>5.2210346065694252E-3</v>
      </c>
      <c r="L13">
        <f>IF($F13="s-curve",$D13+($E13-$D13)*$I$2/(1+EXP($I$3*(COUNT($H$8:L$8)+$I$4))),TREND($D13:$E13,$D$8:$E$8,L$8))</f>
        <v>5.777201806165486E-3</v>
      </c>
      <c r="M13">
        <f>IF($F13="s-curve",$D13+($E13-$D13)*$I$2/(1+EXP($I$3*(COUNT($H$8:M$8)+$I$4))),TREND($D13:$E13,$D$8:$E$8,M$8))</f>
        <v>6.5118845089963632E-3</v>
      </c>
      <c r="N13">
        <f>IF($F13="s-curve",$D13+($E13-$D13)*$I$2/(1+EXP($I$3*(COUNT($H$8:N$8)+$I$4))),TREND($D13:$E13,$D$8:$E$8,N$8))</f>
        <v>7.4754248982365507E-3</v>
      </c>
      <c r="O13">
        <f>IF($F13="s-curve",$D13+($E13-$D13)*$I$2/(1+EXP($I$3*(COUNT($H$8:O$8)+$I$4))),TREND($D13:$E13,$D$8:$E$8,O$8))</f>
        <v>8.727259712780145E-3</v>
      </c>
      <c r="P13">
        <f>IF($F13="s-curve",$D13+($E13-$D13)*$I$2/(1+EXP($I$3*(COUNT($H$8:P$8)+$I$4))),TREND($D13:$E13,$D$8:$E$8,P$8))</f>
        <v>1.0333882559673692E-2</v>
      </c>
      <c r="Q13">
        <f>IF($F13="s-curve",$D13+($E13-$D13)*$I$2/(1+EXP($I$3*(COUNT($H$8:Q$8)+$I$4))),TREND($D13:$E13,$D$8:$E$8,Q$8))</f>
        <v>1.2363795502714714E-2</v>
      </c>
      <c r="R13">
        <f>IF($F13="s-curve",$D13+($E13-$D13)*$I$2/(1+EXP($I$3*(COUNT($H$8:R$8)+$I$4))),TREND($D13:$E13,$D$8:$E$8,R$8))</f>
        <v>1.4878358807305699E-2</v>
      </c>
      <c r="S13">
        <f>IF($F13="s-curve",$D13+($E13-$D13)*$I$2/(1+EXP($I$3*(COUNT($H$8:S$8)+$I$4))),TREND($D13:$E13,$D$8:$E$8,S$8))</f>
        <v>1.7918166624275301E-2</v>
      </c>
      <c r="T13">
        <f>IF($F13="s-curve",$D13+($E13-$D13)*$I$2/(1+EXP($I$3*(COUNT($H$8:T$8)+$I$4))),TREND($D13:$E13,$D$8:$E$8,T$8))</f>
        <v>2.1486339618847855E-2</v>
      </c>
      <c r="U13">
        <f>IF($F13="s-curve",$D13+($E13-$D13)*$I$2/(1+EXP($I$3*(COUNT($H$8:U$8)+$I$4))),TREND($D13:$E13,$D$8:$E$8,U$8))</f>
        <v>2.5532823050353454E-2</v>
      </c>
      <c r="V13">
        <f>IF($F13="s-curve",$D13+($E13-$D13)*$I$2/(1+EXP($I$3*(COUNT($H$8:V$8)+$I$4))),TREND($D13:$E13,$D$8:$E$8,V$8))</f>
        <v>2.9946229574322084E-2</v>
      </c>
      <c r="W13">
        <f>IF($F13="s-curve",$D13+($E13-$D13)*$I$2/(1+EXP($I$3*(COUNT($H$8:W$8)+$I$4))),TREND($D13:$E13,$D$8:$E$8,W$8))</f>
        <v>3.4559733392334077E-2</v>
      </c>
      <c r="X13">
        <f>IF($F13="s-curve",$D13+($E13-$D13)*$I$2/(1+EXP($I$3*(COUNT($H$8:X$8)+$I$4))),TREND($D13:$E13,$D$8:$E$8,X$8))</f>
        <v>3.9173237210346067E-2</v>
      </c>
      <c r="Y13">
        <f>IF($F13="s-curve",$D13+($E13-$D13)*$I$2/(1+EXP($I$3*(COUNT($H$8:Y$8)+$I$4))),TREND($D13:$E13,$D$8:$E$8,Y$8))</f>
        <v>4.3586643734314694E-2</v>
      </c>
      <c r="Z13">
        <f>IF($F13="s-curve",$D13+($E13-$D13)*$I$2/(1+EXP($I$3*(COUNT($H$8:Z$8)+$I$4))),TREND($D13:$E13,$D$8:$E$8,Z$8))</f>
        <v>4.7633127165820292E-2</v>
      </c>
      <c r="AA13">
        <f>IF($F13="s-curve",$D13+($E13-$D13)*$I$2/(1+EXP($I$3*(COUNT($H$8:AA$8)+$I$4))),TREND($D13:$E13,$D$8:$E$8,AA$8))</f>
        <v>5.120130016039285E-2</v>
      </c>
      <c r="AB13">
        <f>IF($F13="s-curve",$D13+($E13-$D13)*$I$2/(1+EXP($I$3*(COUNT($H$8:AB$8)+$I$4))),TREND($D13:$E13,$D$8:$E$8,AB$8))</f>
        <v>5.4241107977362452E-2</v>
      </c>
      <c r="AC13">
        <f>IF($F13="s-curve",$D13+($E13-$D13)*$I$2/(1+EXP($I$3*(COUNT($H$8:AC$8)+$I$4))),TREND($D13:$E13,$D$8:$E$8,AC$8))</f>
        <v>5.675567128195344E-2</v>
      </c>
      <c r="AD13">
        <f>IF($F13="s-curve",$D13+($E13-$D13)*$I$2/(1+EXP($I$3*(COUNT($H$8:AD$8)+$I$4))),TREND($D13:$E13,$D$8:$E$8,AD$8))</f>
        <v>5.8785584224994462E-2</v>
      </c>
      <c r="AE13">
        <f>IF($F13="s-curve",$D13+($E13-$D13)*$I$2/(1+EXP($I$3*(COUNT($H$8:AE$8)+$I$4))),TREND($D13:$E13,$D$8:$E$8,AE$8))</f>
        <v>6.0392207071888006E-2</v>
      </c>
      <c r="AF13">
        <f>IF($F13="s-curve",$D13+($E13-$D13)*$I$2/(1+EXP($I$3*(COUNT($H$8:AF$8)+$I$4))),TREND($D13:$E13,$D$8:$E$8,AF$8))</f>
        <v>6.1644041886431605E-2</v>
      </c>
      <c r="AG13">
        <f>IF($F13="s-curve",$D13+($E13-$D13)*$I$2/(1+EXP($I$3*(COUNT($H$8:AG$8)+$I$4))),TREND($D13:$E13,$D$8:$E$8,AG$8))</f>
        <v>6.26075822756718E-2</v>
      </c>
      <c r="AH13">
        <f>IF($F13="s-curve",$D13+($E13-$D13)*$I$2/(1+EXP($I$3*(COUNT($H$8:AH$8)+$I$4))),TREND($D13:$E13,$D$8:$E$8,AH$8))</f>
        <v>6.3342264978502663E-2</v>
      </c>
      <c r="AI13">
        <f>IF($F13="s-curve",$D13+($E13-$D13)*$I$2/(1+EXP($I$3*(COUNT($H$8:AI$8)+$I$4))),TREND($D13:$E13,$D$8:$E$8,AI$8))</f>
        <v>6.3898432178098721E-2</v>
      </c>
      <c r="AJ13">
        <f>IF($F13="s-curve",$D13+($E13-$D13)*$I$2/(1+EXP($I$3*(COUNT($H$8:AJ$8)+$I$4))),TREND($D13:$E13,$D$8:$E$8,AJ$8))</f>
        <v>6.431717144827527E-2</v>
      </c>
      <c r="AK13">
        <f>IF($F13="s-curve",$D13+($E13-$D13)*$I$2/(1+EXP($I$3*(COUNT($H$8:AK$8)+$I$4))),TREND($D13:$E13,$D$8:$E$8,AK$8))</f>
        <v>6.4631148938981045E-2</v>
      </c>
      <c r="AL13">
        <f>IF($F13="s-curve",$D13+($E13-$D13)*$I$2/(1+EXP($I$3*(COUNT($H$8:AL$8)+$I$4))),TREND($D13:$E13,$D$8:$E$8,AL$8))</f>
        <v>6.4865850163471198E-2</v>
      </c>
      <c r="AM13">
        <f>IF($F13="s-curve",$D13+($E13-$D13)*$I$2/(1+EXP($I$3*(COUNT($H$8:AM$8)+$I$4))),TREND($D13:$E13,$D$8:$E$8,AM$8))</f>
        <v>6.5040887885900553E-2</v>
      </c>
      <c r="AN13">
        <f>IF($F13="s-curve",$D13+($E13-$D13)*$I$2/(1+EXP($I$3*(COUNT($H$8:AN$8)+$I$4))),TREND($D13:$E13,$D$8:$E$8,AN$8))</f>
        <v>6.5171205025588666E-2</v>
      </c>
      <c r="AO13">
        <f>IF($F13="s-curve",$D13+($E13-$D13)*$I$2/(1+EXP($I$3*(COUNT($H$8:AO$8)+$I$4))),TREND($D13:$E13,$D$8:$E$8,AO$8))</f>
        <v>6.5268103199265959E-2</v>
      </c>
      <c r="AP13">
        <f>IF($F13="s-curve",$D13+($E13-$D13)*$I$2/(1+EXP($I$3*(COUNT($H$8:AP$8)+$I$4))),TREND($D13:$E13,$D$8:$E$8,AP$8))</f>
        <v>6.5340083935265234E-2</v>
      </c>
      <c r="AQ13">
        <f>IF($F13="s-curve",$D13+($E13-$D13)*$I$2/(1+EXP($I$3*(COUNT($H$8:AQ$8)+$I$4))),TREND($D13:$E13,$D$8:$E$8,AQ$8))</f>
        <v>6.5393516973827198E-2</v>
      </c>
      <c r="AR13">
        <f>IF($F13="s-curve",$D13+($E13-$D13)*$I$2/(1+EXP($I$3*(COUNT($H$8:AR$8)+$I$4))),TREND($D13:$E13,$D$8:$E$8,AR$8))</f>
        <v>6.5433160791509126E-2</v>
      </c>
      <c r="AS13">
        <f>IF($F13="s-curve",$D13+($E13-$D13)*$I$2/(1+EXP($I$3*(COUNT($H$8:AS$8)+$I$4))),TREND($D13:$E13,$D$8:$E$8,AS$8))</f>
        <v>6.5462562455033776E-2</v>
      </c>
      <c r="AT13">
        <f>IF($F13="s-curve",$D13+($E13-$D13)*$I$2/(1+EXP($I$3*(COUNT($H$8:AT$8)+$I$4))),TREND($D13:$E13,$D$8:$E$8,AT$8))</f>
        <v>6.548436177114135E-2</v>
      </c>
      <c r="AU13">
        <f>IF($F13="s-curve",$D13+($E13-$D13)*$I$2/(1+EXP($I$3*(COUNT($H$8:AU$8)+$I$4))),TREND($D13:$E13,$D$8:$E$8,AU$8))</f>
        <v>6.5500521006489607E-2</v>
      </c>
      <c r="AV13">
        <f>IF($F13="s-curve",$D13+($E13-$D13)*$I$2/(1+EXP($I$3*(COUNT($H$8:AV$8)+$I$4))),TREND($D13:$E13,$D$8:$E$8,AV$8))</f>
        <v>6.5512497502710779E-2</v>
      </c>
    </row>
    <row r="14" spans="1:48" x14ac:dyDescent="0.15">
      <c r="C14" t="s">
        <v>125</v>
      </c>
      <c r="D14" s="22">
        <f>SUM(SUM(INDEX('AEO 39'!31:32,0,MATCH(D$8,'AEO 39'!$1:$1,0))),SUM(INDEX('AEO 39'!53:54,0,MATCH(D$8,'AEO 39'!$1:$1,0))))/INDEX('AEO 39'!$59:$59,MATCH(D$8,'AEO 39'!$1:$1,0))</f>
        <v>2.6094364025041152E-4</v>
      </c>
      <c r="E14" s="22">
        <f>SUM(SUM(INDEX('AEO 39'!31:32,0,MATCH(E$8,'AEO 39'!$1:$1,0))),SUM(INDEX('AEO 39'!53:54,0,MATCH(E$8,'AEO 39'!$1:$1,0))))/INDEX('AEO 39'!$59:$59,MATCH(E$8,'AEO 39'!$1:$1,0))*Assumptions!A11</f>
        <v>8.6165104068937229E-4</v>
      </c>
      <c r="F14" s="7" t="str">
        <f>IF(D14=E14,"n/a",IF(OR(C14="battery electric vehicle",C14="natural gas vehicle",C14="plugin hybrid vehicle",C14="hydrogen vehicle"),"s-curve","linear"))</f>
        <v>linear</v>
      </c>
      <c r="H14" s="22">
        <f t="shared" si="22"/>
        <v>2.6094364025041152E-4</v>
      </c>
      <c r="I14">
        <f>IF($F14="s-curve",$D14+($E14-$D14)*$I$2/(1+EXP($I$3*(COUNT($H$8:I$8)+$I$4))),TREND($D14:$E14,$D$8:$E$8,I$8))</f>
        <v>2.8497193626796785E-4</v>
      </c>
      <c r="J14">
        <f>IF($F14="s-curve",$D14+($E14-$D14)*$I$2/(1+EXP($I$3*(COUNT($H$8:J$8)+$I$4))),TREND($D14:$E14,$D$8:$E$8,J$8))</f>
        <v>3.0900023228552786E-4</v>
      </c>
      <c r="K14">
        <f>IF($F14="s-curve",$D14+($E14-$D14)*$I$2/(1+EXP($I$3*(COUNT($H$8:K$8)+$I$4))),TREND($D14:$E14,$D$8:$E$8,K$8))</f>
        <v>3.3302852830308788E-4</v>
      </c>
      <c r="L14">
        <f>IF($F14="s-curve",$D14+($E14-$D14)*$I$2/(1+EXP($I$3*(COUNT($H$8:L$8)+$I$4))),TREND($D14:$E14,$D$8:$E$8,L$8))</f>
        <v>3.5705682432064095E-4</v>
      </c>
      <c r="M14">
        <f>IF($F14="s-curve",$D14+($E14-$D14)*$I$2/(1+EXP($I$3*(COUNT($H$8:M$8)+$I$4))),TREND($D14:$E14,$D$8:$E$8,M$8))</f>
        <v>3.8108512033820097E-4</v>
      </c>
      <c r="N14">
        <f>IF($F14="s-curve",$D14+($E14-$D14)*$I$2/(1+EXP($I$3*(COUNT($H$8:N$8)+$I$4))),TREND($D14:$E14,$D$8:$E$8,N$8))</f>
        <v>4.0511341635576098E-4</v>
      </c>
      <c r="O14">
        <f>IF($F14="s-curve",$D14+($E14-$D14)*$I$2/(1+EXP($I$3*(COUNT($H$8:O$8)+$I$4))),TREND($D14:$E14,$D$8:$E$8,O$8))</f>
        <v>4.2914171237332099E-4</v>
      </c>
      <c r="P14">
        <f>IF($F14="s-curve",$D14+($E14-$D14)*$I$2/(1+EXP($I$3*(COUNT($H$8:P$8)+$I$4))),TREND($D14:$E14,$D$8:$E$8,P$8))</f>
        <v>4.5317000839087407E-4</v>
      </c>
      <c r="Q14">
        <f>IF($F14="s-curve",$D14+($E14-$D14)*$I$2/(1+EXP($I$3*(COUNT($H$8:Q$8)+$I$4))),TREND($D14:$E14,$D$8:$E$8,Q$8))</f>
        <v>4.7719830440843408E-4</v>
      </c>
      <c r="R14">
        <f>IF($F14="s-curve",$D14+($E14-$D14)*$I$2/(1+EXP($I$3*(COUNT($H$8:R$8)+$I$4))),TREND($D14:$E14,$D$8:$E$8,R$8))</f>
        <v>5.012266004259941E-4</v>
      </c>
      <c r="S14">
        <f>IF($F14="s-curve",$D14+($E14-$D14)*$I$2/(1+EXP($I$3*(COUNT($H$8:S$8)+$I$4))),TREND($D14:$E14,$D$8:$E$8,S$8))</f>
        <v>5.2525489644355411E-4</v>
      </c>
      <c r="T14">
        <f>IF($F14="s-curve",$D14+($E14-$D14)*$I$2/(1+EXP($I$3*(COUNT($H$8:T$8)+$I$4))),TREND($D14:$E14,$D$8:$E$8,T$8))</f>
        <v>5.4928319246111412E-4</v>
      </c>
      <c r="U14">
        <f>IF($F14="s-curve",$D14+($E14-$D14)*$I$2/(1+EXP($I$3*(COUNT($H$8:U$8)+$I$4))),TREND($D14:$E14,$D$8:$E$8,U$8))</f>
        <v>5.733114884786672E-4</v>
      </c>
      <c r="V14">
        <f>IF($F14="s-curve",$D14+($E14-$D14)*$I$2/(1+EXP($I$3*(COUNT($H$8:V$8)+$I$4))),TREND($D14:$E14,$D$8:$E$8,V$8))</f>
        <v>5.9733978449622721E-4</v>
      </c>
      <c r="W14">
        <f>IF($F14="s-curve",$D14+($E14-$D14)*$I$2/(1+EXP($I$3*(COUNT($H$8:W$8)+$I$4))),TREND($D14:$E14,$D$8:$E$8,W$8))</f>
        <v>6.2136808051378722E-4</v>
      </c>
      <c r="X14">
        <f>IF($F14="s-curve",$D14+($E14-$D14)*$I$2/(1+EXP($I$3*(COUNT($H$8:X$8)+$I$4))),TREND($D14:$E14,$D$8:$E$8,X$8))</f>
        <v>6.4539637653134724E-4</v>
      </c>
      <c r="Y14">
        <f>IF($F14="s-curve",$D14+($E14-$D14)*$I$2/(1+EXP($I$3*(COUNT($H$8:Y$8)+$I$4))),TREND($D14:$E14,$D$8:$E$8,Y$8))</f>
        <v>6.6942467254890031E-4</v>
      </c>
      <c r="Z14">
        <f>IF($F14="s-curve",$D14+($E14-$D14)*$I$2/(1+EXP($I$3*(COUNT($H$8:Z$8)+$I$4))),TREND($D14:$E14,$D$8:$E$8,Z$8))</f>
        <v>6.9345296856646033E-4</v>
      </c>
      <c r="AA14">
        <f>IF($F14="s-curve",$D14+($E14-$D14)*$I$2/(1+EXP($I$3*(COUNT($H$8:AA$8)+$I$4))),TREND($D14:$E14,$D$8:$E$8,AA$8))</f>
        <v>7.1748126458402034E-4</v>
      </c>
      <c r="AB14">
        <f>IF($F14="s-curve",$D14+($E14-$D14)*$I$2/(1+EXP($I$3*(COUNT($H$8:AB$8)+$I$4))),TREND($D14:$E14,$D$8:$E$8,AB$8))</f>
        <v>7.4150956060158035E-4</v>
      </c>
      <c r="AC14">
        <f>IF($F14="s-curve",$D14+($E14-$D14)*$I$2/(1+EXP($I$3*(COUNT($H$8:AC$8)+$I$4))),TREND($D14:$E14,$D$8:$E$8,AC$8))</f>
        <v>7.6553785661913343E-4</v>
      </c>
      <c r="AD14">
        <f>IF($F14="s-curve",$D14+($E14-$D14)*$I$2/(1+EXP($I$3*(COUNT($H$8:AD$8)+$I$4))),TREND($D14:$E14,$D$8:$E$8,AD$8))</f>
        <v>7.8956615263669344E-4</v>
      </c>
      <c r="AE14">
        <f>IF($F14="s-curve",$D14+($E14-$D14)*$I$2/(1+EXP($I$3*(COUNT($H$8:AE$8)+$I$4))),TREND($D14:$E14,$D$8:$E$8,AE$8))</f>
        <v>8.1359444865425345E-4</v>
      </c>
      <c r="AF14">
        <f>IF($F14="s-curve",$D14+($E14-$D14)*$I$2/(1+EXP($I$3*(COUNT($H$8:AF$8)+$I$4))),TREND($D14:$E14,$D$8:$E$8,AF$8))</f>
        <v>8.3762274467181347E-4</v>
      </c>
      <c r="AG14">
        <f>IF($F14="s-curve",$D14+($E14-$D14)*$I$2/(1+EXP($I$3*(COUNT($H$8:AG$8)+$I$4))),TREND($D14:$E14,$D$8:$E$8,AG$8))</f>
        <v>8.6165104068937348E-4</v>
      </c>
      <c r="AH14">
        <f>IF($F14="s-curve",$D14+($E14-$D14)*$I$2/(1+EXP($I$3*(COUNT($H$8:AH$8)+$I$4))),TREND($D14:$E14,$D$8:$E$8,AH$8))</f>
        <v>8.8567933670692656E-4</v>
      </c>
      <c r="AI14">
        <f>IF($F14="s-curve",$D14+($E14-$D14)*$I$2/(1+EXP($I$3*(COUNT($H$8:AI$8)+$I$4))),TREND($D14:$E14,$D$8:$E$8,AI$8))</f>
        <v>9.0970763272448657E-4</v>
      </c>
      <c r="AJ14">
        <f>IF($F14="s-curve",$D14+($E14-$D14)*$I$2/(1+EXP($I$3*(COUNT($H$8:AJ$8)+$I$4))),TREND($D14:$E14,$D$8:$E$8,AJ$8))</f>
        <v>9.3373592874204658E-4</v>
      </c>
      <c r="AK14">
        <f>IF($F14="s-curve",$D14+($E14-$D14)*$I$2/(1+EXP($I$3*(COUNT($H$8:AK$8)+$I$4))),TREND($D14:$E14,$D$8:$E$8,AK$8))</f>
        <v>9.577642247596066E-4</v>
      </c>
      <c r="AL14">
        <f>IF($F14="s-curve",$D14+($E14-$D14)*$I$2/(1+EXP($I$3*(COUNT($H$8:AL$8)+$I$4))),TREND($D14:$E14,$D$8:$E$8,AL$8))</f>
        <v>9.8179252077715967E-4</v>
      </c>
      <c r="AM14">
        <f>IF($F14="s-curve",$D14+($E14-$D14)*$I$2/(1+EXP($I$3*(COUNT($H$8:AM$8)+$I$4))),TREND($D14:$E14,$D$8:$E$8,AM$8))</f>
        <v>1.0058208167947197E-3</v>
      </c>
      <c r="AN14">
        <f>IF($F14="s-curve",$D14+($E14-$D14)*$I$2/(1+EXP($I$3*(COUNT($H$8:AN$8)+$I$4))),TREND($D14:$E14,$D$8:$E$8,AN$8))</f>
        <v>1.0298491128122797E-3</v>
      </c>
      <c r="AO14">
        <f>IF($F14="s-curve",$D14+($E14-$D14)*$I$2/(1+EXP($I$3*(COUNT($H$8:AO$8)+$I$4))),TREND($D14:$E14,$D$8:$E$8,AO$8))</f>
        <v>1.0538774088298397E-3</v>
      </c>
      <c r="AP14">
        <f>IF($F14="s-curve",$D14+($E14-$D14)*$I$2/(1+EXP($I$3*(COUNT($H$8:AP$8)+$I$4))),TREND($D14:$E14,$D$8:$E$8,AP$8))</f>
        <v>1.0779057048473928E-3</v>
      </c>
      <c r="AQ14">
        <f>IF($F14="s-curve",$D14+($E14-$D14)*$I$2/(1+EXP($I$3*(COUNT($H$8:AQ$8)+$I$4))),TREND($D14:$E14,$D$8:$E$8,AQ$8))</f>
        <v>1.1019340008649528E-3</v>
      </c>
      <c r="AR14">
        <f>IF($F14="s-curve",$D14+($E14-$D14)*$I$2/(1+EXP($I$3*(COUNT($H$8:AR$8)+$I$4))),TREND($D14:$E14,$D$8:$E$8,AR$8))</f>
        <v>1.1259622968825128E-3</v>
      </c>
      <c r="AS14">
        <f>IF($F14="s-curve",$D14+($E14-$D14)*$I$2/(1+EXP($I$3*(COUNT($H$8:AS$8)+$I$4))),TREND($D14:$E14,$D$8:$E$8,AS$8))</f>
        <v>1.1499905929000728E-3</v>
      </c>
      <c r="AT14">
        <f>IF($F14="s-curve",$D14+($E14-$D14)*$I$2/(1+EXP($I$3*(COUNT($H$8:AT$8)+$I$4))),TREND($D14:$E14,$D$8:$E$8,AT$8))</f>
        <v>1.1740188889176328E-3</v>
      </c>
      <c r="AU14">
        <f>IF($F14="s-curve",$D14+($E14-$D14)*$I$2/(1+EXP($I$3*(COUNT($H$8:AU$8)+$I$4))),TREND($D14:$E14,$D$8:$E$8,AU$8))</f>
        <v>1.1980471849351859E-3</v>
      </c>
      <c r="AV14">
        <f>IF($F14="s-curve",$D14+($E14-$D14)*$I$2/(1+EXP($I$3*(COUNT($H$8:AV$8)+$I$4))),TREND($D14:$E14,$D$8:$E$8,AV$8))</f>
        <v>1.2220754809527459E-3</v>
      </c>
    </row>
    <row r="15" spans="1:48" ht="13.6" thickBot="1" x14ac:dyDescent="0.2">
      <c r="A15" s="23"/>
      <c r="B15" s="23"/>
      <c r="C15" s="23" t="s">
        <v>126</v>
      </c>
      <c r="D15" s="26">
        <f>SUM(SUM(INDEX('AEO 39'!34:34,0,MATCH(D$8,'AEO 39'!$1:$1,0))),SUM(INDEX('AEO 39'!56:56,0,MATCH(D$8,'AEO 39'!$1:$1,0))))/INDEX('AEO 39'!$59:$59,MATCH(D$8,'AEO 39'!$1:$1,0))</f>
        <v>3.2586824173405036E-5</v>
      </c>
      <c r="E15" s="26">
        <f>SUM(SUM(INDEX('AEO 39'!34:34,0,MATCH(E$8,'AEO 39'!$1:$1,0))),SUM(INDEX('AEO 39'!56:56,0,MATCH(E$8,'AEO 39'!$1:$1,0))))/INDEX('AEO 39'!$59:$59,MATCH(E$8,'AEO 39'!$1:$1,0))*Assumptions!A11</f>
        <v>3.1482251979020537E-4</v>
      </c>
      <c r="F15" s="8" t="str">
        <f>IF(D15=E15,"n/a",IF(OR(C15="battery electric vehicle",C15="natural gas vehicle",C15="plugin hybrid vehicle",C15="hydrogen vehicle"),"s-curve","linear"))</f>
        <v>s-curve</v>
      </c>
      <c r="H15" s="22">
        <f t="shared" si="22"/>
        <v>3.2586824173405036E-5</v>
      </c>
      <c r="I15">
        <f>IF($F15="s-curve",$D15+($E15-$D15)*$I$2/(1+EXP($I$3*(COUNT($H$8:I$8)+$I$4))),TREND($D15:$E15,$D$8:$E$8,I$8))</f>
        <v>3.6756583285420613E-5</v>
      </c>
      <c r="J15">
        <f>IF($F15="s-curve",$D15+($E15-$D15)*$I$2/(1+EXP($I$3*(COUNT($H$8:J$8)+$I$4))),TREND($D15:$E15,$D$8:$E$8,J$8))</f>
        <v>3.8186466663512395E-5</v>
      </c>
      <c r="K15">
        <f>IF($F15="s-curve",$D15+($E15-$D15)*$I$2/(1+EXP($I$3*(COUNT($H$8:K$8)+$I$4))),TREND($D15:$E15,$D$8:$E$8,K$8))</f>
        <v>4.0093445156887342E-5</v>
      </c>
      <c r="L15">
        <f>IF($F15="s-curve",$D15+($E15-$D15)*$I$2/(1+EXP($I$3*(COUNT($H$8:L$8)+$I$4))),TREND($D15:$E15,$D$8:$E$8,L$8))</f>
        <v>4.2626283521684369E-5</v>
      </c>
      <c r="M15">
        <f>IF($F15="s-curve",$D15+($E15-$D15)*$I$2/(1+EXP($I$3*(COUNT($H$8:M$8)+$I$4))),TREND($D15:$E15,$D$8:$E$8,M$8))</f>
        <v>4.5972098479909746E-5</v>
      </c>
      <c r="N15">
        <f>IF($F15="s-curve",$D15+($E15-$D15)*$I$2/(1+EXP($I$3*(COUNT($H$8:N$8)+$I$4))),TREND($D15:$E15,$D$8:$E$8,N$8))</f>
        <v>5.0360153125475894E-5</v>
      </c>
      <c r="O15">
        <f>IF($F15="s-curve",$D15+($E15-$D15)*$I$2/(1+EXP($I$3*(COUNT($H$8:O$8)+$I$4))),TREND($D15:$E15,$D$8:$E$8,O$8))</f>
        <v>5.6061128024692224E-5</v>
      </c>
      <c r="P15">
        <f>IF($F15="s-curve",$D15+($E15-$D15)*$I$2/(1+EXP($I$3*(COUNT($H$8:P$8)+$I$4))),TREND($D15:$E15,$D$8:$E$8,P$8))</f>
        <v>6.3377841393130529E-5</v>
      </c>
      <c r="Q15">
        <f>IF($F15="s-curve",$D15+($E15-$D15)*$I$2/(1+EXP($I$3*(COUNT($H$8:Q$8)+$I$4))),TREND($D15:$E15,$D$8:$E$8,Q$8))</f>
        <v>7.26222581495781E-5</v>
      </c>
      <c r="R15">
        <f>IF($F15="s-curve",$D15+($E15-$D15)*$I$2/(1+EXP($I$3*(COUNT($H$8:R$8)+$I$4))),TREND($D15:$E15,$D$8:$E$8,R$8))</f>
        <v>8.407381878315119E-5</v>
      </c>
      <c r="S15">
        <f>IF($F15="s-curve",$D15+($E15-$D15)*$I$2/(1+EXP($I$3*(COUNT($H$8:S$8)+$I$4))),TREND($D15:$E15,$D$8:$E$8,S$8))</f>
        <v>9.7917392920609248E-5</v>
      </c>
      <c r="T15">
        <f>IF($F15="s-curve",$D15+($E15-$D15)*$I$2/(1+EXP($I$3*(COUNT($H$8:T$8)+$I$4))),TREND($D15:$E15,$D$8:$E$8,T$8))</f>
        <v>1.1416719236841916E-4</v>
      </c>
      <c r="U15">
        <f>IF($F15="s-curve",$D15+($E15-$D15)*$I$2/(1+EXP($I$3*(COUNT($H$8:U$8)+$I$4))),TREND($D15:$E15,$D$8:$E$8,U$8))</f>
        <v>1.3259526307319414E-4</v>
      </c>
      <c r="V15">
        <f>IF($F15="s-curve",$D15+($E15-$D15)*$I$2/(1+EXP($I$3*(COUNT($H$8:V$8)+$I$4))),TREND($D15:$E15,$D$8:$E$8,V$8))</f>
        <v>1.5269433646600126E-4</v>
      </c>
      <c r="W15">
        <f>IF($F15="s-curve",$D15+($E15-$D15)*$I$2/(1+EXP($I$3*(COUNT($H$8:W$8)+$I$4))),TREND($D15:$E15,$D$8:$E$8,W$8))</f>
        <v>1.7370467198180519E-4</v>
      </c>
      <c r="X15">
        <f>IF($F15="s-curve",$D15+($E15-$D15)*$I$2/(1+EXP($I$3*(COUNT($H$8:X$8)+$I$4))),TREND($D15:$E15,$D$8:$E$8,X$8))</f>
        <v>1.9471500749760912E-4</v>
      </c>
      <c r="Y15">
        <f>IF($F15="s-curve",$D15+($E15-$D15)*$I$2/(1+EXP($I$3*(COUNT($H$8:Y$8)+$I$4))),TREND($D15:$E15,$D$8:$E$8,Y$8))</f>
        <v>2.1481408089041624E-4</v>
      </c>
      <c r="Z15">
        <f>IF($F15="s-curve",$D15+($E15-$D15)*$I$2/(1+EXP($I$3*(COUNT($H$8:Z$8)+$I$4))),TREND($D15:$E15,$D$8:$E$8,Z$8))</f>
        <v>2.3324215159519122E-4</v>
      </c>
      <c r="AA15">
        <f>IF($F15="s-curve",$D15+($E15-$D15)*$I$2/(1+EXP($I$3*(COUNT($H$8:AA$8)+$I$4))),TREND($D15:$E15,$D$8:$E$8,AA$8))</f>
        <v>2.4949195104300109E-4</v>
      </c>
      <c r="AB15">
        <f>IF($F15="s-curve",$D15+($E15-$D15)*$I$2/(1+EXP($I$3*(COUNT($H$8:AB$8)+$I$4))),TREND($D15:$E15,$D$8:$E$8,AB$8))</f>
        <v>2.6333552518045919E-4</v>
      </c>
      <c r="AC15">
        <f>IF($F15="s-curve",$D15+($E15-$D15)*$I$2/(1+EXP($I$3*(COUNT($H$8:AC$8)+$I$4))),TREND($D15:$E15,$D$8:$E$8,AC$8))</f>
        <v>2.7478708581403228E-4</v>
      </c>
      <c r="AD15">
        <f>IF($F15="s-curve",$D15+($E15-$D15)*$I$2/(1+EXP($I$3*(COUNT($H$8:AD$8)+$I$4))),TREND($D15:$E15,$D$8:$E$8,AD$8))</f>
        <v>2.8403150257047983E-4</v>
      </c>
      <c r="AE15">
        <f>IF($F15="s-curve",$D15+($E15-$D15)*$I$2/(1+EXP($I$3*(COUNT($H$8:AE$8)+$I$4))),TREND($D15:$E15,$D$8:$E$8,AE$8))</f>
        <v>2.913482159389182E-4</v>
      </c>
      <c r="AF15">
        <f>IF($F15="s-curve",$D15+($E15-$D15)*$I$2/(1+EXP($I$3*(COUNT($H$8:AF$8)+$I$4))),TREND($D15:$E15,$D$8:$E$8,AF$8))</f>
        <v>2.9704919083813454E-4</v>
      </c>
      <c r="AG15">
        <f>IF($F15="s-curve",$D15+($E15-$D15)*$I$2/(1+EXP($I$3*(COUNT($H$8:AG$8)+$I$4))),TREND($D15:$E15,$D$8:$E$8,AG$8))</f>
        <v>3.0143724548370064E-4</v>
      </c>
      <c r="AH15">
        <f>IF($F15="s-curve",$D15+($E15-$D15)*$I$2/(1+EXP($I$3*(COUNT($H$8:AH$8)+$I$4))),TREND($D15:$E15,$D$8:$E$8,AH$8))</f>
        <v>3.0478306044192597E-4</v>
      </c>
      <c r="AI15">
        <f>IF($F15="s-curve",$D15+($E15-$D15)*$I$2/(1+EXP($I$3*(COUNT($H$8:AI$8)+$I$4))),TREND($D15:$E15,$D$8:$E$8,AI$8))</f>
        <v>3.0731589880672301E-4</v>
      </c>
      <c r="AJ15">
        <f>IF($F15="s-curve",$D15+($E15-$D15)*$I$2/(1+EXP($I$3*(COUNT($H$8:AJ$8)+$I$4))),TREND($D15:$E15,$D$8:$E$8,AJ$8))</f>
        <v>3.0922287730009797E-4</v>
      </c>
      <c r="AK15">
        <f>IF($F15="s-curve",$D15+($E15-$D15)*$I$2/(1+EXP($I$3*(COUNT($H$8:AK$8)+$I$4))),TREND($D15:$E15,$D$8:$E$8,AK$8))</f>
        <v>3.1065276067818973E-4</v>
      </c>
      <c r="AL15">
        <f>IF($F15="s-curve",$D15+($E15-$D15)*$I$2/(1+EXP($I$3*(COUNT($H$8:AL$8)+$I$4))),TREND($D15:$E15,$D$8:$E$8,AL$8))</f>
        <v>3.11721612394158E-4</v>
      </c>
      <c r="AM15">
        <f>IF($F15="s-curve",$D15+($E15-$D15)*$I$2/(1+EXP($I$3*(COUNT($H$8:AM$8)+$I$4))),TREND($D15:$E15,$D$8:$E$8,AM$8))</f>
        <v>3.1251875084277166E-4</v>
      </c>
      <c r="AN15">
        <f>IF($F15="s-curve",$D15+($E15-$D15)*$I$2/(1+EXP($I$3*(COUNT($H$8:AN$8)+$I$4))),TREND($D15:$E15,$D$8:$E$8,AN$8))</f>
        <v>3.131122275009283E-4</v>
      </c>
      <c r="AO15">
        <f>IF($F15="s-curve",$D15+($E15-$D15)*$I$2/(1+EXP($I$3*(COUNT($H$8:AO$8)+$I$4))),TREND($D15:$E15,$D$8:$E$8,AO$8))</f>
        <v>3.1355351100694395E-4</v>
      </c>
      <c r="AP15">
        <f>IF($F15="s-curve",$D15+($E15-$D15)*$I$2/(1+EXP($I$3*(COUNT($H$8:AP$8)+$I$4))),TREND($D15:$E15,$D$8:$E$8,AP$8))</f>
        <v>3.1388131813004955E-4</v>
      </c>
      <c r="AQ15">
        <f>IF($F15="s-curve",$D15+($E15-$D15)*$I$2/(1+EXP($I$3*(COUNT($H$8:AQ$8)+$I$4))),TREND($D15:$E15,$D$8:$E$8,AQ$8))</f>
        <v>3.1412465727359432E-4</v>
      </c>
      <c r="AR15">
        <f>IF($F15="s-curve",$D15+($E15-$D15)*$I$2/(1+EXP($I$3*(COUNT($H$8:AR$8)+$I$4))),TREND($D15:$E15,$D$8:$E$8,AR$8))</f>
        <v>3.1430519899274781E-4</v>
      </c>
      <c r="AS15">
        <f>IF($F15="s-curve",$D15+($E15-$D15)*$I$2/(1+EXP($I$3*(COUNT($H$8:AS$8)+$I$4))),TREND($D15:$E15,$D$8:$E$8,AS$8))</f>
        <v>3.1443909696698676E-4</v>
      </c>
      <c r="AT15">
        <f>IF($F15="s-curve",$D15+($E15-$D15)*$I$2/(1+EXP($I$3*(COUNT($H$8:AT$8)+$I$4))),TREND($D15:$E15,$D$8:$E$8,AT$8))</f>
        <v>3.1453837312747179E-4</v>
      </c>
      <c r="AU15">
        <f>IF($F15="s-curve",$D15+($E15-$D15)*$I$2/(1+EXP($I$3*(COUNT($H$8:AU$8)+$I$4))),TREND($D15:$E15,$D$8:$E$8,AU$8))</f>
        <v>3.1461196382333724E-4</v>
      </c>
      <c r="AV15">
        <f>IF($F15="s-curve",$D15+($E15-$D15)*$I$2/(1+EXP($I$3*(COUNT($H$8:AV$8)+$I$4))),TREND($D15:$E15,$D$8:$E$8,AV$8))</f>
        <v>3.1466650592709114E-4</v>
      </c>
    </row>
    <row r="16" spans="1:48" x14ac:dyDescent="0.15">
      <c r="A16" t="s">
        <v>12</v>
      </c>
      <c r="B16" t="s">
        <v>18</v>
      </c>
      <c r="C16" t="s">
        <v>1</v>
      </c>
      <c r="D16" s="22">
        <f>'SYVbT-freight'!B$2/'SYVbT-freight'!$2:$2</f>
        <v>2.3055630562050799E-2</v>
      </c>
      <c r="E16">
        <f>E9</f>
        <v>1</v>
      </c>
      <c r="F16" s="7" t="str">
        <f>IF(D16=E16,"n/a",IF(OR(C16="battery electric vehicle",C16="natural gas vehicle",C16="plugin hybrid vehicle"),"s-curve","linear"))</f>
        <v>s-curve</v>
      </c>
      <c r="H16" s="22">
        <f t="shared" si="22"/>
        <v>2.3055630562050799E-2</v>
      </c>
      <c r="I16">
        <f>IF($F16="s-curve",$D16+($E16-$D16)*$I$2/(1+EXP($I$3*(COUNT($H$8:I$8)+$I$4))),TREND($D16:$E16,$D$8:$E$8,I$8))</f>
        <v>3.748903763869172E-2</v>
      </c>
      <c r="J16">
        <f>IF($F16="s-curve",$D16+($E16-$D16)*$I$2/(1+EXP($I$3*(COUNT($H$8:J$8)+$I$4))),TREND($D16:$E16,$D$8:$E$8,J$8))</f>
        <v>4.2438505536885274E-2</v>
      </c>
      <c r="K16">
        <f>IF($F16="s-curve",$D16+($E16-$D16)*$I$2/(1+EXP($I$3*(COUNT($H$8:K$8)+$I$4))),TREND($D16:$E16,$D$8:$E$8,K$8))</f>
        <v>4.9039413680947205E-2</v>
      </c>
      <c r="L16">
        <f>IF($F16="s-curve",$D16+($E16-$D16)*$I$2/(1+EXP($I$3*(COUNT($H$8:L$8)+$I$4))),TREND($D16:$E16,$D$8:$E$8,L$8))</f>
        <v>5.7806703636164289E-2</v>
      </c>
      <c r="M16">
        <f>IF($F16="s-curve",$D16+($E16-$D16)*$I$2/(1+EXP($I$3*(COUNT($H$8:M$8)+$I$4))),TREND($D16:$E16,$D$8:$E$8,M$8))</f>
        <v>6.9388070328552917E-2</v>
      </c>
      <c r="N16">
        <f>IF($F16="s-curve",$D16+($E16-$D16)*$I$2/(1+EXP($I$3*(COUNT($H$8:N$8)+$I$4))),TREND($D16:$E16,$D$8:$E$8,N$8))</f>
        <v>8.4577096186544701E-2</v>
      </c>
      <c r="O16">
        <f>IF($F16="s-curve",$D16+($E16-$D16)*$I$2/(1+EXP($I$3*(COUNT($H$8:O$8)+$I$4))),TREND($D16:$E16,$D$8:$E$8,O$8))</f>
        <v>0.10431072809275972</v>
      </c>
      <c r="P16">
        <f>IF($F16="s-curve",$D16+($E16-$D16)*$I$2/(1+EXP($I$3*(COUNT($H$8:P$8)+$I$4))),TREND($D16:$E16,$D$8:$E$8,P$8))</f>
        <v>0.12963715575268356</v>
      </c>
      <c r="Q16">
        <f>IF($F16="s-curve",$D16+($E16-$D16)*$I$2/(1+EXP($I$3*(COUNT($H$8:Q$8)+$I$4))),TREND($D16:$E16,$D$8:$E$8,Q$8))</f>
        <v>0.16163622971535946</v>
      </c>
      <c r="R16">
        <f>IF($F16="s-curve",$D16+($E16-$D16)*$I$2/(1+EXP($I$3*(COUNT($H$8:R$8)+$I$4))),TREND($D16:$E16,$D$8:$E$8,R$8))</f>
        <v>0.20127521888643918</v>
      </c>
      <c r="S16">
        <f>IF($F16="s-curve",$D16+($E16-$D16)*$I$2/(1+EXP($I$3*(COUNT($H$8:S$8)+$I$4))),TREND($D16:$E16,$D$8:$E$8,S$8))</f>
        <v>0.24919403998711578</v>
      </c>
      <c r="T16">
        <f>IF($F16="s-curve",$D16+($E16-$D16)*$I$2/(1+EXP($I$3*(COUNT($H$8:T$8)+$I$4))),TREND($D16:$E16,$D$8:$E$8,T$8))</f>
        <v>0.3054418864557919</v>
      </c>
      <c r="U16">
        <f>IF($F16="s-curve",$D16+($E16-$D16)*$I$2/(1+EXP($I$3*(COUNT($H$8:U$8)+$I$4))),TREND($D16:$E16,$D$8:$E$8,U$8))</f>
        <v>0.36922970704060476</v>
      </c>
      <c r="V16">
        <f>IF($F16="s-curve",$D16+($E16-$D16)*$I$2/(1+EXP($I$3*(COUNT($H$8:V$8)+$I$4))),TREND($D16:$E16,$D$8:$E$8,V$8))</f>
        <v>0.43880161763508524</v>
      </c>
      <c r="W16">
        <f>IF($F16="s-curve",$D16+($E16-$D16)*$I$2/(1+EXP($I$3*(COUNT($H$8:W$8)+$I$4))),TREND($D16:$E16,$D$8:$E$8,W$8))</f>
        <v>0.51152781528102542</v>
      </c>
      <c r="X16">
        <f>IF($F16="s-curve",$D16+($E16-$D16)*$I$2/(1+EXP($I$3*(COUNT($H$8:X$8)+$I$4))),TREND($D16:$E16,$D$8:$E$8,X$8))</f>
        <v>0.58425401292696555</v>
      </c>
      <c r="Y16">
        <f>IF($F16="s-curve",$D16+($E16-$D16)*$I$2/(1+EXP($I$3*(COUNT($H$8:Y$8)+$I$4))),TREND($D16:$E16,$D$8:$E$8,Y$8))</f>
        <v>0.65382592352144597</v>
      </c>
      <c r="Z16">
        <f>IF($F16="s-curve",$D16+($E16-$D16)*$I$2/(1+EXP($I$3*(COUNT($H$8:Z$8)+$I$4))),TREND($D16:$E16,$D$8:$E$8,Z$8))</f>
        <v>0.71761374410625889</v>
      </c>
      <c r="AA16">
        <f>IF($F16="s-curve",$D16+($E16-$D16)*$I$2/(1+EXP($I$3*(COUNT($H$8:AA$8)+$I$4))),TREND($D16:$E16,$D$8:$E$8,AA$8))</f>
        <v>0.77386159057493498</v>
      </c>
      <c r="AB16">
        <f>IF($F16="s-curve",$D16+($E16-$D16)*$I$2/(1+EXP($I$3*(COUNT($H$8:AB$8)+$I$4))),TREND($D16:$E16,$D$8:$E$8,AB$8))</f>
        <v>0.82178041167561156</v>
      </c>
      <c r="AC16">
        <f>IF($F16="s-curve",$D16+($E16-$D16)*$I$2/(1+EXP($I$3*(COUNT($H$8:AC$8)+$I$4))),TREND($D16:$E16,$D$8:$E$8,AC$8))</f>
        <v>0.86141940084669144</v>
      </c>
      <c r="AD16">
        <f>IF($F16="s-curve",$D16+($E16-$D16)*$I$2/(1+EXP($I$3*(COUNT($H$8:AD$8)+$I$4))),TREND($D16:$E16,$D$8:$E$8,AD$8))</f>
        <v>0.89341847480936731</v>
      </c>
      <c r="AE16">
        <f>IF($F16="s-curve",$D16+($E16-$D16)*$I$2/(1+EXP($I$3*(COUNT($H$8:AE$8)+$I$4))),TREND($D16:$E16,$D$8:$E$8,AE$8))</f>
        <v>0.91874490246929108</v>
      </c>
      <c r="AF16">
        <f>IF($F16="s-curve",$D16+($E16-$D16)*$I$2/(1+EXP($I$3*(COUNT($H$8:AF$8)+$I$4))),TREND($D16:$E16,$D$8:$E$8,AF$8))</f>
        <v>0.9384785343755061</v>
      </c>
      <c r="AG16">
        <f>IF($F16="s-curve",$D16+($E16-$D16)*$I$2/(1+EXP($I$3*(COUNT($H$8:AG$8)+$I$4))),TREND($D16:$E16,$D$8:$E$8,AG$8))</f>
        <v>0.95366756023349797</v>
      </c>
      <c r="AH16">
        <f>IF($F16="s-curve",$D16+($E16-$D16)*$I$2/(1+EXP($I$3*(COUNT($H$8:AH$8)+$I$4))),TREND($D16:$E16,$D$8:$E$8,AH$8))</f>
        <v>0.96524892692588649</v>
      </c>
      <c r="AI16">
        <f>IF($F16="s-curve",$D16+($E16-$D16)*$I$2/(1+EXP($I$3*(COUNT($H$8:AI$8)+$I$4))),TREND($D16:$E16,$D$8:$E$8,AI$8))</f>
        <v>0.97401621688110351</v>
      </c>
      <c r="AJ16">
        <f>IF($F16="s-curve",$D16+($E16-$D16)*$I$2/(1+EXP($I$3*(COUNT($H$8:AJ$8)+$I$4))),TREND($D16:$E16,$D$8:$E$8,AJ$8))</f>
        <v>0.98061712502516551</v>
      </c>
      <c r="AK16">
        <f>IF($F16="s-curve",$D16+($E16-$D16)*$I$2/(1+EXP($I$3*(COUNT($H$8:AK$8)+$I$4))),TREND($D16:$E16,$D$8:$E$8,AK$8))</f>
        <v>0.98556659292335913</v>
      </c>
      <c r="AL16">
        <f>IF($F16="s-curve",$D16+($E16-$D16)*$I$2/(1+EXP($I$3*(COUNT($H$8:AL$8)+$I$4))),TREND($D16:$E16,$D$8:$E$8,AL$8))</f>
        <v>0.98926636825970427</v>
      </c>
      <c r="AM16">
        <f>IF($F16="s-curve",$D16+($E16-$D16)*$I$2/(1+EXP($I$3*(COUNT($H$8:AM$8)+$I$4))),TREND($D16:$E16,$D$8:$E$8,AM$8))</f>
        <v>0.9920256220717838</v>
      </c>
      <c r="AN16">
        <f>IF($F16="s-curve",$D16+($E16-$D16)*$I$2/(1+EXP($I$3*(COUNT($H$8:AN$8)+$I$4))),TREND($D16:$E16,$D$8:$E$8,AN$8))</f>
        <v>0.99407991105288507</v>
      </c>
      <c r="AO16">
        <f>IF($F16="s-curve",$D16+($E16-$D16)*$I$2/(1+EXP($I$3*(COUNT($H$8:AO$8)+$I$4))),TREND($D16:$E16,$D$8:$E$8,AO$8))</f>
        <v>0.99560739125196351</v>
      </c>
      <c r="AP16">
        <f>IF($F16="s-curve",$D16+($E16-$D16)*$I$2/(1+EXP($I$3*(COUNT($H$8:AP$8)+$I$4))),TREND($D16:$E16,$D$8:$E$8,AP$8))</f>
        <v>0.99674207877786203</v>
      </c>
      <c r="AQ16">
        <f>IF($F16="s-curve",$D16+($E16-$D16)*$I$2/(1+EXP($I$3*(COUNT($H$8:AQ$8)+$I$4))),TREND($D16:$E16,$D$8:$E$8,AQ$8))</f>
        <v>0.99758438472938382</v>
      </c>
      <c r="AR16">
        <f>IF($F16="s-curve",$D16+($E16-$D16)*$I$2/(1+EXP($I$3*(COUNT($H$8:AR$8)+$I$4))),TREND($D16:$E16,$D$8:$E$8,AR$8))</f>
        <v>0.99820932062060808</v>
      </c>
      <c r="AS16">
        <f>IF($F16="s-curve",$D16+($E16-$D16)*$I$2/(1+EXP($I$3*(COUNT($H$8:AS$8)+$I$4))),TREND($D16:$E16,$D$8:$E$8,AS$8))</f>
        <v>0.99867280158365945</v>
      </c>
      <c r="AT16">
        <f>IF($F16="s-curve",$D16+($E16-$D16)*$I$2/(1+EXP($I$3*(COUNT($H$8:AT$8)+$I$4))),TREND($D16:$E16,$D$8:$E$8,AT$8))</f>
        <v>0.99901644091600295</v>
      </c>
      <c r="AU16">
        <f>IF($F16="s-curve",$D16+($E16-$D16)*$I$2/(1+EXP($I$3*(COUNT($H$8:AU$8)+$I$4))),TREND($D16:$E16,$D$8:$E$8,AU$8))</f>
        <v>0.99927117133134491</v>
      </c>
      <c r="AV16">
        <f>IF($F16="s-curve",$D16+($E16-$D16)*$I$2/(1+EXP($I$3*(COUNT($H$8:AV$8)+$I$4))),TREND($D16:$E16,$D$8:$E$8,AV$8))</f>
        <v>0.99945996602311193</v>
      </c>
    </row>
    <row r="17" spans="1:48" x14ac:dyDescent="0.15">
      <c r="C17" t="s">
        <v>2</v>
      </c>
      <c r="D17" s="22">
        <f>'SYVbT-freight'!C$2/'SYVbT-freight'!$2:$2</f>
        <v>5.3406412002060602E-3</v>
      </c>
      <c r="E17" s="22">
        <f>E10</f>
        <v>1.235369525889815E-3</v>
      </c>
      <c r="F17" s="7" t="s">
        <v>123</v>
      </c>
      <c r="H17" s="22">
        <f t="shared" si="22"/>
        <v>5.3406412002060602E-3</v>
      </c>
      <c r="I17">
        <f>IF($F17="s-curve",$D17+($E17-$D17)*$I$2/(1+EXP($I$3*(COUNT($H$8:I$8)+$I$4))),TREND($D17:$E17,$D$8:$E$8,I$8))</f>
        <v>5.1764303332334505E-3</v>
      </c>
      <c r="J17">
        <f>IF($F17="s-curve",$D17+($E17-$D17)*$I$2/(1+EXP($I$3*(COUNT($H$8:J$8)+$I$4))),TREND($D17:$E17,$D$8:$E$8,J$8))</f>
        <v>5.0122194662607922E-3</v>
      </c>
      <c r="K17">
        <f>IF($F17="s-curve",$D17+($E17-$D17)*$I$2/(1+EXP($I$3*(COUNT($H$8:K$8)+$I$4))),TREND($D17:$E17,$D$8:$E$8,K$8))</f>
        <v>4.8480085992881339E-3</v>
      </c>
      <c r="L17">
        <f>IF($F17="s-curve",$D17+($E17-$D17)*$I$2/(1+EXP($I$3*(COUNT($H$8:L$8)+$I$4))),TREND($D17:$E17,$D$8:$E$8,L$8))</f>
        <v>4.6837977323154756E-3</v>
      </c>
      <c r="M17">
        <f>IF($F17="s-curve",$D17+($E17-$D17)*$I$2/(1+EXP($I$3*(COUNT($H$8:M$8)+$I$4))),TREND($D17:$E17,$D$8:$E$8,M$8))</f>
        <v>4.5195868653428173E-3</v>
      </c>
      <c r="N17">
        <f>IF($F17="s-curve",$D17+($E17-$D17)*$I$2/(1+EXP($I$3*(COUNT($H$8:N$8)+$I$4))),TREND($D17:$E17,$D$8:$E$8,N$8))</f>
        <v>4.355375998370159E-3</v>
      </c>
      <c r="O17">
        <f>IF($F17="s-curve",$D17+($E17-$D17)*$I$2/(1+EXP($I$3*(COUNT($H$8:O$8)+$I$4))),TREND($D17:$E17,$D$8:$E$8,O$8))</f>
        <v>4.1911651313975562E-3</v>
      </c>
      <c r="P17">
        <f>IF($F17="s-curve",$D17+($E17-$D17)*$I$2/(1+EXP($I$3*(COUNT($H$8:P$8)+$I$4))),TREND($D17:$E17,$D$8:$E$8,P$8))</f>
        <v>4.0269542644248979E-3</v>
      </c>
      <c r="Q17">
        <f>IF($F17="s-curve",$D17+($E17-$D17)*$I$2/(1+EXP($I$3*(COUNT($H$8:Q$8)+$I$4))),TREND($D17:$E17,$D$8:$E$8,Q$8))</f>
        <v>3.8627433974522396E-3</v>
      </c>
      <c r="R17">
        <f>IF($F17="s-curve",$D17+($E17-$D17)*$I$2/(1+EXP($I$3*(COUNT($H$8:R$8)+$I$4))),TREND($D17:$E17,$D$8:$E$8,R$8))</f>
        <v>3.6985325304795813E-3</v>
      </c>
      <c r="S17">
        <f>IF($F17="s-curve",$D17+($E17-$D17)*$I$2/(1+EXP($I$3*(COUNT($H$8:S$8)+$I$4))),TREND($D17:$E17,$D$8:$E$8,S$8))</f>
        <v>3.534321663506923E-3</v>
      </c>
      <c r="T17">
        <f>IF($F17="s-curve",$D17+($E17-$D17)*$I$2/(1+EXP($I$3*(COUNT($H$8:T$8)+$I$4))),TREND($D17:$E17,$D$8:$E$8,T$8))</f>
        <v>3.3701107965342647E-3</v>
      </c>
      <c r="U17">
        <f>IF($F17="s-curve",$D17+($E17-$D17)*$I$2/(1+EXP($I$3*(COUNT($H$8:U$8)+$I$4))),TREND($D17:$E17,$D$8:$E$8,U$8))</f>
        <v>3.2058999295616064E-3</v>
      </c>
      <c r="V17">
        <f>IF($F17="s-curve",$D17+($E17-$D17)*$I$2/(1+EXP($I$3*(COUNT($H$8:V$8)+$I$4))),TREND($D17:$E17,$D$8:$E$8,V$8))</f>
        <v>3.0416890625890036E-3</v>
      </c>
      <c r="W17">
        <f>IF($F17="s-curve",$D17+($E17-$D17)*$I$2/(1+EXP($I$3*(COUNT($H$8:W$8)+$I$4))),TREND($D17:$E17,$D$8:$E$8,W$8))</f>
        <v>2.8774781956163453E-3</v>
      </c>
      <c r="X17">
        <f>IF($F17="s-curve",$D17+($E17-$D17)*$I$2/(1+EXP($I$3*(COUNT($H$8:X$8)+$I$4))),TREND($D17:$E17,$D$8:$E$8,X$8))</f>
        <v>2.713267328643687E-3</v>
      </c>
      <c r="Y17">
        <f>IF($F17="s-curve",$D17+($E17-$D17)*$I$2/(1+EXP($I$3*(COUNT($H$8:Y$8)+$I$4))),TREND($D17:$E17,$D$8:$E$8,Y$8))</f>
        <v>2.5490564616710287E-3</v>
      </c>
      <c r="Z17">
        <f>IF($F17="s-curve",$D17+($E17-$D17)*$I$2/(1+EXP($I$3*(COUNT($H$8:Z$8)+$I$4))),TREND($D17:$E17,$D$8:$E$8,Z$8))</f>
        <v>2.3848455946983704E-3</v>
      </c>
      <c r="AA17">
        <f>IF($F17="s-curve",$D17+($E17-$D17)*$I$2/(1+EXP($I$3*(COUNT($H$8:AA$8)+$I$4))),TREND($D17:$E17,$D$8:$E$8,AA$8))</f>
        <v>2.2206347277257121E-3</v>
      </c>
      <c r="AB17">
        <f>IF($F17="s-curve",$D17+($E17-$D17)*$I$2/(1+EXP($I$3*(COUNT($H$8:AB$8)+$I$4))),TREND($D17:$E17,$D$8:$E$8,AB$8))</f>
        <v>2.0564238607531093E-3</v>
      </c>
      <c r="AC17">
        <f>IF($F17="s-curve",$D17+($E17-$D17)*$I$2/(1+EXP($I$3*(COUNT($H$8:AC$8)+$I$4))),TREND($D17:$E17,$D$8:$E$8,AC$8))</f>
        <v>1.892212993780451E-3</v>
      </c>
      <c r="AD17">
        <f>IF($F17="s-curve",$D17+($E17-$D17)*$I$2/(1+EXP($I$3*(COUNT($H$8:AD$8)+$I$4))),TREND($D17:$E17,$D$8:$E$8,AD$8))</f>
        <v>1.7280021268077927E-3</v>
      </c>
      <c r="AE17">
        <f>IF($F17="s-curve",$D17+($E17-$D17)*$I$2/(1+EXP($I$3*(COUNT($H$8:AE$8)+$I$4))),TREND($D17:$E17,$D$8:$E$8,AE$8))</f>
        <v>1.5637912598351345E-3</v>
      </c>
      <c r="AF17">
        <f>IF($F17="s-curve",$D17+($E17-$D17)*$I$2/(1+EXP($I$3*(COUNT($H$8:AF$8)+$I$4))),TREND($D17:$E17,$D$8:$E$8,AF$8))</f>
        <v>1.3995803928624762E-3</v>
      </c>
      <c r="AG17">
        <f>IF($F17="s-curve",$D17+($E17-$D17)*$I$2/(1+EXP($I$3*(COUNT($H$8:AG$8)+$I$4))),TREND($D17:$E17,$D$8:$E$8,AG$8))</f>
        <v>1.2353695258898179E-3</v>
      </c>
      <c r="AH17">
        <f>IF($F17="s-curve",$D17+($E17-$D17)*$I$2/(1+EXP($I$3*(COUNT($H$8:AH$8)+$I$4))),TREND($D17:$E17,$D$8:$E$8,AH$8))</f>
        <v>1.0711586589171596E-3</v>
      </c>
      <c r="AI17">
        <f>IF($F17="s-curve",$D17+($E17-$D17)*$I$2/(1+EXP($I$3*(COUNT($H$8:AI$8)+$I$4))),TREND($D17:$E17,$D$8:$E$8,AI$8))</f>
        <v>9.0694779194455677E-4</v>
      </c>
      <c r="AJ17">
        <f>IF($F17="s-curve",$D17+($E17-$D17)*$I$2/(1+EXP($I$3*(COUNT($H$8:AJ$8)+$I$4))),TREND($D17:$E17,$D$8:$E$8,AJ$8))</f>
        <v>7.4273692497189847E-4</v>
      </c>
      <c r="AK17">
        <f>IF($F17="s-curve",$D17+($E17-$D17)*$I$2/(1+EXP($I$3*(COUNT($H$8:AK$8)+$I$4))),TREND($D17:$E17,$D$8:$E$8,AK$8))</f>
        <v>5.7852605799924017E-4</v>
      </c>
      <c r="AL17">
        <f>IF($F17="s-curve",$D17+($E17-$D17)*$I$2/(1+EXP($I$3*(COUNT($H$8:AL$8)+$I$4))),TREND($D17:$E17,$D$8:$E$8,AL$8))</f>
        <v>4.1431519102658187E-4</v>
      </c>
      <c r="AM17">
        <f>IF($F17="s-curve",$D17+($E17-$D17)*$I$2/(1+EXP($I$3*(COUNT($H$8:AM$8)+$I$4))),TREND($D17:$E17,$D$8:$E$8,AM$8))</f>
        <v>2.5010432405392358E-4</v>
      </c>
      <c r="AN17">
        <f>IF($F17="s-curve",$D17+($E17-$D17)*$I$2/(1+EXP($I$3*(COUNT($H$8:AN$8)+$I$4))),TREND($D17:$E17,$D$8:$E$8,AN$8))</f>
        <v>8.5893457081265279E-5</v>
      </c>
      <c r="AO17">
        <f>IF($F17="s-curve",$D17+($E17-$D17)*$I$2/(1+EXP($I$3*(COUNT($H$8:AO$8)+$I$4))),TREND($D17:$E17,$D$8:$E$8,AO$8))</f>
        <v>-7.8317409891337508E-5</v>
      </c>
      <c r="AP17">
        <f>IF($F17="s-curve",$D17+($E17-$D17)*$I$2/(1+EXP($I$3*(COUNT($H$8:AP$8)+$I$4))),TREND($D17:$E17,$D$8:$E$8,AP$8))</f>
        <v>-2.4252827686399581E-4</v>
      </c>
      <c r="AQ17">
        <f>IF($F17="s-curve",$D17+($E17-$D17)*$I$2/(1+EXP($I$3*(COUNT($H$8:AQ$8)+$I$4))),TREND($D17:$E17,$D$8:$E$8,AQ$8))</f>
        <v>-4.067391438366541E-4</v>
      </c>
      <c r="AR17">
        <f>IF($F17="s-curve",$D17+($E17-$D17)*$I$2/(1+EXP($I$3*(COUNT($H$8:AR$8)+$I$4))),TREND($D17:$E17,$D$8:$E$8,AR$8))</f>
        <v>-5.709500108093124E-4</v>
      </c>
      <c r="AS17">
        <f>IF($F17="s-curve",$D17+($E17-$D17)*$I$2/(1+EXP($I$3*(COUNT($H$8:AS$8)+$I$4))),TREND($D17:$E17,$D$8:$E$8,AS$8))</f>
        <v>-7.351608777819707E-4</v>
      </c>
      <c r="AT17">
        <f>IF($F17="s-curve",$D17+($E17-$D17)*$I$2/(1+EXP($I$3*(COUNT($H$8:AT$8)+$I$4))),TREND($D17:$E17,$D$8:$E$8,AT$8))</f>
        <v>-8.99371744754629E-4</v>
      </c>
      <c r="AU17">
        <f>IF($F17="s-curve",$D17+($E17-$D17)*$I$2/(1+EXP($I$3*(COUNT($H$8:AU$8)+$I$4))),TREND($D17:$E17,$D$8:$E$8,AU$8))</f>
        <v>-1.0635826117272873E-3</v>
      </c>
      <c r="AV17">
        <f>IF($F17="s-curve",$D17+($E17-$D17)*$I$2/(1+EXP($I$3*(COUNT($H$8:AV$8)+$I$4))),TREND($D17:$E17,$D$8:$E$8,AV$8))</f>
        <v>-1.2277934786998901E-3</v>
      </c>
    </row>
    <row r="18" spans="1:48" x14ac:dyDescent="0.15">
      <c r="C18" t="s">
        <v>3</v>
      </c>
      <c r="D18" s="22">
        <v>1</v>
      </c>
      <c r="E18">
        <v>1</v>
      </c>
      <c r="F18" s="7" t="str">
        <f>IF(D18=E18,"n/a",IF(OR(C18="battery electric vehicle",C18="natural gas vehicle",C18="plugin hybrid vehicle"),"s-curve","linear"))</f>
        <v>n/a</v>
      </c>
      <c r="H18" s="22">
        <f t="shared" si="22"/>
        <v>1</v>
      </c>
      <c r="I18">
        <f>IF($F18="s-curve",$D18+($E18-$D18)*$I$2/(1+EXP($I$3*(COUNT($H$8:I$8)+$I$4))),TREND($D18:$E18,$D$8:$E$8,I$8))</f>
        <v>1</v>
      </c>
      <c r="J18">
        <f>IF($F18="s-curve",$D18+($E18-$D18)*$I$2/(1+EXP($I$3*(COUNT($H$8:J$8)+$I$4))),TREND($D18:$E18,$D$8:$E$8,J$8))</f>
        <v>1</v>
      </c>
      <c r="K18">
        <f>IF($F18="s-curve",$D18+($E18-$D18)*$I$2/(1+EXP($I$3*(COUNT($H$8:K$8)+$I$4))),TREND($D18:$E18,$D$8:$E$8,K$8))</f>
        <v>1</v>
      </c>
      <c r="L18">
        <f>IF($F18="s-curve",$D18+($E18-$D18)*$I$2/(1+EXP($I$3*(COUNT($H$8:L$8)+$I$4))),TREND($D18:$E18,$D$8:$E$8,L$8))</f>
        <v>1</v>
      </c>
      <c r="M18">
        <f>IF($F18="s-curve",$D18+($E18-$D18)*$I$2/(1+EXP($I$3*(COUNT($H$8:M$8)+$I$4))),TREND($D18:$E18,$D$8:$E$8,M$8))</f>
        <v>1</v>
      </c>
      <c r="N18">
        <f>IF($F18="s-curve",$D18+($E18-$D18)*$I$2/(1+EXP($I$3*(COUNT($H$8:N$8)+$I$4))),TREND($D18:$E18,$D$8:$E$8,N$8))</f>
        <v>1</v>
      </c>
      <c r="O18">
        <f>IF($F18="s-curve",$D18+($E18-$D18)*$I$2/(1+EXP($I$3*(COUNT($H$8:O$8)+$I$4))),TREND($D18:$E18,$D$8:$E$8,O$8))</f>
        <v>1</v>
      </c>
      <c r="P18">
        <f>IF($F18="s-curve",$D18+($E18-$D18)*$I$2/(1+EXP($I$3*(COUNT($H$8:P$8)+$I$4))),TREND($D18:$E18,$D$8:$E$8,P$8))</f>
        <v>1</v>
      </c>
      <c r="Q18">
        <f>IF($F18="s-curve",$D18+($E18-$D18)*$I$2/(1+EXP($I$3*(COUNT($H$8:Q$8)+$I$4))),TREND($D18:$E18,$D$8:$E$8,Q$8))</f>
        <v>1</v>
      </c>
      <c r="R18">
        <f>IF($F18="s-curve",$D18+($E18-$D18)*$I$2/(1+EXP($I$3*(COUNT($H$8:R$8)+$I$4))),TREND($D18:$E18,$D$8:$E$8,R$8))</f>
        <v>1</v>
      </c>
      <c r="S18">
        <f>IF($F18="s-curve",$D18+($E18-$D18)*$I$2/(1+EXP($I$3*(COUNT($H$8:S$8)+$I$4))),TREND($D18:$E18,$D$8:$E$8,S$8))</f>
        <v>1</v>
      </c>
      <c r="T18">
        <f>IF($F18="s-curve",$D18+($E18-$D18)*$I$2/(1+EXP($I$3*(COUNT($H$8:T$8)+$I$4))),TREND($D18:$E18,$D$8:$E$8,T$8))</f>
        <v>1</v>
      </c>
      <c r="U18">
        <f>IF($F18="s-curve",$D18+($E18-$D18)*$I$2/(1+EXP($I$3*(COUNT($H$8:U$8)+$I$4))),TREND($D18:$E18,$D$8:$E$8,U$8))</f>
        <v>1</v>
      </c>
      <c r="V18">
        <f>IF($F18="s-curve",$D18+($E18-$D18)*$I$2/(1+EXP($I$3*(COUNT($H$8:V$8)+$I$4))),TREND($D18:$E18,$D$8:$E$8,V$8))</f>
        <v>1</v>
      </c>
      <c r="W18">
        <f>IF($F18="s-curve",$D18+($E18-$D18)*$I$2/(1+EXP($I$3*(COUNT($H$8:W$8)+$I$4))),TREND($D18:$E18,$D$8:$E$8,W$8))</f>
        <v>1</v>
      </c>
      <c r="X18">
        <f>IF($F18="s-curve",$D18+($E18-$D18)*$I$2/(1+EXP($I$3*(COUNT($H$8:X$8)+$I$4))),TREND($D18:$E18,$D$8:$E$8,X$8))</f>
        <v>1</v>
      </c>
      <c r="Y18">
        <f>IF($F18="s-curve",$D18+($E18-$D18)*$I$2/(1+EXP($I$3*(COUNT($H$8:Y$8)+$I$4))),TREND($D18:$E18,$D$8:$E$8,Y$8))</f>
        <v>1</v>
      </c>
      <c r="Z18">
        <f>IF($F18="s-curve",$D18+($E18-$D18)*$I$2/(1+EXP($I$3*(COUNT($H$8:Z$8)+$I$4))),TREND($D18:$E18,$D$8:$E$8,Z$8))</f>
        <v>1</v>
      </c>
      <c r="AA18">
        <f>IF($F18="s-curve",$D18+($E18-$D18)*$I$2/(1+EXP($I$3*(COUNT($H$8:AA$8)+$I$4))),TREND($D18:$E18,$D$8:$E$8,AA$8))</f>
        <v>1</v>
      </c>
      <c r="AB18">
        <f>IF($F18="s-curve",$D18+($E18-$D18)*$I$2/(1+EXP($I$3*(COUNT($H$8:AB$8)+$I$4))),TREND($D18:$E18,$D$8:$E$8,AB$8))</f>
        <v>1</v>
      </c>
      <c r="AC18">
        <f>IF($F18="s-curve",$D18+($E18-$D18)*$I$2/(1+EXP($I$3*(COUNT($H$8:AC$8)+$I$4))),TREND($D18:$E18,$D$8:$E$8,AC$8))</f>
        <v>1</v>
      </c>
      <c r="AD18">
        <f>IF($F18="s-curve",$D18+($E18-$D18)*$I$2/(1+EXP($I$3*(COUNT($H$8:AD$8)+$I$4))),TREND($D18:$E18,$D$8:$E$8,AD$8))</f>
        <v>1</v>
      </c>
      <c r="AE18">
        <f>IF($F18="s-curve",$D18+($E18-$D18)*$I$2/(1+EXP($I$3*(COUNT($H$8:AE$8)+$I$4))),TREND($D18:$E18,$D$8:$E$8,AE$8))</f>
        <v>1</v>
      </c>
      <c r="AF18">
        <f>IF($F18="s-curve",$D18+($E18-$D18)*$I$2/(1+EXP($I$3*(COUNT($H$8:AF$8)+$I$4))),TREND($D18:$E18,$D$8:$E$8,AF$8))</f>
        <v>1</v>
      </c>
      <c r="AG18">
        <f>IF($F18="s-curve",$D18+($E18-$D18)*$I$2/(1+EXP($I$3*(COUNT($H$8:AG$8)+$I$4))),TREND($D18:$E18,$D$8:$E$8,AG$8))</f>
        <v>1</v>
      </c>
      <c r="AH18">
        <f>IF($F18="s-curve",$D18+($E18-$D18)*$I$2/(1+EXP($I$3*(COUNT($H$8:AH$8)+$I$4))),TREND($D18:$E18,$D$8:$E$8,AH$8))</f>
        <v>1</v>
      </c>
      <c r="AI18">
        <f>IF($F18="s-curve",$D18+($E18-$D18)*$I$2/(1+EXP($I$3*(COUNT($H$8:AI$8)+$I$4))),TREND($D18:$E18,$D$8:$E$8,AI$8))</f>
        <v>1</v>
      </c>
      <c r="AJ18">
        <f>IF($F18="s-curve",$D18+($E18-$D18)*$I$2/(1+EXP($I$3*(COUNT($H$8:AJ$8)+$I$4))),TREND($D18:$E18,$D$8:$E$8,AJ$8))</f>
        <v>1</v>
      </c>
      <c r="AK18">
        <f>IF($F18="s-curve",$D18+($E18-$D18)*$I$2/(1+EXP($I$3*(COUNT($H$8:AK$8)+$I$4))),TREND($D18:$E18,$D$8:$E$8,AK$8))</f>
        <v>1</v>
      </c>
      <c r="AL18">
        <f>IF($F18="s-curve",$D18+($E18-$D18)*$I$2/(1+EXP($I$3*(COUNT($H$8:AL$8)+$I$4))),TREND($D18:$E18,$D$8:$E$8,AL$8))</f>
        <v>1</v>
      </c>
      <c r="AM18">
        <f>IF($F18="s-curve",$D18+($E18-$D18)*$I$2/(1+EXP($I$3*(COUNT($H$8:AM$8)+$I$4))),TREND($D18:$E18,$D$8:$E$8,AM$8))</f>
        <v>1</v>
      </c>
      <c r="AN18">
        <f>IF($F18="s-curve",$D18+($E18-$D18)*$I$2/(1+EXP($I$3*(COUNT($H$8:AN$8)+$I$4))),TREND($D18:$E18,$D$8:$E$8,AN$8))</f>
        <v>1</v>
      </c>
      <c r="AO18">
        <f>IF($F18="s-curve",$D18+($E18-$D18)*$I$2/(1+EXP($I$3*(COUNT($H$8:AO$8)+$I$4))),TREND($D18:$E18,$D$8:$E$8,AO$8))</f>
        <v>1</v>
      </c>
      <c r="AP18">
        <f>IF($F18="s-curve",$D18+($E18-$D18)*$I$2/(1+EXP($I$3*(COUNT($H$8:AP$8)+$I$4))),TREND($D18:$E18,$D$8:$E$8,AP$8))</f>
        <v>1</v>
      </c>
      <c r="AQ18">
        <f>IF($F18="s-curve",$D18+($E18-$D18)*$I$2/(1+EXP($I$3*(COUNT($H$8:AQ$8)+$I$4))),TREND($D18:$E18,$D$8:$E$8,AQ$8))</f>
        <v>1</v>
      </c>
      <c r="AR18">
        <f>IF($F18="s-curve",$D18+($E18-$D18)*$I$2/(1+EXP($I$3*(COUNT($H$8:AR$8)+$I$4))),TREND($D18:$E18,$D$8:$E$8,AR$8))</f>
        <v>1</v>
      </c>
      <c r="AS18">
        <f>IF($F18="s-curve",$D18+($E18-$D18)*$I$2/(1+EXP($I$3*(COUNT($H$8:AS$8)+$I$4))),TREND($D18:$E18,$D$8:$E$8,AS$8))</f>
        <v>1</v>
      </c>
      <c r="AT18">
        <f>IF($F18="s-curve",$D18+($E18-$D18)*$I$2/(1+EXP($I$3*(COUNT($H$8:AT$8)+$I$4))),TREND($D18:$E18,$D$8:$E$8,AT$8))</f>
        <v>1</v>
      </c>
      <c r="AU18">
        <f>IF($F18="s-curve",$D18+($E18-$D18)*$I$2/(1+EXP($I$3*(COUNT($H$8:AU$8)+$I$4))),TREND($D18:$E18,$D$8:$E$8,AU$8))</f>
        <v>1</v>
      </c>
      <c r="AV18">
        <f>IF($F18="s-curve",$D18+($E18-$D18)*$I$2/(1+EXP($I$3*(COUNT($H$8:AV$8)+$I$4))),TREND($D18:$E18,$D$8:$E$8,AV$8))</f>
        <v>1</v>
      </c>
    </row>
    <row r="19" spans="1:48" x14ac:dyDescent="0.15">
      <c r="C19" t="s">
        <v>4</v>
      </c>
      <c r="D19" s="22">
        <f>'SYVbT-freight'!E$2/'SYVbT-freight'!$2:$2</f>
        <v>0.76166479948369992</v>
      </c>
      <c r="E19" s="5">
        <v>1</v>
      </c>
      <c r="F19" s="7" t="str">
        <f>IF(D19=E19,"n/a",IF(OR(C19="battery electric vehicle",C19="natural gas vehicle",C19="plugin hybrid vehicle"),"s-curve","linear"))</f>
        <v>linear</v>
      </c>
      <c r="H19" s="22">
        <f t="shared" si="22"/>
        <v>0.76166479948369992</v>
      </c>
      <c r="I19">
        <f>IF($F19="s-curve",$D19+($E19-$D19)*$I$2/(1+EXP($I$3*(COUNT($H$8:I$8)+$I$4))),TREND($D19:$E19,$D$8:$E$8,I$8))</f>
        <v>0.77119820750434798</v>
      </c>
      <c r="J19">
        <f>IF($F19="s-curve",$D19+($E19-$D19)*$I$2/(1+EXP($I$3*(COUNT($H$8:J$8)+$I$4))),TREND($D19:$E19,$D$8:$E$8,J$8))</f>
        <v>0.78073161552500281</v>
      </c>
      <c r="K19">
        <f>IF($F19="s-curve",$D19+($E19-$D19)*$I$2/(1+EXP($I$3*(COUNT($H$8:K$8)+$I$4))),TREND($D19:$E19,$D$8:$E$8,K$8))</f>
        <v>0.79026502354565409</v>
      </c>
      <c r="L19">
        <f>IF($F19="s-curve",$D19+($E19-$D19)*$I$2/(1+EXP($I$3*(COUNT($H$8:L$8)+$I$4))),TREND($D19:$E19,$D$8:$E$8,L$8))</f>
        <v>0.79979843156630537</v>
      </c>
      <c r="M19">
        <f>IF($F19="s-curve",$D19+($E19-$D19)*$I$2/(1+EXP($I$3*(COUNT($H$8:M$8)+$I$4))),TREND($D19:$E19,$D$8:$E$8,M$8))</f>
        <v>0.80933183958695665</v>
      </c>
      <c r="N19">
        <f>IF($F19="s-curve",$D19+($E19-$D19)*$I$2/(1+EXP($I$3*(COUNT($H$8:N$8)+$I$4))),TREND($D19:$E19,$D$8:$E$8,N$8))</f>
        <v>0.81886524760761148</v>
      </c>
      <c r="O19">
        <f>IF($F19="s-curve",$D19+($E19-$D19)*$I$2/(1+EXP($I$3*(COUNT($H$8:O$8)+$I$4))),TREND($D19:$E19,$D$8:$E$8,O$8))</f>
        <v>0.82839865562826276</v>
      </c>
      <c r="P19">
        <f>IF($F19="s-curve",$D19+($E19-$D19)*$I$2/(1+EXP($I$3*(COUNT($H$8:P$8)+$I$4))),TREND($D19:$E19,$D$8:$E$8,P$8))</f>
        <v>0.83793206364891404</v>
      </c>
      <c r="Q19">
        <f>IF($F19="s-curve",$D19+($E19-$D19)*$I$2/(1+EXP($I$3*(COUNT($H$8:Q$8)+$I$4))),TREND($D19:$E19,$D$8:$E$8,Q$8))</f>
        <v>0.84746547166956532</v>
      </c>
      <c r="R19">
        <f>IF($F19="s-curve",$D19+($E19-$D19)*$I$2/(1+EXP($I$3*(COUNT($H$8:R$8)+$I$4))),TREND($D19:$E19,$D$8:$E$8,R$8))</f>
        <v>0.8569988796902166</v>
      </c>
      <c r="S19">
        <f>IF($F19="s-curve",$D19+($E19-$D19)*$I$2/(1+EXP($I$3*(COUNT($H$8:S$8)+$I$4))),TREND($D19:$E19,$D$8:$E$8,S$8))</f>
        <v>0.86653228771087143</v>
      </c>
      <c r="T19">
        <f>IF($F19="s-curve",$D19+($E19-$D19)*$I$2/(1+EXP($I$3*(COUNT($H$8:T$8)+$I$4))),TREND($D19:$E19,$D$8:$E$8,T$8))</f>
        <v>0.87606569573152271</v>
      </c>
      <c r="U19">
        <f>IF($F19="s-curve",$D19+($E19-$D19)*$I$2/(1+EXP($I$3*(COUNT($H$8:U$8)+$I$4))),TREND($D19:$E19,$D$8:$E$8,U$8))</f>
        <v>0.88559910375217399</v>
      </c>
      <c r="V19">
        <f>IF($F19="s-curve",$D19+($E19-$D19)*$I$2/(1+EXP($I$3*(COUNT($H$8:V$8)+$I$4))),TREND($D19:$E19,$D$8:$E$8,V$8))</f>
        <v>0.89513251177282527</v>
      </c>
      <c r="W19">
        <f>IF($F19="s-curve",$D19+($E19-$D19)*$I$2/(1+EXP($I$3*(COUNT($H$8:W$8)+$I$4))),TREND($D19:$E19,$D$8:$E$8,W$8))</f>
        <v>0.90466591979347655</v>
      </c>
      <c r="X19">
        <f>IF($F19="s-curve",$D19+($E19-$D19)*$I$2/(1+EXP($I$3*(COUNT($H$8:X$8)+$I$4))),TREND($D19:$E19,$D$8:$E$8,X$8))</f>
        <v>0.91419932781413138</v>
      </c>
      <c r="Y19">
        <f>IF($F19="s-curve",$D19+($E19-$D19)*$I$2/(1+EXP($I$3*(COUNT($H$8:Y$8)+$I$4))),TREND($D19:$E19,$D$8:$E$8,Y$8))</f>
        <v>0.92373273583478266</v>
      </c>
      <c r="Z19">
        <f>IF($F19="s-curve",$D19+($E19-$D19)*$I$2/(1+EXP($I$3*(COUNT($H$8:Z$8)+$I$4))),TREND($D19:$E19,$D$8:$E$8,Z$8))</f>
        <v>0.93326614385543394</v>
      </c>
      <c r="AA19">
        <f>IF($F19="s-curve",$D19+($E19-$D19)*$I$2/(1+EXP($I$3*(COUNT($H$8:AA$8)+$I$4))),TREND($D19:$E19,$D$8:$E$8,AA$8))</f>
        <v>0.94279955187608522</v>
      </c>
      <c r="AB19">
        <f>IF($F19="s-curve",$D19+($E19-$D19)*$I$2/(1+EXP($I$3*(COUNT($H$8:AB$8)+$I$4))),TREND($D19:$E19,$D$8:$E$8,AB$8))</f>
        <v>0.9523329598967365</v>
      </c>
      <c r="AC19">
        <f>IF($F19="s-curve",$D19+($E19-$D19)*$I$2/(1+EXP($I$3*(COUNT($H$8:AC$8)+$I$4))),TREND($D19:$E19,$D$8:$E$8,AC$8))</f>
        <v>0.96186636791739133</v>
      </c>
      <c r="AD19">
        <f>IF($F19="s-curve",$D19+($E19-$D19)*$I$2/(1+EXP($I$3*(COUNT($H$8:AD$8)+$I$4))),TREND($D19:$E19,$D$8:$E$8,AD$8))</f>
        <v>0.97139977593804261</v>
      </c>
      <c r="AE19">
        <f>IF($F19="s-curve",$D19+($E19-$D19)*$I$2/(1+EXP($I$3*(COUNT($H$8:AE$8)+$I$4))),TREND($D19:$E19,$D$8:$E$8,AE$8))</f>
        <v>0.98093318395869389</v>
      </c>
      <c r="AF19">
        <f>IF($F19="s-curve",$D19+($E19-$D19)*$I$2/(1+EXP($I$3*(COUNT($H$8:AF$8)+$I$4))),TREND($D19:$E19,$D$8:$E$8,AF$8))</f>
        <v>0.99046659197934517</v>
      </c>
      <c r="AG19">
        <f>IF($F19="s-curve",$D19+($E19-$D19)*$I$2/(1+EXP($I$3*(COUNT($H$8:AG$8)+$I$4))),TREND($D19:$E19,$D$8:$E$8,AG$8))</f>
        <v>0.99999999999999645</v>
      </c>
      <c r="AH19">
        <f>IF($F19="s-curve",$D19+($E19-$D19)*$I$2/(1+EXP($I$3*(COUNT($H$8:AH$8)+$I$4))),TREND($D19:$E19,$D$8:$E$8,AH$8))</f>
        <v>1.0095334080206513</v>
      </c>
      <c r="AI19">
        <f>IF($F19="s-curve",$D19+($E19-$D19)*$I$2/(1+EXP($I$3*(COUNT($H$8:AI$8)+$I$4))),TREND($D19:$E19,$D$8:$E$8,AI$8))</f>
        <v>1.0190668160413026</v>
      </c>
      <c r="AJ19">
        <f>IF($F19="s-curve",$D19+($E19-$D19)*$I$2/(1+EXP($I$3*(COUNT($H$8:AJ$8)+$I$4))),TREND($D19:$E19,$D$8:$E$8,AJ$8))</f>
        <v>1.0286002240619538</v>
      </c>
      <c r="AK19">
        <f>IF($F19="s-curve",$D19+($E19-$D19)*$I$2/(1+EXP($I$3*(COUNT($H$8:AK$8)+$I$4))),TREND($D19:$E19,$D$8:$E$8,AK$8))</f>
        <v>1.0381336320826051</v>
      </c>
      <c r="AL19">
        <f>IF($F19="s-curve",$D19+($E19-$D19)*$I$2/(1+EXP($I$3*(COUNT($H$8:AL$8)+$I$4))),TREND($D19:$E19,$D$8:$E$8,AL$8))</f>
        <v>1.0476670401032564</v>
      </c>
      <c r="AM19">
        <f>IF($F19="s-curve",$D19+($E19-$D19)*$I$2/(1+EXP($I$3*(COUNT($H$8:AM$8)+$I$4))),TREND($D19:$E19,$D$8:$E$8,AM$8))</f>
        <v>1.0572004481239112</v>
      </c>
      <c r="AN19">
        <f>IF($F19="s-curve",$D19+($E19-$D19)*$I$2/(1+EXP($I$3*(COUNT($H$8:AN$8)+$I$4))),TREND($D19:$E19,$D$8:$E$8,AN$8))</f>
        <v>1.0667338561445625</v>
      </c>
      <c r="AO19">
        <f>IF($F19="s-curve",$D19+($E19-$D19)*$I$2/(1+EXP($I$3*(COUNT($H$8:AO$8)+$I$4))),TREND($D19:$E19,$D$8:$E$8,AO$8))</f>
        <v>1.0762672641652138</v>
      </c>
      <c r="AP19">
        <f>IF($F19="s-curve",$D19+($E19-$D19)*$I$2/(1+EXP($I$3*(COUNT($H$8:AP$8)+$I$4))),TREND($D19:$E19,$D$8:$E$8,AP$8))</f>
        <v>1.0858006721858651</v>
      </c>
      <c r="AQ19">
        <f>IF($F19="s-curve",$D19+($E19-$D19)*$I$2/(1+EXP($I$3*(COUNT($H$8:AQ$8)+$I$4))),TREND($D19:$E19,$D$8:$E$8,AQ$8))</f>
        <v>1.0953340802065163</v>
      </c>
      <c r="AR19">
        <f>IF($F19="s-curve",$D19+($E19-$D19)*$I$2/(1+EXP($I$3*(COUNT($H$8:AR$8)+$I$4))),TREND($D19:$E19,$D$8:$E$8,AR$8))</f>
        <v>1.1048674882271712</v>
      </c>
      <c r="AS19">
        <f>IF($F19="s-curve",$D19+($E19-$D19)*$I$2/(1+EXP($I$3*(COUNT($H$8:AS$8)+$I$4))),TREND($D19:$E19,$D$8:$E$8,AS$8))</f>
        <v>1.1144008962478225</v>
      </c>
      <c r="AT19">
        <f>IF($F19="s-curve",$D19+($E19-$D19)*$I$2/(1+EXP($I$3*(COUNT($H$8:AT$8)+$I$4))),TREND($D19:$E19,$D$8:$E$8,AT$8))</f>
        <v>1.1239343042684737</v>
      </c>
      <c r="AU19">
        <f>IF($F19="s-curve",$D19+($E19-$D19)*$I$2/(1+EXP($I$3*(COUNT($H$8:AU$8)+$I$4))),TREND($D19:$E19,$D$8:$E$8,AU$8))</f>
        <v>1.133467712289125</v>
      </c>
      <c r="AV19">
        <f>IF($F19="s-curve",$D19+($E19-$D19)*$I$2/(1+EXP($I$3*(COUNT($H$8:AV$8)+$I$4))),TREND($D19:$E19,$D$8:$E$8,AV$8))</f>
        <v>1.1430011203097763</v>
      </c>
    </row>
    <row r="20" spans="1:48" x14ac:dyDescent="0.15">
      <c r="C20" t="s">
        <v>5</v>
      </c>
      <c r="D20" s="22">
        <f>'SYVbT-freight'!F$2/'SYVbT-freight'!$2:$2</f>
        <v>2.351693008309443E-4</v>
      </c>
      <c r="E20" s="22">
        <f>E13</f>
        <v>6.5546755430319736E-2</v>
      </c>
      <c r="F20" s="7" t="str">
        <f>IF(D20=E20,"n/a",IF(OR(C20="battery electric vehicle",C20="natural gas vehicle",C20="plugin hybrid vehicle"),"s-curve","linear"))</f>
        <v>s-curve</v>
      </c>
      <c r="H20" s="22">
        <f t="shared" si="22"/>
        <v>2.351693008309443E-4</v>
      </c>
      <c r="I20">
        <f>IF($F20="s-curve",$D20+($E20-$D20)*$I$2/(1+EXP($I$3*(COUNT($H$8:I$8)+$I$4))),TREND($D20:$E20,$D$8:$E$8,I$8))</f>
        <v>1.2000847442459445E-3</v>
      </c>
      <c r="J20">
        <f>IF($F20="s-curve",$D20+($E20-$D20)*$I$2/(1+EXP($I$3*(COUNT($H$8:J$8)+$I$4))),TREND($D20:$E20,$D$8:$E$8,J$8))</f>
        <v>1.5309711376175377E-3</v>
      </c>
      <c r="K20">
        <f>IF($F20="s-curve",$D20+($E20-$D20)*$I$2/(1+EXP($I$3*(COUNT($H$8:K$8)+$I$4))),TREND($D20:$E20,$D$8:$E$8,K$8))</f>
        <v>1.9722611376118792E-3</v>
      </c>
      <c r="L20">
        <f>IF($F20="s-curve",$D20+($E20-$D20)*$I$2/(1+EXP($I$3*(COUNT($H$8:L$8)+$I$4))),TREND($D20:$E20,$D$8:$E$8,L$8))</f>
        <v>2.5583800927390698E-3</v>
      </c>
      <c r="M20">
        <f>IF($F20="s-curve",$D20+($E20-$D20)*$I$2/(1+EXP($I$3*(COUNT($H$8:M$8)+$I$4))),TREND($D20:$E20,$D$8:$E$8,M$8))</f>
        <v>3.3326283016338089E-3</v>
      </c>
      <c r="N20">
        <f>IF($F20="s-curve",$D20+($E20-$D20)*$I$2/(1+EXP($I$3*(COUNT($H$8:N$8)+$I$4))),TREND($D20:$E20,$D$8:$E$8,N$8))</f>
        <v>4.3480590688104361E-3</v>
      </c>
      <c r="O20">
        <f>IF($F20="s-curve",$D20+($E20-$D20)*$I$2/(1+EXP($I$3*(COUNT($H$8:O$8)+$I$4))),TREND($D20:$E20,$D$8:$E$8,O$8))</f>
        <v>5.6673100315155853E-3</v>
      </c>
      <c r="P20">
        <f>IF($F20="s-curve",$D20+($E20-$D20)*$I$2/(1+EXP($I$3*(COUNT($H$8:P$8)+$I$4))),TREND($D20:$E20,$D$8:$E$8,P$8))</f>
        <v>7.3604557348016554E-3</v>
      </c>
      <c r="Q20">
        <f>IF($F20="s-curve",$D20+($E20-$D20)*$I$2/(1+EXP($I$3*(COUNT($H$8:Q$8)+$I$4))),TREND($D20:$E20,$D$8:$E$8,Q$8))</f>
        <v>9.4996873436388567E-3</v>
      </c>
      <c r="R20">
        <f>IF($F20="s-curve",$D20+($E20-$D20)*$I$2/(1+EXP($I$3*(COUNT($H$8:R$8)+$I$4))),TREND($D20:$E20,$D$8:$E$8,R$8))</f>
        <v>1.2149669611126894E-2</v>
      </c>
      <c r="S20">
        <f>IF($F20="s-curve",$D20+($E20-$D20)*$I$2/(1+EXP($I$3*(COUNT($H$8:S$8)+$I$4))),TREND($D20:$E20,$D$8:$E$8,S$8))</f>
        <v>1.5353182840176918E-2</v>
      </c>
      <c r="T20">
        <f>IF($F20="s-curve",$D20+($E20-$D20)*$I$2/(1+EXP($I$3*(COUNT($H$8:T$8)+$I$4))),TREND($D20:$E20,$D$8:$E$8,T$8))</f>
        <v>1.9113515755909572E-2</v>
      </c>
      <c r="U20">
        <f>IF($F20="s-curve",$D20+($E20-$D20)*$I$2/(1+EXP($I$3*(COUNT($H$8:U$8)+$I$4))),TREND($D20:$E20,$D$8:$E$8,U$8))</f>
        <v>2.3377917976206104E-2</v>
      </c>
      <c r="V20">
        <f>IF($F20="s-curve",$D20+($E20-$D20)*$I$2/(1+EXP($I$3*(COUNT($H$8:V$8)+$I$4))),TREND($D20:$E20,$D$8:$E$8,V$8))</f>
        <v>2.8029003517134752E-2</v>
      </c>
      <c r="W20">
        <f>IF($F20="s-curve",$D20+($E20-$D20)*$I$2/(1+EXP($I$3*(COUNT($H$8:W$8)+$I$4))),TREND($D20:$E20,$D$8:$E$8,W$8))</f>
        <v>3.2890962365575337E-2</v>
      </c>
      <c r="X20">
        <f>IF($F20="s-curve",$D20+($E20-$D20)*$I$2/(1+EXP($I$3*(COUNT($H$8:X$8)+$I$4))),TREND($D20:$E20,$D$8:$E$8,X$8))</f>
        <v>3.7752921214015925E-2</v>
      </c>
      <c r="Y20">
        <f>IF($F20="s-curve",$D20+($E20-$D20)*$I$2/(1+EXP($I$3*(COUNT($H$8:Y$8)+$I$4))),TREND($D20:$E20,$D$8:$E$8,Y$8))</f>
        <v>4.2404006754944566E-2</v>
      </c>
      <c r="Z20">
        <f>IF($F20="s-curve",$D20+($E20-$D20)*$I$2/(1+EXP($I$3*(COUNT($H$8:Z$8)+$I$4))),TREND($D20:$E20,$D$8:$E$8,Z$8))</f>
        <v>4.6668408975241098E-2</v>
      </c>
      <c r="AA20">
        <f>IF($F20="s-curve",$D20+($E20-$D20)*$I$2/(1+EXP($I$3*(COUNT($H$8:AA$8)+$I$4))),TREND($D20:$E20,$D$8:$E$8,AA$8))</f>
        <v>5.0428741890973752E-2</v>
      </c>
      <c r="AB20">
        <f>IF($F20="s-curve",$D20+($E20-$D20)*$I$2/(1+EXP($I$3*(COUNT($H$8:AB$8)+$I$4))),TREND($D20:$E20,$D$8:$E$8,AB$8))</f>
        <v>5.3632255120023779E-2</v>
      </c>
      <c r="AC20">
        <f>IF($F20="s-curve",$D20+($E20-$D20)*$I$2/(1+EXP($I$3*(COUNT($H$8:AC$8)+$I$4))),TREND($D20:$E20,$D$8:$E$8,AC$8))</f>
        <v>5.628223738751182E-2</v>
      </c>
      <c r="AD20">
        <f>IF($F20="s-curve",$D20+($E20-$D20)*$I$2/(1+EXP($I$3*(COUNT($H$8:AD$8)+$I$4))),TREND($D20:$E20,$D$8:$E$8,AD$8))</f>
        <v>5.8421468996349021E-2</v>
      </c>
      <c r="AE20">
        <f>IF($F20="s-curve",$D20+($E20-$D20)*$I$2/(1+EXP($I$3*(COUNT($H$8:AE$8)+$I$4))),TREND($D20:$E20,$D$8:$E$8,AE$8))</f>
        <v>6.011461469963509E-2</v>
      </c>
      <c r="AF20">
        <f>IF($F20="s-curve",$D20+($E20-$D20)*$I$2/(1+EXP($I$3*(COUNT($H$8:AF$8)+$I$4))),TREND($D20:$E20,$D$8:$E$8,AF$8))</f>
        <v>6.1433865662340242E-2</v>
      </c>
      <c r="AG20">
        <f>IF($F20="s-curve",$D20+($E20-$D20)*$I$2/(1+EXP($I$3*(COUNT($H$8:AG$8)+$I$4))),TREND($D20:$E20,$D$8:$E$8,AG$8))</f>
        <v>6.2449296429516868E-2</v>
      </c>
      <c r="AH20">
        <f>IF($F20="s-curve",$D20+($E20-$D20)*$I$2/(1+EXP($I$3*(COUNT($H$8:AH$8)+$I$4))),TREND($D20:$E20,$D$8:$E$8,AH$8))</f>
        <v>6.3223544638411608E-2</v>
      </c>
      <c r="AI20">
        <f>IF($F20="s-curve",$D20+($E20-$D20)*$I$2/(1+EXP($I$3*(COUNT($H$8:AI$8)+$I$4))),TREND($D20:$E20,$D$8:$E$8,AI$8))</f>
        <v>6.380966359353879E-2</v>
      </c>
      <c r="AJ20">
        <f>IF($F20="s-curve",$D20+($E20-$D20)*$I$2/(1+EXP($I$3*(COUNT($H$8:AJ$8)+$I$4))),TREND($D20:$E20,$D$8:$E$8,AJ$8))</f>
        <v>6.4250953593533153E-2</v>
      </c>
      <c r="AK20">
        <f>IF($F20="s-curve",$D20+($E20-$D20)*$I$2/(1+EXP($I$3*(COUNT($H$8:AK$8)+$I$4))),TREND($D20:$E20,$D$8:$E$8,AK$8))</f>
        <v>6.458183998690474E-2</v>
      </c>
      <c r="AL20">
        <f>IF($F20="s-curve",$D20+($E20-$D20)*$I$2/(1+EXP($I$3*(COUNT($H$8:AL$8)+$I$4))),TREND($D20:$E20,$D$8:$E$8,AL$8))</f>
        <v>6.4829180780402007E-2</v>
      </c>
      <c r="AM20">
        <f>IF($F20="s-curve",$D20+($E20-$D20)*$I$2/(1+EXP($I$3*(COUNT($H$8:AM$8)+$I$4))),TREND($D20:$E20,$D$8:$E$8,AM$8))</f>
        <v>6.5013644961412057E-2</v>
      </c>
      <c r="AN20">
        <f>IF($F20="s-curve",$D20+($E20-$D20)*$I$2/(1+EXP($I$3*(COUNT($H$8:AN$8)+$I$4))),TREND($D20:$E20,$D$8:$E$8,AN$8))</f>
        <v>6.5150980183274532E-2</v>
      </c>
      <c r="AO20">
        <f>IF($F20="s-curve",$D20+($E20-$D20)*$I$2/(1+EXP($I$3*(COUNT($H$8:AO$8)+$I$4))),TREND($D20:$E20,$D$8:$E$8,AO$8))</f>
        <v>6.5253096698507221E-2</v>
      </c>
      <c r="AP20">
        <f>IF($F20="s-curve",$D20+($E20-$D20)*$I$2/(1+EXP($I$3*(COUNT($H$8:AP$8)+$I$4))),TREND($D20:$E20,$D$8:$E$8,AP$8))</f>
        <v>6.5328953875636364E-2</v>
      </c>
      <c r="AQ20">
        <f>IF($F20="s-curve",$D20+($E20-$D20)*$I$2/(1+EXP($I$3*(COUNT($H$8:AQ$8)+$I$4))),TREND($D20:$E20,$D$8:$E$8,AQ$8))</f>
        <v>6.5385264490059422E-2</v>
      </c>
      <c r="AR20">
        <f>IF($F20="s-curve",$D20+($E20-$D20)*$I$2/(1+EXP($I$3*(COUNT($H$8:AR$8)+$I$4))),TREND($D20:$E20,$D$8:$E$8,AR$8))</f>
        <v>6.5427043280707017E-2</v>
      </c>
      <c r="AS20">
        <f>IF($F20="s-curve",$D20+($E20-$D20)*$I$2/(1+EXP($I$3*(COUNT($H$8:AS$8)+$I$4))),TREND($D20:$E20,$D$8:$E$8,AS$8))</f>
        <v>6.5458028337568669E-2</v>
      </c>
      <c r="AT20">
        <f>IF($F20="s-curve",$D20+($E20-$D20)*$I$2/(1+EXP($I$3*(COUNT($H$8:AT$8)+$I$4))),TREND($D20:$E20,$D$8:$E$8,AT$8))</f>
        <v>6.5481001631191055E-2</v>
      </c>
      <c r="AU20">
        <f>IF($F20="s-curve",$D20+($E20-$D20)*$I$2/(1+EXP($I$3*(COUNT($H$8:AU$8)+$I$4))),TREND($D20:$E20,$D$8:$E$8,AU$8))</f>
        <v>6.5498031103883539E-2</v>
      </c>
      <c r="AV20">
        <f>IF($F20="s-curve",$D20+($E20-$D20)*$I$2/(1+EXP($I$3*(COUNT($H$8:AV$8)+$I$4))),TREND($D20:$E20,$D$8:$E$8,AV$8))</f>
        <v>6.5510652580763759E-2</v>
      </c>
    </row>
    <row r="21" spans="1:48" x14ac:dyDescent="0.15">
      <c r="C21" t="s">
        <v>125</v>
      </c>
      <c r="D21" s="22">
        <f>'SYVbT-freight'!G$2/'SYVbT-freight'!$2:$2</f>
        <v>0</v>
      </c>
      <c r="E21" s="22">
        <f>E14</f>
        <v>8.6165104068937229E-4</v>
      </c>
      <c r="F21" s="7" t="str">
        <f>IF(D21=E21,"n/a",IF(OR(C21="battery electric vehicle",C21="natural gas vehicle",C21="plugin hybrid vehicle",C21="hydrogen vehicle"),"s-curve","linear"))</f>
        <v>linear</v>
      </c>
      <c r="H21" s="22">
        <f t="shared" si="22"/>
        <v>0</v>
      </c>
      <c r="I21">
        <f>IF($F21="s-curve",$D21+($E21-$D21)*$I$2/(1+EXP($I$3*(COUNT($H$8:I$8)+$I$4))),TREND($D21:$E21,$D$8:$E$8,I$8))</f>
        <v>3.4466041627559396E-5</v>
      </c>
      <c r="J21">
        <f>IF($F21="s-curve",$D21+($E21-$D21)*$I$2/(1+EXP($I$3*(COUNT($H$8:J$8)+$I$4))),TREND($D21:$E21,$D$8:$E$8,J$8))</f>
        <v>6.8932083255146548E-5</v>
      </c>
      <c r="K21">
        <f>IF($F21="s-curve",$D21+($E21-$D21)*$I$2/(1+EXP($I$3*(COUNT($H$8:K$8)+$I$4))),TREND($D21:$E21,$D$8:$E$8,K$8))</f>
        <v>1.0339812488271982E-4</v>
      </c>
      <c r="L21">
        <f>IF($F21="s-curve",$D21+($E21-$D21)*$I$2/(1+EXP($I$3*(COUNT($H$8:L$8)+$I$4))),TREND($D21:$E21,$D$8:$E$8,L$8))</f>
        <v>1.378641665102931E-4</v>
      </c>
      <c r="M21">
        <f>IF($F21="s-curve",$D21+($E21-$D21)*$I$2/(1+EXP($I$3*(COUNT($H$8:M$8)+$I$4))),TREND($D21:$E21,$D$8:$E$8,M$8))</f>
        <v>1.7233020813786637E-4</v>
      </c>
      <c r="N21">
        <f>IF($F21="s-curve",$D21+($E21-$D21)*$I$2/(1+EXP($I$3*(COUNT($H$8:N$8)+$I$4))),TREND($D21:$E21,$D$8:$E$8,N$8))</f>
        <v>2.0679624976543964E-4</v>
      </c>
      <c r="O21">
        <f>IF($F21="s-curve",$D21+($E21-$D21)*$I$2/(1+EXP($I$3*(COUNT($H$8:O$8)+$I$4))),TREND($D21:$E21,$D$8:$E$8,O$8))</f>
        <v>2.4126229139301292E-4</v>
      </c>
      <c r="P21">
        <f>IF($F21="s-curve",$D21+($E21-$D21)*$I$2/(1+EXP($I$3*(COUNT($H$8:P$8)+$I$4))),TREND($D21:$E21,$D$8:$E$8,P$8))</f>
        <v>2.7572833302058619E-4</v>
      </c>
      <c r="Q21">
        <f>IF($F21="s-curve",$D21+($E21-$D21)*$I$2/(1+EXP($I$3*(COUNT($H$8:Q$8)+$I$4))),TREND($D21:$E21,$D$8:$E$8,Q$8))</f>
        <v>3.1019437464815947E-4</v>
      </c>
      <c r="R21">
        <f>IF($F21="s-curve",$D21+($E21-$D21)*$I$2/(1+EXP($I$3*(COUNT($H$8:R$8)+$I$4))),TREND($D21:$E21,$D$8:$E$8,R$8))</f>
        <v>3.4466041627573274E-4</v>
      </c>
      <c r="S21">
        <f>IF($F21="s-curve",$D21+($E21-$D21)*$I$2/(1+EXP($I$3*(COUNT($H$8:S$8)+$I$4))),TREND($D21:$E21,$D$8:$E$8,S$8))</f>
        <v>3.7912645790331989E-4</v>
      </c>
      <c r="T21">
        <f>IF($F21="s-curve",$D21+($E21-$D21)*$I$2/(1+EXP($I$3*(COUNT($H$8:T$8)+$I$4))),TREND($D21:$E21,$D$8:$E$8,T$8))</f>
        <v>4.1359249953089317E-4</v>
      </c>
      <c r="U21">
        <f>IF($F21="s-curve",$D21+($E21-$D21)*$I$2/(1+EXP($I$3*(COUNT($H$8:U$8)+$I$4))),TREND($D21:$E21,$D$8:$E$8,U$8))</f>
        <v>4.4805854115846644E-4</v>
      </c>
      <c r="V21">
        <f>IF($F21="s-curve",$D21+($E21-$D21)*$I$2/(1+EXP($I$3*(COUNT($H$8:V$8)+$I$4))),TREND($D21:$E21,$D$8:$E$8,V$8))</f>
        <v>4.8252458278603971E-4</v>
      </c>
      <c r="W21">
        <f>IF($F21="s-curve",$D21+($E21-$D21)*$I$2/(1+EXP($I$3*(COUNT($H$8:W$8)+$I$4))),TREND($D21:$E21,$D$8:$E$8,W$8))</f>
        <v>5.1699062441361299E-4</v>
      </c>
      <c r="X21">
        <f>IF($F21="s-curve",$D21+($E21-$D21)*$I$2/(1+EXP($I$3*(COUNT($H$8:X$8)+$I$4))),TREND($D21:$E21,$D$8:$E$8,X$8))</f>
        <v>5.5145666604118626E-4</v>
      </c>
      <c r="Y21">
        <f>IF($F21="s-curve",$D21+($E21-$D21)*$I$2/(1+EXP($I$3*(COUNT($H$8:Y$8)+$I$4))),TREND($D21:$E21,$D$8:$E$8,Y$8))</f>
        <v>5.8592270766875953E-4</v>
      </c>
      <c r="Z21">
        <f>IF($F21="s-curve",$D21+($E21-$D21)*$I$2/(1+EXP($I$3*(COUNT($H$8:Z$8)+$I$4))),TREND($D21:$E21,$D$8:$E$8,Z$8))</f>
        <v>6.2038874929633281E-4</v>
      </c>
      <c r="AA21">
        <f>IF($F21="s-curve",$D21+($E21-$D21)*$I$2/(1+EXP($I$3*(COUNT($H$8:AA$8)+$I$4))),TREND($D21:$E21,$D$8:$E$8,AA$8))</f>
        <v>6.5485479092391996E-4</v>
      </c>
      <c r="AB21">
        <f>IF($F21="s-curve",$D21+($E21-$D21)*$I$2/(1+EXP($I$3*(COUNT($H$8:AB$8)+$I$4))),TREND($D21:$E21,$D$8:$E$8,AB$8))</f>
        <v>6.8932083255149323E-4</v>
      </c>
      <c r="AC21">
        <f>IF($F21="s-curve",$D21+($E21-$D21)*$I$2/(1+EXP($I$3*(COUNT($H$8:AC$8)+$I$4))),TREND($D21:$E21,$D$8:$E$8,AC$8))</f>
        <v>7.2378687417906651E-4</v>
      </c>
      <c r="AD21">
        <f>IF($F21="s-curve",$D21+($E21-$D21)*$I$2/(1+EXP($I$3*(COUNT($H$8:AD$8)+$I$4))),TREND($D21:$E21,$D$8:$E$8,AD$8))</f>
        <v>7.5825291580663978E-4</v>
      </c>
      <c r="AE21">
        <f>IF($F21="s-curve",$D21+($E21-$D21)*$I$2/(1+EXP($I$3*(COUNT($H$8:AE$8)+$I$4))),TREND($D21:$E21,$D$8:$E$8,AE$8))</f>
        <v>7.9271895743421306E-4</v>
      </c>
      <c r="AF21">
        <f>IF($F21="s-curve",$D21+($E21-$D21)*$I$2/(1+EXP($I$3*(COUNT($H$8:AF$8)+$I$4))),TREND($D21:$E21,$D$8:$E$8,AF$8))</f>
        <v>8.2718499906178633E-4</v>
      </c>
      <c r="AG21">
        <f>IF($F21="s-curve",$D21+($E21-$D21)*$I$2/(1+EXP($I$3*(COUNT($H$8:AG$8)+$I$4))),TREND($D21:$E21,$D$8:$E$8,AG$8))</f>
        <v>8.616510406893596E-4</v>
      </c>
      <c r="AH21">
        <f>IF($F21="s-curve",$D21+($E21-$D21)*$I$2/(1+EXP($I$3*(COUNT($H$8:AH$8)+$I$4))),TREND($D21:$E21,$D$8:$E$8,AH$8))</f>
        <v>8.9611708231693288E-4</v>
      </c>
      <c r="AI21">
        <f>IF($F21="s-curve",$D21+($E21-$D21)*$I$2/(1+EXP($I$3*(COUNT($H$8:AI$8)+$I$4))),TREND($D21:$E21,$D$8:$E$8,AI$8))</f>
        <v>9.3058312394450615E-4</v>
      </c>
      <c r="AJ21">
        <f>IF($F21="s-curve",$D21+($E21-$D21)*$I$2/(1+EXP($I$3*(COUNT($H$8:AJ$8)+$I$4))),TREND($D21:$E21,$D$8:$E$8,AJ$8))</f>
        <v>9.650491655720933E-4</v>
      </c>
      <c r="AK21">
        <f>IF($F21="s-curve",$D21+($E21-$D21)*$I$2/(1+EXP($I$3*(COUNT($H$8:AK$8)+$I$4))),TREND($D21:$E21,$D$8:$E$8,AK$8))</f>
        <v>9.9951520719966658E-4</v>
      </c>
      <c r="AL21">
        <f>IF($F21="s-curve",$D21+($E21-$D21)*$I$2/(1+EXP($I$3*(COUNT($H$8:AL$8)+$I$4))),TREND($D21:$E21,$D$8:$E$8,AL$8))</f>
        <v>1.0339812488272399E-3</v>
      </c>
      <c r="AM21">
        <f>IF($F21="s-curve",$D21+($E21-$D21)*$I$2/(1+EXP($I$3*(COUNT($H$8:AM$8)+$I$4))),TREND($D21:$E21,$D$8:$E$8,AM$8))</f>
        <v>1.0684472904548131E-3</v>
      </c>
      <c r="AN21">
        <f>IF($F21="s-curve",$D21+($E21-$D21)*$I$2/(1+EXP($I$3*(COUNT($H$8:AN$8)+$I$4))),TREND($D21:$E21,$D$8:$E$8,AN$8))</f>
        <v>1.1029133320823864E-3</v>
      </c>
      <c r="AO21">
        <f>IF($F21="s-curve",$D21+($E21-$D21)*$I$2/(1+EXP($I$3*(COUNT($H$8:AO$8)+$I$4))),TREND($D21:$E21,$D$8:$E$8,AO$8))</f>
        <v>1.1373793737099597E-3</v>
      </c>
      <c r="AP21">
        <f>IF($F21="s-curve",$D21+($E21-$D21)*$I$2/(1+EXP($I$3*(COUNT($H$8:AP$8)+$I$4))),TREND($D21:$E21,$D$8:$E$8,AP$8))</f>
        <v>1.1718454153375329E-3</v>
      </c>
      <c r="AQ21">
        <f>IF($F21="s-curve",$D21+($E21-$D21)*$I$2/(1+EXP($I$3*(COUNT($H$8:AQ$8)+$I$4))),TREND($D21:$E21,$D$8:$E$8,AQ$8))</f>
        <v>1.2063114569651062E-3</v>
      </c>
      <c r="AR21">
        <f>IF($F21="s-curve",$D21+($E21-$D21)*$I$2/(1+EXP($I$3*(COUNT($H$8:AR$8)+$I$4))),TREND($D21:$E21,$D$8:$E$8,AR$8))</f>
        <v>1.2407774985926934E-3</v>
      </c>
      <c r="AS21">
        <f>IF($F21="s-curve",$D21+($E21-$D21)*$I$2/(1+EXP($I$3*(COUNT($H$8:AS$8)+$I$4))),TREND($D21:$E21,$D$8:$E$8,AS$8))</f>
        <v>1.2752435402202666E-3</v>
      </c>
      <c r="AT21">
        <f>IF($F21="s-curve",$D21+($E21-$D21)*$I$2/(1+EXP($I$3*(COUNT($H$8:AT$8)+$I$4))),TREND($D21:$E21,$D$8:$E$8,AT$8))</f>
        <v>1.3097095818478399E-3</v>
      </c>
      <c r="AU21">
        <f>IF($F21="s-curve",$D21+($E21-$D21)*$I$2/(1+EXP($I$3*(COUNT($H$8:AU$8)+$I$4))),TREND($D21:$E21,$D$8:$E$8,AU$8))</f>
        <v>1.3441756234754132E-3</v>
      </c>
      <c r="AV21">
        <f>IF($F21="s-curve",$D21+($E21-$D21)*$I$2/(1+EXP($I$3*(COUNT($H$8:AV$8)+$I$4))),TREND($D21:$E21,$D$8:$E$8,AV$8))</f>
        <v>1.3786416651029865E-3</v>
      </c>
    </row>
    <row r="22" spans="1:48" ht="13.6" thickBot="1" x14ac:dyDescent="0.2">
      <c r="A22" s="23"/>
      <c r="B22" s="23"/>
      <c r="C22" s="23" t="s">
        <v>126</v>
      </c>
      <c r="D22" s="26">
        <f>'SYVbT-freight'!H$2/'SYVbT-freight'!$2:$2</f>
        <v>6.2201131034112959E-5</v>
      </c>
      <c r="E22" s="26">
        <f>E15</f>
        <v>3.1482251979020537E-4</v>
      </c>
      <c r="F22" s="8" t="str">
        <f>IF(D22=E22,"n/a",IF(OR(C22="battery electric vehicle",C22="natural gas vehicle",C22="plugin hybrid vehicle",C22="hydrogen vehicle"),"s-curve","linear"))</f>
        <v>s-curve</v>
      </c>
      <c r="H22" s="22">
        <f t="shared" si="22"/>
        <v>6.2201131034112959E-5</v>
      </c>
      <c r="I22">
        <f>IF($F22="s-curve",$D22+($E22-$D22)*$I$2/(1+EXP($I$3*(COUNT($H$8:I$8)+$I$4))),TREND($D22:$E22,$D$8:$E$8,I$8))</f>
        <v>6.5933367437994128E-5</v>
      </c>
      <c r="J22">
        <f>IF($F22="s-curve",$D22+($E22-$D22)*$I$2/(1+EXP($I$3*(COUNT($H$8:J$8)+$I$4))),TREND($D22:$E22,$D$8:$E$8,J$8))</f>
        <v>6.721321662200108E-5</v>
      </c>
      <c r="K22">
        <f>IF($F22="s-curve",$D22+($E22-$D22)*$I$2/(1+EXP($I$3*(COUNT($H$8:K$8)+$I$4))),TREND($D22:$E22,$D$8:$E$8,K$8))</f>
        <v>6.8920100488237683E-5</v>
      </c>
      <c r="L22">
        <f>IF($F22="s-curve",$D22+($E22-$D22)*$I$2/(1+EXP($I$3*(COUNT($H$8:L$8)+$I$4))),TREND($D22:$E22,$D$8:$E$8,L$8))</f>
        <v>7.1187174267872127E-5</v>
      </c>
      <c r="M22">
        <f>IF($F22="s-curve",$D22+($E22-$D22)*$I$2/(1+EXP($I$3*(COUNT($H$8:M$8)+$I$4))),TREND($D22:$E22,$D$8:$E$8,M$8))</f>
        <v>7.4181920979200197E-5</v>
      </c>
      <c r="N22">
        <f>IF($F22="s-curve",$D22+($E22-$D22)*$I$2/(1+EXP($I$3*(COUNT($H$8:N$8)+$I$4))),TREND($D22:$E22,$D$8:$E$8,N$8))</f>
        <v>7.8109547695863306E-5</v>
      </c>
      <c r="O22">
        <f>IF($F22="s-curve",$D22+($E22-$D22)*$I$2/(1+EXP($I$3*(COUNT($H$8:O$8)+$I$4))),TREND($D22:$E22,$D$8:$E$8,O$8))</f>
        <v>8.3212333128996599E-5</v>
      </c>
      <c r="P22">
        <f>IF($F22="s-curve",$D22+($E22-$D22)*$I$2/(1+EXP($I$3*(COUNT($H$8:P$8)+$I$4))),TREND($D22:$E22,$D$8:$E$8,P$8))</f>
        <v>8.9761321513423791E-5</v>
      </c>
      <c r="Q22">
        <f>IF($F22="s-curve",$D22+($E22-$D22)*$I$2/(1+EXP($I$3*(COUNT($H$8:Q$8)+$I$4))),TREND($D22:$E22,$D$8:$E$8,Q$8))</f>
        <v>9.8035744045804792E-5</v>
      </c>
      <c r="R22">
        <f>IF($F22="s-curve",$D22+($E22-$D22)*$I$2/(1+EXP($I$3*(COUNT($H$8:R$8)+$I$4))),TREND($D22:$E22,$D$8:$E$8,R$8))</f>
        <v>1.082857202026323E-4</v>
      </c>
      <c r="S22">
        <f>IF($F22="s-curve",$D22+($E22-$D22)*$I$2/(1+EXP($I$3*(COUNT($H$8:S$8)+$I$4))),TREND($D22:$E22,$D$8:$E$8,S$8))</f>
        <v>1.2067672168920828E-4</v>
      </c>
      <c r="T22">
        <f>IF($F22="s-curve",$D22+($E22-$D22)*$I$2/(1+EXP($I$3*(COUNT($H$8:T$8)+$I$4))),TREND($D22:$E22,$D$8:$E$8,T$8))</f>
        <v>1.3522146910162369E-4</v>
      </c>
      <c r="U22">
        <f>IF($F22="s-curve",$D22+($E22-$D22)*$I$2/(1+EXP($I$3*(COUNT($H$8:U$8)+$I$4))),TREND($D22:$E22,$D$8:$E$8,U$8))</f>
        <v>1.5171592705231604E-4</v>
      </c>
      <c r="V22">
        <f>IF($F22="s-curve",$D22+($E22-$D22)*$I$2/(1+EXP($I$3*(COUNT($H$8:V$8)+$I$4))),TREND($D22:$E22,$D$8:$E$8,V$8))</f>
        <v>1.6970605343269912E-4</v>
      </c>
      <c r="W22">
        <f>IF($F22="s-curve",$D22+($E22-$D22)*$I$2/(1+EXP($I$3*(COUNT($H$8:W$8)+$I$4))),TREND($D22:$E22,$D$8:$E$8,W$8))</f>
        <v>1.8851182541215915E-4</v>
      </c>
      <c r="X22">
        <f>IF($F22="s-curve",$D22+($E22-$D22)*$I$2/(1+EXP($I$3*(COUNT($H$8:X$8)+$I$4))),TREND($D22:$E22,$D$8:$E$8,X$8))</f>
        <v>2.0731759739161921E-4</v>
      </c>
      <c r="Y22">
        <f>IF($F22="s-curve",$D22+($E22-$D22)*$I$2/(1+EXP($I$3*(COUNT($H$8:Y$8)+$I$4))),TREND($D22:$E22,$D$8:$E$8,Y$8))</f>
        <v>2.2530772377200227E-4</v>
      </c>
      <c r="Z22">
        <f>IF($F22="s-curve",$D22+($E22-$D22)*$I$2/(1+EXP($I$3*(COUNT($H$8:Z$8)+$I$4))),TREND($D22:$E22,$D$8:$E$8,Z$8))</f>
        <v>2.4180218172269459E-4</v>
      </c>
      <c r="AA22">
        <f>IF($F22="s-curve",$D22+($E22-$D22)*$I$2/(1+EXP($I$3*(COUNT($H$8:AA$8)+$I$4))),TREND($D22:$E22,$D$8:$E$8,AA$8))</f>
        <v>2.5634692913511001E-4</v>
      </c>
      <c r="AB22">
        <f>IF($F22="s-curve",$D22+($E22-$D22)*$I$2/(1+EXP($I$3*(COUNT($H$8:AB$8)+$I$4))),TREND($D22:$E22,$D$8:$E$8,AB$8))</f>
        <v>2.6873793062168601E-4</v>
      </c>
      <c r="AC22">
        <f>IF($F22="s-curve",$D22+($E22-$D22)*$I$2/(1+EXP($I$3*(COUNT($H$8:AC$8)+$I$4))),TREND($D22:$E22,$D$8:$E$8,AC$8))</f>
        <v>2.7898790677851357E-4</v>
      </c>
      <c r="AD22">
        <f>IF($F22="s-curve",$D22+($E22-$D22)*$I$2/(1+EXP($I$3*(COUNT($H$8:AD$8)+$I$4))),TREND($D22:$E22,$D$8:$E$8,AD$8))</f>
        <v>2.8726232931089451E-4</v>
      </c>
      <c r="AE22">
        <f>IF($F22="s-curve",$D22+($E22-$D22)*$I$2/(1+EXP($I$3*(COUNT($H$8:AE$8)+$I$4))),TREND($D22:$E22,$D$8:$E$8,AE$8))</f>
        <v>2.9381131769532171E-4</v>
      </c>
      <c r="AF22">
        <f>IF($F22="s-curve",$D22+($E22-$D22)*$I$2/(1+EXP($I$3*(COUNT($H$8:AF$8)+$I$4))),TREND($D22:$E22,$D$8:$E$8,AF$8))</f>
        <v>2.9891410312845505E-4</v>
      </c>
      <c r="AG22">
        <f>IF($F22="s-curve",$D22+($E22-$D22)*$I$2/(1+EXP($I$3*(COUNT($H$8:AG$8)+$I$4))),TREND($D22:$E22,$D$8:$E$8,AG$8))</f>
        <v>3.0284172984511813E-4</v>
      </c>
      <c r="AH22">
        <f>IF($F22="s-curve",$D22+($E22-$D22)*$I$2/(1+EXP($I$3*(COUNT($H$8:AH$8)+$I$4))),TREND($D22:$E22,$D$8:$E$8,AH$8))</f>
        <v>3.0583647655644619E-4</v>
      </c>
      <c r="AI22">
        <f>IF($F22="s-curve",$D22+($E22-$D22)*$I$2/(1+EXP($I$3*(COUNT($H$8:AI$8)+$I$4))),TREND($D22:$E22,$D$8:$E$8,AI$8))</f>
        <v>3.0810355033608064E-4</v>
      </c>
      <c r="AJ22">
        <f>IF($F22="s-curve",$D22+($E22-$D22)*$I$2/(1+EXP($I$3*(COUNT($H$8:AJ$8)+$I$4))),TREND($D22:$E22,$D$8:$E$8,AJ$8))</f>
        <v>3.0981043420231721E-4</v>
      </c>
      <c r="AK22">
        <f>IF($F22="s-curve",$D22+($E22-$D22)*$I$2/(1+EXP($I$3*(COUNT($H$8:AK$8)+$I$4))),TREND($D22:$E22,$D$8:$E$8,AK$8))</f>
        <v>3.1109028338632415E-4</v>
      </c>
      <c r="AL22">
        <f>IF($F22="s-curve",$D22+($E22-$D22)*$I$2/(1+EXP($I$3*(COUNT($H$8:AL$8)+$I$4))),TREND($D22:$E22,$D$8:$E$8,AL$8))</f>
        <v>3.1204698308468144E-4</v>
      </c>
      <c r="AM22">
        <f>IF($F22="s-curve",$D22+($E22-$D22)*$I$2/(1+EXP($I$3*(COUNT($H$8:AM$8)+$I$4))),TREND($D22:$E22,$D$8:$E$8,AM$8))</f>
        <v>3.1276047972967366E-4</v>
      </c>
      <c r="AN22">
        <f>IF($F22="s-curve",$D22+($E22-$D22)*$I$2/(1+EXP($I$3*(COUNT($H$8:AN$8)+$I$4))),TREND($D22:$E22,$D$8:$E$8,AN$8))</f>
        <v>3.1329168432181508E-4</v>
      </c>
      <c r="AO22">
        <f>IF($F22="s-curve",$D22+($E22-$D22)*$I$2/(1+EXP($I$3*(COUNT($H$8:AO$8)+$I$4))),TREND($D22:$E22,$D$8:$E$8,AO$8))</f>
        <v>3.1368666502006167E-4</v>
      </c>
      <c r="AP22">
        <f>IF($F22="s-curve",$D22+($E22-$D22)*$I$2/(1+EXP($I$3*(COUNT($H$8:AP$8)+$I$4))),TREND($D22:$E22,$D$8:$E$8,AP$8))</f>
        <v>3.1398007613697265E-4</v>
      </c>
      <c r="AQ22">
        <f>IF($F22="s-curve",$D22+($E22-$D22)*$I$2/(1+EXP($I$3*(COUNT($H$8:AQ$8)+$I$4))),TREND($D22:$E22,$D$8:$E$8,AQ$8))</f>
        <v>3.1419788229450579E-4</v>
      </c>
      <c r="AR22">
        <f>IF($F22="s-curve",$D22+($E22-$D22)*$I$2/(1+EXP($I$3*(COUNT($H$8:AR$8)+$I$4))),TREND($D22:$E22,$D$8:$E$8,AR$8))</f>
        <v>3.1435948020904771E-4</v>
      </c>
      <c r="AS22">
        <f>IF($F22="s-curve",$D22+($E22-$D22)*$I$2/(1+EXP($I$3*(COUNT($H$8:AS$8)+$I$4))),TREND($D22:$E22,$D$8:$E$8,AS$8))</f>
        <v>3.1447932859367516E-4</v>
      </c>
      <c r="AT22">
        <f>IF($F22="s-curve",$D22+($E22-$D22)*$I$2/(1+EXP($I$3*(COUNT($H$8:AT$8)+$I$4))),TREND($D22:$E22,$D$8:$E$8,AT$8))</f>
        <v>3.1456818794747625E-4</v>
      </c>
      <c r="AU22">
        <f>IF($F22="s-curve",$D22+($E22-$D22)*$I$2/(1+EXP($I$3*(COUNT($H$8:AU$8)+$I$4))),TREND($D22:$E22,$D$8:$E$8,AU$8))</f>
        <v>3.146340569501494E-4</v>
      </c>
      <c r="AV22">
        <f>IF($F22="s-curve",$D22+($E22-$D22)*$I$2/(1+EXP($I$3*(COUNT($H$8:AV$8)+$I$4))),TREND($D22:$E22,$D$8:$E$8,AV$8))</f>
        <v>3.1468287608327097E-4</v>
      </c>
    </row>
    <row r="23" spans="1:48" x14ac:dyDescent="0.15">
      <c r="A23" t="s">
        <v>13</v>
      </c>
      <c r="B23" t="s">
        <v>19</v>
      </c>
      <c r="C23" t="s">
        <v>1</v>
      </c>
      <c r="D23" s="22">
        <f>Summary!Y19</f>
        <v>0.59512494251111447</v>
      </c>
      <c r="E23" s="32">
        <v>1</v>
      </c>
      <c r="F23" s="7" t="str">
        <f>IF(D23=E23,"n/a",IF(OR(C23="battery electric vehicle",C23="natural gas vehicle",C23="plugin hybrid vehicle"),"s-curve","linear"))</f>
        <v>s-curve</v>
      </c>
      <c r="H23" s="22">
        <f t="shared" si="22"/>
        <v>0.59512494251111447</v>
      </c>
      <c r="I23">
        <f>IF($F23="s-curve",$D23+($E23-$D23)*$I$2/(1+EXP($I$3*(COUNT($H$8:I$8)+$I$4))),TREND($D23:$E23,$D$8:$E$8,I$8))</f>
        <v>0.60110657944227097</v>
      </c>
      <c r="J23">
        <f>IF($F23="s-curve",$D23+($E23-$D23)*$I$2/(1+EXP($I$3*(COUNT($H$8:J$8)+$I$4))),TREND($D23:$E23,$D$8:$E$8,J$8))</f>
        <v>0.60315778743579618</v>
      </c>
      <c r="K23">
        <f>IF($F23="s-curve",$D23+($E23-$D23)*$I$2/(1+EXP($I$3*(COUNT($H$8:K$8)+$I$4))),TREND($D23:$E23,$D$8:$E$8,K$8))</f>
        <v>0.60589340181457951</v>
      </c>
      <c r="L23">
        <f>IF($F23="s-curve",$D23+($E23-$D23)*$I$2/(1+EXP($I$3*(COUNT($H$8:L$8)+$I$4))),TREND($D23:$E23,$D$8:$E$8,L$8))</f>
        <v>0.60952682981282102</v>
      </c>
      <c r="M23">
        <f>IF($F23="s-curve",$D23+($E23-$D23)*$I$2/(1+EXP($I$3*(COUNT($H$8:M$8)+$I$4))),TREND($D23:$E23,$D$8:$E$8,M$8))</f>
        <v>0.61432649564034247</v>
      </c>
      <c r="N23">
        <f>IF($F23="s-curve",$D23+($E23-$D23)*$I$2/(1+EXP($I$3*(COUNT($H$8:N$8)+$I$4))),TREND($D23:$E23,$D$8:$E$8,N$8))</f>
        <v>0.62062128366495894</v>
      </c>
      <c r="O23">
        <f>IF($F23="s-curve",$D23+($E23-$D23)*$I$2/(1+EXP($I$3*(COUNT($H$8:O$8)+$I$4))),TREND($D23:$E23,$D$8:$E$8,O$8))</f>
        <v>0.62879949278559688</v>
      </c>
      <c r="P23">
        <f>IF($F23="s-curve",$D23+($E23-$D23)*$I$2/(1+EXP($I$3*(COUNT($H$8:P$8)+$I$4))),TREND($D23:$E23,$D$8:$E$8,P$8))</f>
        <v>0.63929552426454295</v>
      </c>
      <c r="Q23">
        <f>IF($F23="s-curve",$D23+($E23-$D23)*$I$2/(1+EXP($I$3*(COUNT($H$8:Q$8)+$I$4))),TREND($D23:$E23,$D$8:$E$8,Q$8))</f>
        <v>0.65255690056755911</v>
      </c>
      <c r="R23">
        <f>IF($F23="s-curve",$D23+($E23-$D23)*$I$2/(1+EXP($I$3*(COUNT($H$8:R$8)+$I$4))),TREND($D23:$E23,$D$8:$E$8,R$8))</f>
        <v>0.66898448694965307</v>
      </c>
      <c r="S23">
        <f>IF($F23="s-curve",$D23+($E23-$D23)*$I$2/(1+EXP($I$3*(COUNT($H$8:S$8)+$I$4))),TREND($D23:$E23,$D$8:$E$8,S$8))</f>
        <v>0.68884348409920193</v>
      </c>
      <c r="T23">
        <f>IF($F23="s-curve",$D23+($E23-$D23)*$I$2/(1+EXP($I$3*(COUNT($H$8:T$8)+$I$4))),TREND($D23:$E23,$D$8:$E$8,T$8))</f>
        <v>0.71215427925300701</v>
      </c>
      <c r="U23">
        <f>IF($F23="s-curve",$D23+($E23-$D23)*$I$2/(1+EXP($I$3*(COUNT($H$8:U$8)+$I$4))),TREND($D23:$E23,$D$8:$E$8,U$8))</f>
        <v>0.73858986589876952</v>
      </c>
      <c r="V23">
        <f>IF($F23="s-curve",$D23+($E23-$D23)*$I$2/(1+EXP($I$3*(COUNT($H$8:V$8)+$I$4))),TREND($D23:$E23,$D$8:$E$8,V$8))</f>
        <v>0.76742255298181949</v>
      </c>
      <c r="W23">
        <f>IF($F23="s-curve",$D23+($E23-$D23)*$I$2/(1+EXP($I$3*(COUNT($H$8:W$8)+$I$4))),TREND($D23:$E23,$D$8:$E$8,W$8))</f>
        <v>0.79756247125555724</v>
      </c>
      <c r="X23">
        <f>IF($F23="s-curve",$D23+($E23-$D23)*$I$2/(1+EXP($I$3*(COUNT($H$8:X$8)+$I$4))),TREND($D23:$E23,$D$8:$E$8,X$8))</f>
        <v>0.82770238952929498</v>
      </c>
      <c r="Y23">
        <f>IF($F23="s-curve",$D23+($E23-$D23)*$I$2/(1+EXP($I$3*(COUNT($H$8:Y$8)+$I$4))),TREND($D23:$E23,$D$8:$E$8,Y$8))</f>
        <v>0.85653507661234485</v>
      </c>
      <c r="Z23">
        <f>IF($F23="s-curve",$D23+($E23-$D23)*$I$2/(1+EXP($I$3*(COUNT($H$8:Z$8)+$I$4))),TREND($D23:$E23,$D$8:$E$8,Z$8))</f>
        <v>0.88297066325810758</v>
      </c>
      <c r="AA23">
        <f>IF($F23="s-curve",$D23+($E23-$D23)*$I$2/(1+EXP($I$3*(COUNT($H$8:AA$8)+$I$4))),TREND($D23:$E23,$D$8:$E$8,AA$8))</f>
        <v>0.90628145841191254</v>
      </c>
      <c r="AB23">
        <f>IF($F23="s-curve",$D23+($E23-$D23)*$I$2/(1+EXP($I$3*(COUNT($H$8:AB$8)+$I$4))),TREND($D23:$E23,$D$8:$E$8,AB$8))</f>
        <v>0.92614045556146141</v>
      </c>
      <c r="AC23">
        <f>IF($F23="s-curve",$D23+($E23-$D23)*$I$2/(1+EXP($I$3*(COUNT($H$8:AC$8)+$I$4))),TREND($D23:$E23,$D$8:$E$8,AC$8))</f>
        <v>0.94256804194355537</v>
      </c>
      <c r="AD23">
        <f>IF($F23="s-curve",$D23+($E23-$D23)*$I$2/(1+EXP($I$3*(COUNT($H$8:AD$8)+$I$4))),TREND($D23:$E23,$D$8:$E$8,AD$8))</f>
        <v>0.95582941824657164</v>
      </c>
      <c r="AE23">
        <f>IF($F23="s-curve",$D23+($E23-$D23)*$I$2/(1+EXP($I$3*(COUNT($H$8:AE$8)+$I$4))),TREND($D23:$E23,$D$8:$E$8,AE$8))</f>
        <v>0.96632544972551759</v>
      </c>
      <c r="AF23">
        <f>IF($F23="s-curve",$D23+($E23-$D23)*$I$2/(1+EXP($I$3*(COUNT($H$8:AF$8)+$I$4))),TREND($D23:$E23,$D$8:$E$8,AF$8))</f>
        <v>0.97450365884615553</v>
      </c>
      <c r="AG23">
        <f>IF($F23="s-curve",$D23+($E23-$D23)*$I$2/(1+EXP($I$3*(COUNT($H$8:AG$8)+$I$4))),TREND($D23:$E23,$D$8:$E$8,AG$8))</f>
        <v>0.98079844687077211</v>
      </c>
      <c r="AH23">
        <f>IF($F23="s-curve",$D23+($E23-$D23)*$I$2/(1+EXP($I$3*(COUNT($H$8:AH$8)+$I$4))),TREND($D23:$E23,$D$8:$E$8,AH$8))</f>
        <v>0.98559811269829334</v>
      </c>
      <c r="AI23">
        <f>IF($F23="s-curve",$D23+($E23-$D23)*$I$2/(1+EXP($I$3*(COUNT($H$8:AI$8)+$I$4))),TREND($D23:$E23,$D$8:$E$8,AI$8))</f>
        <v>0.98923154069653485</v>
      </c>
      <c r="AJ23">
        <f>IF($F23="s-curve",$D23+($E23-$D23)*$I$2/(1+EXP($I$3*(COUNT($H$8:AJ$8)+$I$4))),TREND($D23:$E23,$D$8:$E$8,AJ$8))</f>
        <v>0.9919671550753183</v>
      </c>
      <c r="AK23">
        <f>IF($F23="s-curve",$D23+($E23-$D23)*$I$2/(1+EXP($I$3*(COUNT($H$8:AK$8)+$I$4))),TREND($D23:$E23,$D$8:$E$8,AK$8))</f>
        <v>0.9940183630688435</v>
      </c>
      <c r="AL23">
        <f>IF($F23="s-curve",$D23+($E23-$D23)*$I$2/(1+EXP($I$3*(COUNT($H$8:AL$8)+$I$4))),TREND($D23:$E23,$D$8:$E$8,AL$8))</f>
        <v>0.99555166097081149</v>
      </c>
      <c r="AM23">
        <f>IF($F23="s-curve",$D23+($E23-$D23)*$I$2/(1+EXP($I$3*(COUNT($H$8:AM$8)+$I$4))),TREND($D23:$E23,$D$8:$E$8,AM$8))</f>
        <v>0.99669517853510725</v>
      </c>
      <c r="AN23">
        <f>IF($F23="s-curve",$D23+($E23-$D23)*$I$2/(1+EXP($I$3*(COUNT($H$8:AN$8)+$I$4))),TREND($D23:$E23,$D$8:$E$8,AN$8))</f>
        <v>0.9975465375227236</v>
      </c>
      <c r="AO23">
        <f>IF($F23="s-curve",$D23+($E23-$D23)*$I$2/(1+EXP($I$3*(COUNT($H$8:AO$8)+$I$4))),TREND($D23:$E23,$D$8:$E$8,AO$8))</f>
        <v>0.99817957114547817</v>
      </c>
      <c r="AP23">
        <f>IF($F23="s-curve",$D23+($E23-$D23)*$I$2/(1+EXP($I$3*(COUNT($H$8:AP$8)+$I$4))),TREND($D23:$E23,$D$8:$E$8,AP$8))</f>
        <v>0.99864981969969668</v>
      </c>
      <c r="AQ23">
        <f>IF($F23="s-curve",$D23+($E23-$D23)*$I$2/(1+EXP($I$3*(COUNT($H$8:AQ$8)+$I$4))),TREND($D23:$E23,$D$8:$E$8,AQ$8))</f>
        <v>0.99899889655730911</v>
      </c>
      <c r="AR23">
        <f>IF($F23="s-curve",$D23+($E23-$D23)*$I$2/(1+EXP($I$3*(COUNT($H$8:AR$8)+$I$4))),TREND($D23:$E23,$D$8:$E$8,AR$8))</f>
        <v>0.99925788874028454</v>
      </c>
      <c r="AS23">
        <f>IF($F23="s-curve",$D23+($E23-$D23)*$I$2/(1+EXP($I$3*(COUNT($H$8:AS$8)+$I$4))),TREND($D23:$E23,$D$8:$E$8,AS$8))</f>
        <v>0.99944996915697026</v>
      </c>
      <c r="AT23">
        <f>IF($F23="s-curve",$D23+($E23-$D23)*$I$2/(1+EXP($I$3*(COUNT($H$8:AT$8)+$I$4))),TREND($D23:$E23,$D$8:$E$8,AT$8))</f>
        <v>0.99959238360633973</v>
      </c>
      <c r="AU23">
        <f>IF($F23="s-curve",$D23+($E23-$D23)*$I$2/(1+EXP($I$3*(COUNT($H$8:AU$8)+$I$4))),TREND($D23:$E23,$D$8:$E$8,AU$8))</f>
        <v>0.999697951533012</v>
      </c>
      <c r="AV23">
        <f>IF($F23="s-curve",$D23+($E23-$D23)*$I$2/(1+EXP($I$3*(COUNT($H$8:AV$8)+$I$4))),TREND($D23:$E23,$D$8:$E$8,AV$8))</f>
        <v>0.99977619371759696</v>
      </c>
    </row>
    <row r="24" spans="1:48" x14ac:dyDescent="0.15">
      <c r="C24" t="s">
        <v>2</v>
      </c>
      <c r="D24" s="22">
        <f>'SYVbT-passenger'!D3/SUM('SYVbT-passenger'!3:3)</f>
        <v>0.3016459805232003</v>
      </c>
      <c r="E24" s="22">
        <f>E31</f>
        <v>0.5</v>
      </c>
      <c r="F24" s="7" t="str">
        <f>IF(D24=E24,"n/a",IF(OR(C24="battery electric vehicle",C24="natural gas vehicle",C24="plugin hybrid vehicle"),"s-curve","linear"))</f>
        <v>s-curve</v>
      </c>
      <c r="H24" s="22">
        <f t="shared" si="22"/>
        <v>0.3016459805232003</v>
      </c>
      <c r="I24">
        <f>IF($F24="s-curve",$D24+($E24-$D24)*$I$2/(1+EXP($I$3*(COUNT($H$8:I$8)+$I$4))),TREND($D24:$E24,$D$8:$E$8,I$8))</f>
        <v>0.30457646909343866</v>
      </c>
      <c r="J24">
        <f>IF($F24="s-curve",$D24+($E24-$D24)*$I$2/(1+EXP($I$3*(COUNT($H$8:J$8)+$I$4))),TREND($D24:$E24,$D$8:$E$8,J$8))</f>
        <v>0.30558138491320319</v>
      </c>
      <c r="K24">
        <f>IF($F24="s-curve",$D24+($E24-$D24)*$I$2/(1+EXP($I$3*(COUNT($H$8:K$8)+$I$4))),TREND($D24:$E24,$D$8:$E$8,K$8))</f>
        <v>0.30692160110517025</v>
      </c>
      <c r="L24">
        <f>IF($F24="s-curve",$D24+($E24-$D24)*$I$2/(1+EXP($I$3*(COUNT($H$8:L$8)+$I$4))),TREND($D24:$E24,$D$8:$E$8,L$8))</f>
        <v>0.30870166889299772</v>
      </c>
      <c r="M24">
        <f>IF($F24="s-curve",$D24+($E24-$D24)*$I$2/(1+EXP($I$3*(COUNT($H$8:M$8)+$I$4))),TREND($D24:$E24,$D$8:$E$8,M$8))</f>
        <v>0.3110530930951676</v>
      </c>
      <c r="N24">
        <f>IF($F24="s-curve",$D24+($E24-$D24)*$I$2/(1+EXP($I$3*(COUNT($H$8:N$8)+$I$4))),TREND($D24:$E24,$D$8:$E$8,N$8))</f>
        <v>0.31413699881704921</v>
      </c>
      <c r="O24">
        <f>IF($F24="s-curve",$D24+($E24-$D24)*$I$2/(1+EXP($I$3*(COUNT($H$8:O$8)+$I$4))),TREND($D24:$E24,$D$8:$E$8,O$8))</f>
        <v>0.31814361918349371</v>
      </c>
      <c r="P24">
        <f>IF($F24="s-curve",$D24+($E24-$D24)*$I$2/(1+EXP($I$3*(COUNT($H$8:P$8)+$I$4))),TREND($D24:$E24,$D$8:$E$8,P$8))</f>
        <v>0.32328577351949184</v>
      </c>
      <c r="Q24">
        <f>IF($F24="s-curve",$D24+($E24-$D24)*$I$2/(1+EXP($I$3*(COUNT($H$8:Q$8)+$I$4))),TREND($D24:$E24,$D$8:$E$8,Q$8))</f>
        <v>0.32978270941327642</v>
      </c>
      <c r="R24">
        <f>IF($F24="s-curve",$D24+($E24-$D24)*$I$2/(1+EXP($I$3*(COUNT($H$8:R$8)+$I$4))),TREND($D24:$E24,$D$8:$E$8,R$8))</f>
        <v>0.33783081642535168</v>
      </c>
      <c r="S24">
        <f>IF($F24="s-curve",$D24+($E24-$D24)*$I$2/(1+EXP($I$3*(COUNT($H$8:S$8)+$I$4))),TREND($D24:$E24,$D$8:$E$8,S$8))</f>
        <v>0.34756002012543258</v>
      </c>
      <c r="T24">
        <f>IF($F24="s-curve",$D24+($E24-$D24)*$I$2/(1+EXP($I$3*(COUNT($H$8:T$8)+$I$4))),TREND($D24:$E24,$D$8:$E$8,T$8))</f>
        <v>0.35898030850929891</v>
      </c>
      <c r="U24">
        <f>IF($F24="s-curve",$D24+($E24-$D24)*$I$2/(1+EXP($I$3*(COUNT($H$8:U$8)+$I$4))),TREND($D24:$E24,$D$8:$E$8,U$8))</f>
        <v>0.37193147645957003</v>
      </c>
      <c r="V24">
        <f>IF($F24="s-curve",$D24+($E24-$D24)*$I$2/(1+EXP($I$3*(COUNT($H$8:V$8)+$I$4))),TREND($D24:$E24,$D$8:$E$8,V$8))</f>
        <v>0.38605701783203833</v>
      </c>
      <c r="W24">
        <f>IF($F24="s-curve",$D24+($E24-$D24)*$I$2/(1+EXP($I$3*(COUNT($H$8:W$8)+$I$4))),TREND($D24:$E24,$D$8:$E$8,W$8))</f>
        <v>0.40082299026160018</v>
      </c>
      <c r="X24">
        <f>IF($F24="s-curve",$D24+($E24-$D24)*$I$2/(1+EXP($I$3*(COUNT($H$8:X$8)+$I$4))),TREND($D24:$E24,$D$8:$E$8,X$8))</f>
        <v>0.41558896269116197</v>
      </c>
      <c r="Y24">
        <f>IF($F24="s-curve",$D24+($E24-$D24)*$I$2/(1+EXP($I$3*(COUNT($H$8:Y$8)+$I$4))),TREND($D24:$E24,$D$8:$E$8,Y$8))</f>
        <v>0.42971450406363026</v>
      </c>
      <c r="Z24">
        <f>IF($F24="s-curve",$D24+($E24-$D24)*$I$2/(1+EXP($I$3*(COUNT($H$8:Z$8)+$I$4))),TREND($D24:$E24,$D$8:$E$8,Z$8))</f>
        <v>0.44266567201390139</v>
      </c>
      <c r="AA24">
        <f>IF($F24="s-curve",$D24+($E24-$D24)*$I$2/(1+EXP($I$3*(COUNT($H$8:AA$8)+$I$4))),TREND($D24:$E24,$D$8:$E$8,AA$8))</f>
        <v>0.45408596039776772</v>
      </c>
      <c r="AB24">
        <f>IF($F24="s-curve",$D24+($E24-$D24)*$I$2/(1+EXP($I$3*(COUNT($H$8:AB$8)+$I$4))),TREND($D24:$E24,$D$8:$E$8,AB$8))</f>
        <v>0.46381516409784862</v>
      </c>
      <c r="AC24">
        <f>IF($F24="s-curve",$D24+($E24-$D24)*$I$2/(1+EXP($I$3*(COUNT($H$8:AC$8)+$I$4))),TREND($D24:$E24,$D$8:$E$8,AC$8))</f>
        <v>0.47186327110992388</v>
      </c>
      <c r="AD24">
        <f>IF($F24="s-curve",$D24+($E24-$D24)*$I$2/(1+EXP($I$3*(COUNT($H$8:AD$8)+$I$4))),TREND($D24:$E24,$D$8:$E$8,AD$8))</f>
        <v>0.47836020700370846</v>
      </c>
      <c r="AE24">
        <f>IF($F24="s-curve",$D24+($E24-$D24)*$I$2/(1+EXP($I$3*(COUNT($H$8:AE$8)+$I$4))),TREND($D24:$E24,$D$8:$E$8,AE$8))</f>
        <v>0.48350236133970659</v>
      </c>
      <c r="AF24">
        <f>IF($F24="s-curve",$D24+($E24-$D24)*$I$2/(1+EXP($I$3*(COUNT($H$8:AF$8)+$I$4))),TREND($D24:$E24,$D$8:$E$8,AF$8))</f>
        <v>0.48750898170615109</v>
      </c>
      <c r="AG24">
        <f>IF($F24="s-curve",$D24+($E24-$D24)*$I$2/(1+EXP($I$3*(COUNT($H$8:AG$8)+$I$4))),TREND($D24:$E24,$D$8:$E$8,AG$8))</f>
        <v>0.4905928874280327</v>
      </c>
      <c r="AH24">
        <f>IF($F24="s-curve",$D24+($E24-$D24)*$I$2/(1+EXP($I$3*(COUNT($H$8:AH$8)+$I$4))),TREND($D24:$E24,$D$8:$E$8,AH$8))</f>
        <v>0.49294431163020258</v>
      </c>
      <c r="AI24">
        <f>IF($F24="s-curve",$D24+($E24-$D24)*$I$2/(1+EXP($I$3*(COUNT($H$8:AI$8)+$I$4))),TREND($D24:$E24,$D$8:$E$8,AI$8))</f>
        <v>0.49472437941803005</v>
      </c>
      <c r="AJ24">
        <f>IF($F24="s-curve",$D24+($E24-$D24)*$I$2/(1+EXP($I$3*(COUNT($H$8:AJ$8)+$I$4))),TREND($D24:$E24,$D$8:$E$8,AJ$8))</f>
        <v>0.49606459560999716</v>
      </c>
      <c r="AK24">
        <f>IF($F24="s-curve",$D24+($E24-$D24)*$I$2/(1+EXP($I$3*(COUNT($H$8:AK$8)+$I$4))),TREND($D24:$E24,$D$8:$E$8,AK$8))</f>
        <v>0.49706951142976163</v>
      </c>
      <c r="AL24">
        <f>IF($F24="s-curve",$D24+($E24-$D24)*$I$2/(1+EXP($I$3*(COUNT($H$8:AL$8)+$I$4))),TREND($D24:$E24,$D$8:$E$8,AL$8))</f>
        <v>0.49782069576746085</v>
      </c>
      <c r="AM24">
        <f>IF($F24="s-curve",$D24+($E24-$D24)*$I$2/(1+EXP($I$3*(COUNT($H$8:AM$8)+$I$4))),TREND($D24:$E24,$D$8:$E$8,AM$8))</f>
        <v>0.49838092120250532</v>
      </c>
      <c r="AN24">
        <f>IF($F24="s-curve",$D24+($E24-$D24)*$I$2/(1+EXP($I$3*(COUNT($H$8:AN$8)+$I$4))),TREND($D24:$E24,$D$8:$E$8,AN$8))</f>
        <v>0.49879801401691276</v>
      </c>
      <c r="AO24">
        <f>IF($F24="s-curve",$D24+($E24-$D24)*$I$2/(1+EXP($I$3*(COUNT($H$8:AO$8)+$I$4))),TREND($D24:$E24,$D$8:$E$8,AO$8))</f>
        <v>0.49910814614586163</v>
      </c>
      <c r="AP24">
        <f>IF($F24="s-curve",$D24+($E24-$D24)*$I$2/(1+EXP($I$3*(COUNT($H$8:AP$8)+$I$4))),TREND($D24:$E24,$D$8:$E$8,AP$8))</f>
        <v>0.49933852756639396</v>
      </c>
      <c r="AQ24">
        <f>IF($F24="s-curve",$D24+($E24-$D24)*$I$2/(1+EXP($I$3*(COUNT($H$8:AQ$8)+$I$4))),TREND($D24:$E24,$D$8:$E$8,AQ$8))</f>
        <v>0.4995095452582301</v>
      </c>
      <c r="AR24">
        <f>IF($F24="s-curve",$D24+($E24-$D24)*$I$2/(1+EXP($I$3*(COUNT($H$8:AR$8)+$I$4))),TREND($D24:$E24,$D$8:$E$8,AR$8))</f>
        <v>0.49963642919330098</v>
      </c>
      <c r="AS24">
        <f>IF($F24="s-curve",$D24+($E24-$D24)*$I$2/(1+EXP($I$3*(COUNT($H$8:AS$8)+$I$4))),TREND($D24:$E24,$D$8:$E$8,AS$8))</f>
        <v>0.49973053210729301</v>
      </c>
      <c r="AT24">
        <f>IF($F24="s-curve",$D24+($E24-$D24)*$I$2/(1+EXP($I$3*(COUNT($H$8:AT$8)+$I$4))),TREND($D24:$E24,$D$8:$E$8,AT$8))</f>
        <v>0.49980030296114408</v>
      </c>
      <c r="AU24">
        <f>IF($F24="s-curve",$D24+($E24-$D24)*$I$2/(1+EXP($I$3*(COUNT($H$8:AU$8)+$I$4))),TREND($D24:$E24,$D$8:$E$8,AU$8))</f>
        <v>0.4998520221821629</v>
      </c>
      <c r="AV24">
        <f>IF($F24="s-curve",$D24+($E24-$D24)*$I$2/(1+EXP($I$3*(COUNT($H$8:AV$8)+$I$4))),TREND($D24:$E24,$D$8:$E$8,AV$8))</f>
        <v>0.49989035413548533</v>
      </c>
    </row>
    <row r="25" spans="1:48" x14ac:dyDescent="0.15">
      <c r="C25" t="s">
        <v>3</v>
      </c>
      <c r="D25" s="22">
        <f>'SYVbT-passenger'!D3/SUM('SYVbT-passenger'!3:3)</f>
        <v>0.3016459805232003</v>
      </c>
      <c r="E25" s="22">
        <f>E32</f>
        <v>0</v>
      </c>
      <c r="F25" s="7" t="str">
        <f>IF(D25=E25,"n/a",IF(OR(C25="battery electric vehicle",C25="natural gas vehicle",C25="plugin hybrid vehicle"),"s-curve","linear"))</f>
        <v>linear</v>
      </c>
      <c r="H25" s="22">
        <f t="shared" si="22"/>
        <v>0.3016459805232003</v>
      </c>
      <c r="I25">
        <f>IF($F25="s-curve",$D25+($E25-$D25)*$I$2/(1+EXP($I$3*(COUNT($H$8:I$8)+$I$4))),TREND($D25:$E25,$D$8:$E$8,I$8))</f>
        <v>0.28958014130227028</v>
      </c>
      <c r="J25">
        <f>IF($F25="s-curve",$D25+($E25-$D25)*$I$2/(1+EXP($I$3*(COUNT($H$8:J$8)+$I$4))),TREND($D25:$E25,$D$8:$E$8,J$8))</f>
        <v>0.27751430208134309</v>
      </c>
      <c r="K25">
        <f>IF($F25="s-curve",$D25+($E25-$D25)*$I$2/(1+EXP($I$3*(COUNT($H$8:K$8)+$I$4))),TREND($D25:$E25,$D$8:$E$8,K$8))</f>
        <v>0.2654484628604159</v>
      </c>
      <c r="L25">
        <f>IF($F25="s-curve",$D25+($E25-$D25)*$I$2/(1+EXP($I$3*(COUNT($H$8:L$8)+$I$4))),TREND($D25:$E25,$D$8:$E$8,L$8))</f>
        <v>0.25338262363948516</v>
      </c>
      <c r="M25">
        <f>IF($F25="s-curve",$D25+($E25-$D25)*$I$2/(1+EXP($I$3*(COUNT($H$8:M$8)+$I$4))),TREND($D25:$E25,$D$8:$E$8,M$8))</f>
        <v>0.24131678441855797</v>
      </c>
      <c r="N25">
        <f>IF($F25="s-curve",$D25+($E25-$D25)*$I$2/(1+EXP($I$3*(COUNT($H$8:N$8)+$I$4))),TREND($D25:$E25,$D$8:$E$8,N$8))</f>
        <v>0.22925094519763078</v>
      </c>
      <c r="O25">
        <f>IF($F25="s-curve",$D25+($E25-$D25)*$I$2/(1+EXP($I$3*(COUNT($H$8:O$8)+$I$4))),TREND($D25:$E25,$D$8:$E$8,O$8))</f>
        <v>0.2171851059767036</v>
      </c>
      <c r="P25">
        <f>IF($F25="s-curve",$D25+($E25-$D25)*$I$2/(1+EXP($I$3*(COUNT($H$8:P$8)+$I$4))),TREND($D25:$E25,$D$8:$E$8,P$8))</f>
        <v>0.20511926675577286</v>
      </c>
      <c r="Q25">
        <f>IF($F25="s-curve",$D25+($E25-$D25)*$I$2/(1+EXP($I$3*(COUNT($H$8:Q$8)+$I$4))),TREND($D25:$E25,$D$8:$E$8,Q$8))</f>
        <v>0.19305342753484567</v>
      </c>
      <c r="R25">
        <f>IF($F25="s-curve",$D25+($E25-$D25)*$I$2/(1+EXP($I$3*(COUNT($H$8:R$8)+$I$4))),TREND($D25:$E25,$D$8:$E$8,R$8))</f>
        <v>0.18098758831391848</v>
      </c>
      <c r="S25">
        <f>IF($F25="s-curve",$D25+($E25-$D25)*$I$2/(1+EXP($I$3*(COUNT($H$8:S$8)+$I$4))),TREND($D25:$E25,$D$8:$E$8,S$8))</f>
        <v>0.16892174909299129</v>
      </c>
      <c r="T25">
        <f>IF($F25="s-curve",$D25+($E25-$D25)*$I$2/(1+EXP($I$3*(COUNT($H$8:T$8)+$I$4))),TREND($D25:$E25,$D$8:$E$8,T$8))</f>
        <v>0.1568559098720641</v>
      </c>
      <c r="U25">
        <f>IF($F25="s-curve",$D25+($E25-$D25)*$I$2/(1+EXP($I$3*(COUNT($H$8:U$8)+$I$4))),TREND($D25:$E25,$D$8:$E$8,U$8))</f>
        <v>0.14479007065113336</v>
      </c>
      <c r="V25">
        <f>IF($F25="s-curve",$D25+($E25-$D25)*$I$2/(1+EXP($I$3*(COUNT($H$8:V$8)+$I$4))),TREND($D25:$E25,$D$8:$E$8,V$8))</f>
        <v>0.13272423143020617</v>
      </c>
      <c r="W25">
        <f>IF($F25="s-curve",$D25+($E25-$D25)*$I$2/(1+EXP($I$3*(COUNT($H$8:W$8)+$I$4))),TREND($D25:$E25,$D$8:$E$8,W$8))</f>
        <v>0.12065839220927899</v>
      </c>
      <c r="X25">
        <f>IF($F25="s-curve",$D25+($E25-$D25)*$I$2/(1+EXP($I$3*(COUNT($H$8:X$8)+$I$4))),TREND($D25:$E25,$D$8:$E$8,X$8))</f>
        <v>0.1085925529883518</v>
      </c>
      <c r="Y25">
        <f>IF($F25="s-curve",$D25+($E25-$D25)*$I$2/(1+EXP($I$3*(COUNT($H$8:Y$8)+$I$4))),TREND($D25:$E25,$D$8:$E$8,Y$8))</f>
        <v>9.6526713767421057E-2</v>
      </c>
      <c r="Z25">
        <f>IF($F25="s-curve",$D25+($E25-$D25)*$I$2/(1+EXP($I$3*(COUNT($H$8:Z$8)+$I$4))),TREND($D25:$E25,$D$8:$E$8,Z$8))</f>
        <v>8.4460874546493869E-2</v>
      </c>
      <c r="AA25">
        <f>IF($F25="s-curve",$D25+($E25-$D25)*$I$2/(1+EXP($I$3*(COUNT($H$8:AA$8)+$I$4))),TREND($D25:$E25,$D$8:$E$8,AA$8))</f>
        <v>7.2395035325566681E-2</v>
      </c>
      <c r="AB25">
        <f>IF($F25="s-curve",$D25+($E25-$D25)*$I$2/(1+EXP($I$3*(COUNT($H$8:AB$8)+$I$4))),TREND($D25:$E25,$D$8:$E$8,AB$8))</f>
        <v>6.0329196104639493E-2</v>
      </c>
      <c r="AC25">
        <f>IF($F25="s-curve",$D25+($E25-$D25)*$I$2/(1+EXP($I$3*(COUNT($H$8:AC$8)+$I$4))),TREND($D25:$E25,$D$8:$E$8,AC$8))</f>
        <v>4.8263356883708752E-2</v>
      </c>
      <c r="AD25">
        <f>IF($F25="s-curve",$D25+($E25-$D25)*$I$2/(1+EXP($I$3*(COUNT($H$8:AD$8)+$I$4))),TREND($D25:$E25,$D$8:$E$8,AD$8))</f>
        <v>3.6197517662781564E-2</v>
      </c>
      <c r="AE25">
        <f>IF($F25="s-curve",$D25+($E25-$D25)*$I$2/(1+EXP($I$3*(COUNT($H$8:AE$8)+$I$4))),TREND($D25:$E25,$D$8:$E$8,AE$8))</f>
        <v>2.4131678441854376E-2</v>
      </c>
      <c r="AF25">
        <f>IF($F25="s-curve",$D25+($E25-$D25)*$I$2/(1+EXP($I$3*(COUNT($H$8:AF$8)+$I$4))),TREND($D25:$E25,$D$8:$E$8,AF$8))</f>
        <v>1.2065839220927188E-2</v>
      </c>
      <c r="AG25">
        <f>IF($F25="s-curve",$D25+($E25-$D25)*$I$2/(1+EXP($I$3*(COUNT($H$8:AG$8)+$I$4))),TREND($D25:$E25,$D$8:$E$8,AG$8))</f>
        <v>0</v>
      </c>
      <c r="AH25">
        <f>IF($F25="s-curve",$D25+($E25-$D25)*$I$2/(1+EXP($I$3*(COUNT($H$8:AH$8)+$I$4))),TREND($D25:$E25,$D$8:$E$8,AH$8))</f>
        <v>-1.2065839220930741E-2</v>
      </c>
      <c r="AI25">
        <f>IF($F25="s-curve",$D25+($E25-$D25)*$I$2/(1+EXP($I$3*(COUNT($H$8:AI$8)+$I$4))),TREND($D25:$E25,$D$8:$E$8,AI$8))</f>
        <v>-2.4131678441857929E-2</v>
      </c>
      <c r="AJ25">
        <f>IF($F25="s-curve",$D25+($E25-$D25)*$I$2/(1+EXP($I$3*(COUNT($H$8:AJ$8)+$I$4))),TREND($D25:$E25,$D$8:$E$8,AJ$8))</f>
        <v>-3.6197517662785117E-2</v>
      </c>
      <c r="AK25">
        <f>IF($F25="s-curve",$D25+($E25-$D25)*$I$2/(1+EXP($I$3*(COUNT($H$8:AK$8)+$I$4))),TREND($D25:$E25,$D$8:$E$8,AK$8))</f>
        <v>-4.8263356883712305E-2</v>
      </c>
      <c r="AL25">
        <f>IF($F25="s-curve",$D25+($E25-$D25)*$I$2/(1+EXP($I$3*(COUNT($H$8:AL$8)+$I$4))),TREND($D25:$E25,$D$8:$E$8,AL$8))</f>
        <v>-6.0329196104643046E-2</v>
      </c>
      <c r="AM25">
        <f>IF($F25="s-curve",$D25+($E25-$D25)*$I$2/(1+EXP($I$3*(COUNT($H$8:AM$8)+$I$4))),TREND($D25:$E25,$D$8:$E$8,AM$8))</f>
        <v>-7.2395035325570234E-2</v>
      </c>
      <c r="AN25">
        <f>IF($F25="s-curve",$D25+($E25-$D25)*$I$2/(1+EXP($I$3*(COUNT($H$8:AN$8)+$I$4))),TREND($D25:$E25,$D$8:$E$8,AN$8))</f>
        <v>-8.4460874546497422E-2</v>
      </c>
      <c r="AO25">
        <f>IF($F25="s-curve",$D25+($E25-$D25)*$I$2/(1+EXP($I$3*(COUNT($H$8:AO$8)+$I$4))),TREND($D25:$E25,$D$8:$E$8,AO$8))</f>
        <v>-9.652671376742461E-2</v>
      </c>
      <c r="AP25">
        <f>IF($F25="s-curve",$D25+($E25-$D25)*$I$2/(1+EXP($I$3*(COUNT($H$8:AP$8)+$I$4))),TREND($D25:$E25,$D$8:$E$8,AP$8))</f>
        <v>-0.10859255298835535</v>
      </c>
      <c r="AQ25">
        <f>IF($F25="s-curve",$D25+($E25-$D25)*$I$2/(1+EXP($I$3*(COUNT($H$8:AQ$8)+$I$4))),TREND($D25:$E25,$D$8:$E$8,AQ$8))</f>
        <v>-0.12065839220928254</v>
      </c>
      <c r="AR25">
        <f>IF($F25="s-curve",$D25+($E25-$D25)*$I$2/(1+EXP($I$3*(COUNT($H$8:AR$8)+$I$4))),TREND($D25:$E25,$D$8:$E$8,AR$8))</f>
        <v>-0.13272423143020973</v>
      </c>
      <c r="AS25">
        <f>IF($F25="s-curve",$D25+($E25-$D25)*$I$2/(1+EXP($I$3*(COUNT($H$8:AS$8)+$I$4))),TREND($D25:$E25,$D$8:$E$8,AS$8))</f>
        <v>-0.14479007065113692</v>
      </c>
      <c r="AT25">
        <f>IF($F25="s-curve",$D25+($E25-$D25)*$I$2/(1+EXP($I$3*(COUNT($H$8:AT$8)+$I$4))),TREND($D25:$E25,$D$8:$E$8,AT$8))</f>
        <v>-0.1568559098720641</v>
      </c>
      <c r="AU25">
        <f>IF($F25="s-curve",$D25+($E25-$D25)*$I$2/(1+EXP($I$3*(COUNT($H$8:AU$8)+$I$4))),TREND($D25:$E25,$D$8:$E$8,AU$8))</f>
        <v>-0.16892174909299484</v>
      </c>
      <c r="AV25">
        <f>IF($F25="s-curve",$D25+($E25-$D25)*$I$2/(1+EXP($I$3*(COUNT($H$8:AV$8)+$I$4))),TREND($D25:$E25,$D$8:$E$8,AV$8))</f>
        <v>-0.18098758831392203</v>
      </c>
    </row>
    <row r="26" spans="1:48" x14ac:dyDescent="0.15">
      <c r="C26" t="s">
        <v>4</v>
      </c>
      <c r="D26">
        <v>1</v>
      </c>
      <c r="E26">
        <v>1</v>
      </c>
      <c r="F26" s="7" t="str">
        <f>IF(D26=E26,"n/a",IF(OR(C26="battery electric vehicle",C26="natural gas vehicle",C26="plugin hybrid vehicle"),"s-curve","linear"))</f>
        <v>n/a</v>
      </c>
      <c r="H26" s="22">
        <f t="shared" si="22"/>
        <v>1</v>
      </c>
      <c r="I26">
        <f>IF($F26="s-curve",$D26+($E26-$D26)*$I$2/(1+EXP($I$3*(COUNT($H$8:I$8)+$I$4))),TREND($D26:$E26,$D$8:$E$8,I$8))</f>
        <v>1</v>
      </c>
      <c r="J26">
        <f>IF($F26="s-curve",$D26+($E26-$D26)*$I$2/(1+EXP($I$3*(COUNT($H$8:J$8)+$I$4))),TREND($D26:$E26,$D$8:$E$8,J$8))</f>
        <v>1</v>
      </c>
      <c r="K26">
        <f>IF($F26="s-curve",$D26+($E26-$D26)*$I$2/(1+EXP($I$3*(COUNT($H$8:K$8)+$I$4))),TREND($D26:$E26,$D$8:$E$8,K$8))</f>
        <v>1</v>
      </c>
      <c r="L26">
        <f>IF($F26="s-curve",$D26+($E26-$D26)*$I$2/(1+EXP($I$3*(COUNT($H$8:L$8)+$I$4))),TREND($D26:$E26,$D$8:$E$8,L$8))</f>
        <v>1</v>
      </c>
      <c r="M26">
        <f>IF($F26="s-curve",$D26+($E26-$D26)*$I$2/(1+EXP($I$3*(COUNT($H$8:M$8)+$I$4))),TREND($D26:$E26,$D$8:$E$8,M$8))</f>
        <v>1</v>
      </c>
      <c r="N26">
        <f>IF($F26="s-curve",$D26+($E26-$D26)*$I$2/(1+EXP($I$3*(COUNT($H$8:N$8)+$I$4))),TREND($D26:$E26,$D$8:$E$8,N$8))</f>
        <v>1</v>
      </c>
      <c r="O26">
        <f>IF($F26="s-curve",$D26+($E26-$D26)*$I$2/(1+EXP($I$3*(COUNT($H$8:O$8)+$I$4))),TREND($D26:$E26,$D$8:$E$8,O$8))</f>
        <v>1</v>
      </c>
      <c r="P26">
        <f>IF($F26="s-curve",$D26+($E26-$D26)*$I$2/(1+EXP($I$3*(COUNT($H$8:P$8)+$I$4))),TREND($D26:$E26,$D$8:$E$8,P$8))</f>
        <v>1</v>
      </c>
      <c r="Q26">
        <f>IF($F26="s-curve",$D26+($E26-$D26)*$I$2/(1+EXP($I$3*(COUNT($H$8:Q$8)+$I$4))),TREND($D26:$E26,$D$8:$E$8,Q$8))</f>
        <v>1</v>
      </c>
      <c r="R26">
        <f>IF($F26="s-curve",$D26+($E26-$D26)*$I$2/(1+EXP($I$3*(COUNT($H$8:R$8)+$I$4))),TREND($D26:$E26,$D$8:$E$8,R$8))</f>
        <v>1</v>
      </c>
      <c r="S26">
        <f>IF($F26="s-curve",$D26+($E26-$D26)*$I$2/(1+EXP($I$3*(COUNT($H$8:S$8)+$I$4))),TREND($D26:$E26,$D$8:$E$8,S$8))</f>
        <v>1</v>
      </c>
      <c r="T26">
        <f>IF($F26="s-curve",$D26+($E26-$D26)*$I$2/(1+EXP($I$3*(COUNT($H$8:T$8)+$I$4))),TREND($D26:$E26,$D$8:$E$8,T$8))</f>
        <v>1</v>
      </c>
      <c r="U26">
        <f>IF($F26="s-curve",$D26+($E26-$D26)*$I$2/(1+EXP($I$3*(COUNT($H$8:U$8)+$I$4))),TREND($D26:$E26,$D$8:$E$8,U$8))</f>
        <v>1</v>
      </c>
      <c r="V26">
        <f>IF($F26="s-curve",$D26+($E26-$D26)*$I$2/(1+EXP($I$3*(COUNT($H$8:V$8)+$I$4))),TREND($D26:$E26,$D$8:$E$8,V$8))</f>
        <v>1</v>
      </c>
      <c r="W26">
        <f>IF($F26="s-curve",$D26+($E26-$D26)*$I$2/(1+EXP($I$3*(COUNT($H$8:W$8)+$I$4))),TREND($D26:$E26,$D$8:$E$8,W$8))</f>
        <v>1</v>
      </c>
      <c r="X26">
        <f>IF($F26="s-curve",$D26+($E26-$D26)*$I$2/(1+EXP($I$3*(COUNT($H$8:X$8)+$I$4))),TREND($D26:$E26,$D$8:$E$8,X$8))</f>
        <v>1</v>
      </c>
      <c r="Y26">
        <f>IF($F26="s-curve",$D26+($E26-$D26)*$I$2/(1+EXP($I$3*(COUNT($H$8:Y$8)+$I$4))),TREND($D26:$E26,$D$8:$E$8,Y$8))</f>
        <v>1</v>
      </c>
      <c r="Z26">
        <f>IF($F26="s-curve",$D26+($E26-$D26)*$I$2/(1+EXP($I$3*(COUNT($H$8:Z$8)+$I$4))),TREND($D26:$E26,$D$8:$E$8,Z$8))</f>
        <v>1</v>
      </c>
      <c r="AA26">
        <f>IF($F26="s-curve",$D26+($E26-$D26)*$I$2/(1+EXP($I$3*(COUNT($H$8:AA$8)+$I$4))),TREND($D26:$E26,$D$8:$E$8,AA$8))</f>
        <v>1</v>
      </c>
      <c r="AB26">
        <f>IF($F26="s-curve",$D26+($E26-$D26)*$I$2/(1+EXP($I$3*(COUNT($H$8:AB$8)+$I$4))),TREND($D26:$E26,$D$8:$E$8,AB$8))</f>
        <v>1</v>
      </c>
      <c r="AC26">
        <f>IF($F26="s-curve",$D26+($E26-$D26)*$I$2/(1+EXP($I$3*(COUNT($H$8:AC$8)+$I$4))),TREND($D26:$E26,$D$8:$E$8,AC$8))</f>
        <v>1</v>
      </c>
      <c r="AD26">
        <f>IF($F26="s-curve",$D26+($E26-$D26)*$I$2/(1+EXP($I$3*(COUNT($H$8:AD$8)+$I$4))),TREND($D26:$E26,$D$8:$E$8,AD$8))</f>
        <v>1</v>
      </c>
      <c r="AE26">
        <f>IF($F26="s-curve",$D26+($E26-$D26)*$I$2/(1+EXP($I$3*(COUNT($H$8:AE$8)+$I$4))),TREND($D26:$E26,$D$8:$E$8,AE$8))</f>
        <v>1</v>
      </c>
      <c r="AF26">
        <f>IF($F26="s-curve",$D26+($E26-$D26)*$I$2/(1+EXP($I$3*(COUNT($H$8:AF$8)+$I$4))),TREND($D26:$E26,$D$8:$E$8,AF$8))</f>
        <v>1</v>
      </c>
      <c r="AG26">
        <f>IF($F26="s-curve",$D26+($E26-$D26)*$I$2/(1+EXP($I$3*(COUNT($H$8:AG$8)+$I$4))),TREND($D26:$E26,$D$8:$E$8,AG$8))</f>
        <v>1</v>
      </c>
      <c r="AH26">
        <f>IF($F26="s-curve",$D26+($E26-$D26)*$I$2/(1+EXP($I$3*(COUNT($H$8:AH$8)+$I$4))),TREND($D26:$E26,$D$8:$E$8,AH$8))</f>
        <v>1</v>
      </c>
      <c r="AI26">
        <f>IF($F26="s-curve",$D26+($E26-$D26)*$I$2/(1+EXP($I$3*(COUNT($H$8:AI$8)+$I$4))),TREND($D26:$E26,$D$8:$E$8,AI$8))</f>
        <v>1</v>
      </c>
      <c r="AJ26">
        <f>IF($F26="s-curve",$D26+($E26-$D26)*$I$2/(1+EXP($I$3*(COUNT($H$8:AJ$8)+$I$4))),TREND($D26:$E26,$D$8:$E$8,AJ$8))</f>
        <v>1</v>
      </c>
      <c r="AK26">
        <f>IF($F26="s-curve",$D26+($E26-$D26)*$I$2/(1+EXP($I$3*(COUNT($H$8:AK$8)+$I$4))),TREND($D26:$E26,$D$8:$E$8,AK$8))</f>
        <v>1</v>
      </c>
      <c r="AL26">
        <f>IF($F26="s-curve",$D26+($E26-$D26)*$I$2/(1+EXP($I$3*(COUNT($H$8:AL$8)+$I$4))),TREND($D26:$E26,$D$8:$E$8,AL$8))</f>
        <v>1</v>
      </c>
      <c r="AM26">
        <f>IF($F26="s-curve",$D26+($E26-$D26)*$I$2/(1+EXP($I$3*(COUNT($H$8:AM$8)+$I$4))),TREND($D26:$E26,$D$8:$E$8,AM$8))</f>
        <v>1</v>
      </c>
      <c r="AN26">
        <f>IF($F26="s-curve",$D26+($E26-$D26)*$I$2/(1+EXP($I$3*(COUNT($H$8:AN$8)+$I$4))),TREND($D26:$E26,$D$8:$E$8,AN$8))</f>
        <v>1</v>
      </c>
      <c r="AO26">
        <f>IF($F26="s-curve",$D26+($E26-$D26)*$I$2/(1+EXP($I$3*(COUNT($H$8:AO$8)+$I$4))),TREND($D26:$E26,$D$8:$E$8,AO$8))</f>
        <v>1</v>
      </c>
      <c r="AP26">
        <f>IF($F26="s-curve",$D26+($E26-$D26)*$I$2/(1+EXP($I$3*(COUNT($H$8:AP$8)+$I$4))),TREND($D26:$E26,$D$8:$E$8,AP$8))</f>
        <v>1</v>
      </c>
      <c r="AQ26">
        <f>IF($F26="s-curve",$D26+($E26-$D26)*$I$2/(1+EXP($I$3*(COUNT($H$8:AQ$8)+$I$4))),TREND($D26:$E26,$D$8:$E$8,AQ$8))</f>
        <v>1</v>
      </c>
      <c r="AR26">
        <f>IF($F26="s-curve",$D26+($E26-$D26)*$I$2/(1+EXP($I$3*(COUNT($H$8:AR$8)+$I$4))),TREND($D26:$E26,$D$8:$E$8,AR$8))</f>
        <v>1</v>
      </c>
      <c r="AS26">
        <f>IF($F26="s-curve",$D26+($E26-$D26)*$I$2/(1+EXP($I$3*(COUNT($H$8:AS$8)+$I$4))),TREND($D26:$E26,$D$8:$E$8,AS$8))</f>
        <v>1</v>
      </c>
      <c r="AT26">
        <f>IF($F26="s-curve",$D26+($E26-$D26)*$I$2/(1+EXP($I$3*(COUNT($H$8:AT$8)+$I$4))),TREND($D26:$E26,$D$8:$E$8,AT$8))</f>
        <v>1</v>
      </c>
      <c r="AU26">
        <f>IF($F26="s-curve",$D26+($E26-$D26)*$I$2/(1+EXP($I$3*(COUNT($H$8:AU$8)+$I$4))),TREND($D26:$E26,$D$8:$E$8,AU$8))</f>
        <v>1</v>
      </c>
      <c r="AV26">
        <f>IF($F26="s-curve",$D26+($E26-$D26)*$I$2/(1+EXP($I$3*(COUNT($H$8:AV$8)+$I$4))),TREND($D26:$E26,$D$8:$E$8,AV$8))</f>
        <v>1</v>
      </c>
    </row>
    <row r="27" spans="1:48" x14ac:dyDescent="0.15">
      <c r="C27" t="s">
        <v>5</v>
      </c>
      <c r="D27" s="22">
        <f>'SYVbT-passenger'!F3/SUM('SYVbT-passenger'!3:3)</f>
        <v>2.4443860989115905E-2</v>
      </c>
      <c r="E27" s="22">
        <f>E34</f>
        <v>2.7600582563227494E-2</v>
      </c>
      <c r="F27" s="7" t="str">
        <f>IF(D27=E27,"n/a",IF(OR(C27="battery electric vehicle",C27="natural gas vehicle",C27="plugin hybrid vehicle"),"s-curve","linear"))</f>
        <v>s-curve</v>
      </c>
      <c r="H27" s="22">
        <f t="shared" si="22"/>
        <v>2.4443860989115905E-2</v>
      </c>
      <c r="I27">
        <f>IF($F27="s-curve",$D27+($E27-$D27)*$I$2/(1+EXP($I$3*(COUNT($H$8:I$8)+$I$4))),TREND($D27:$E27,$D$8:$E$8,I$8))</f>
        <v>2.4490498493698668E-2</v>
      </c>
      <c r="J27">
        <f>IF($F27="s-curve",$D27+($E27-$D27)*$I$2/(1+EXP($I$3*(COUNT($H$8:J$8)+$I$4))),TREND($D27:$E27,$D$8:$E$8,J$8))</f>
        <v>2.4506491310263636E-2</v>
      </c>
      <c r="K27">
        <f>IF($F27="s-curve",$D27+($E27-$D27)*$I$2/(1+EXP($I$3*(COUNT($H$8:K$8)+$I$4))),TREND($D27:$E27,$D$8:$E$8,K$8))</f>
        <v>2.4527820292546503E-2</v>
      </c>
      <c r="L27">
        <f>IF($F27="s-curve",$D27+($E27-$D27)*$I$2/(1+EXP($I$3*(COUNT($H$8:L$8)+$I$4))),TREND($D27:$E27,$D$8:$E$8,L$8))</f>
        <v>2.4556149329709641E-2</v>
      </c>
      <c r="M27">
        <f>IF($F27="s-curve",$D27+($E27-$D27)*$I$2/(1+EXP($I$3*(COUNT($H$8:M$8)+$I$4))),TREND($D27:$E27,$D$8:$E$8,M$8))</f>
        <v>2.459357126614661E-2</v>
      </c>
      <c r="N27">
        <f>IF($F27="s-curve",$D27+($E27-$D27)*$I$2/(1+EXP($I$3*(COUNT($H$8:N$8)+$I$4))),TREND($D27:$E27,$D$8:$E$8,N$8))</f>
        <v>2.4642650340775236E-2</v>
      </c>
      <c r="O27">
        <f>IF($F27="s-curve",$D27+($E27-$D27)*$I$2/(1+EXP($I$3*(COUNT($H$8:O$8)+$I$4))),TREND($D27:$E27,$D$8:$E$8,O$8))</f>
        <v>2.4706414034515307E-2</v>
      </c>
      <c r="P27">
        <f>IF($F27="s-curve",$D27+($E27-$D27)*$I$2/(1+EXP($I$3*(COUNT($H$8:P$8)+$I$4))),TREND($D27:$E27,$D$8:$E$8,P$8))</f>
        <v>2.4788249278251091E-2</v>
      </c>
      <c r="Q27">
        <f>IF($F27="s-curve",$D27+($E27-$D27)*$I$2/(1+EXP($I$3*(COUNT($H$8:Q$8)+$I$4))),TREND($D27:$E27,$D$8:$E$8,Q$8))</f>
        <v>2.4891645305997977E-2</v>
      </c>
      <c r="R27">
        <f>IF($F27="s-curve",$D27+($E27-$D27)*$I$2/(1+EXP($I$3*(COUNT($H$8:R$8)+$I$4))),TREND($D27:$E27,$D$8:$E$8,R$8))</f>
        <v>2.5019727575784037E-2</v>
      </c>
      <c r="S27">
        <f>IF($F27="s-curve",$D27+($E27-$D27)*$I$2/(1+EXP($I$3*(COUNT($H$8:S$8)+$I$4))),TREND($D27:$E27,$D$8:$E$8,S$8))</f>
        <v>2.5174563798916708E-2</v>
      </c>
      <c r="T27">
        <f>IF($F27="s-curve",$D27+($E27-$D27)*$I$2/(1+EXP($I$3*(COUNT($H$8:T$8)+$I$4))),TREND($D27:$E27,$D$8:$E$8,T$8))</f>
        <v>2.5356312930187239E-2</v>
      </c>
      <c r="U27">
        <f>IF($F27="s-curve",$D27+($E27-$D27)*$I$2/(1+EXP($I$3*(COUNT($H$8:U$8)+$I$4))),TREND($D27:$E27,$D$8:$E$8,U$8))</f>
        <v>2.5562425371903327E-2</v>
      </c>
      <c r="V27">
        <f>IF($F27="s-curve",$D27+($E27-$D27)*$I$2/(1+EXP($I$3*(COUNT($H$8:V$8)+$I$4))),TREND($D27:$E27,$D$8:$E$8,V$8))</f>
        <v>2.5787227477321172E-2</v>
      </c>
      <c r="W27">
        <f>IF($F27="s-curve",$D27+($E27-$D27)*$I$2/(1+EXP($I$3*(COUNT($H$8:W$8)+$I$4))),TREND($D27:$E27,$D$8:$E$8,W$8))</f>
        <v>2.6022221776171701E-2</v>
      </c>
      <c r="X27">
        <f>IF($F27="s-curve",$D27+($E27-$D27)*$I$2/(1+EXP($I$3*(COUNT($H$8:X$8)+$I$4))),TREND($D27:$E27,$D$8:$E$8,X$8))</f>
        <v>2.6257216075022228E-2</v>
      </c>
      <c r="Y27">
        <f>IF($F27="s-curve",$D27+($E27-$D27)*$I$2/(1+EXP($I$3*(COUNT($H$8:Y$8)+$I$4))),TREND($D27:$E27,$D$8:$E$8,Y$8))</f>
        <v>2.6482018180440072E-2</v>
      </c>
      <c r="Z27">
        <f>IF($F27="s-curve",$D27+($E27-$D27)*$I$2/(1+EXP($I$3*(COUNT($H$8:Z$8)+$I$4))),TREND($D27:$E27,$D$8:$E$8,Z$8))</f>
        <v>2.6688130622156157E-2</v>
      </c>
      <c r="AA27">
        <f>IF($F27="s-curve",$D27+($E27-$D27)*$I$2/(1+EXP($I$3*(COUNT($H$8:AA$8)+$I$4))),TREND($D27:$E27,$D$8:$E$8,AA$8))</f>
        <v>2.6869879753426692E-2</v>
      </c>
      <c r="AB27">
        <f>IF($F27="s-curve",$D27+($E27-$D27)*$I$2/(1+EXP($I$3*(COUNT($H$8:AB$8)+$I$4))),TREND($D27:$E27,$D$8:$E$8,AB$8))</f>
        <v>2.7024715976559362E-2</v>
      </c>
      <c r="AC27">
        <f>IF($F27="s-curve",$D27+($E27-$D27)*$I$2/(1+EXP($I$3*(COUNT($H$8:AC$8)+$I$4))),TREND($D27:$E27,$D$8:$E$8,AC$8))</f>
        <v>2.7152798246345422E-2</v>
      </c>
      <c r="AD27">
        <f>IF($F27="s-curve",$D27+($E27-$D27)*$I$2/(1+EXP($I$3*(COUNT($H$8:AD$8)+$I$4))),TREND($D27:$E27,$D$8:$E$8,AD$8))</f>
        <v>2.7256194274092309E-2</v>
      </c>
      <c r="AE27">
        <f>IF($F27="s-curve",$D27+($E27-$D27)*$I$2/(1+EXP($I$3*(COUNT($H$8:AE$8)+$I$4))),TREND($D27:$E27,$D$8:$E$8,AE$8))</f>
        <v>2.7338029517828093E-2</v>
      </c>
      <c r="AF27">
        <f>IF($F27="s-curve",$D27+($E27-$D27)*$I$2/(1+EXP($I$3*(COUNT($H$8:AF$8)+$I$4))),TREND($D27:$E27,$D$8:$E$8,AF$8))</f>
        <v>2.7401793211568163E-2</v>
      </c>
      <c r="AG27">
        <f>IF($F27="s-curve",$D27+($E27-$D27)*$I$2/(1+EXP($I$3*(COUNT($H$8:AG$8)+$I$4))),TREND($D27:$E27,$D$8:$E$8,AG$8))</f>
        <v>2.745087228619679E-2</v>
      </c>
      <c r="AH27">
        <f>IF($F27="s-curve",$D27+($E27-$D27)*$I$2/(1+EXP($I$3*(COUNT($H$8:AH$8)+$I$4))),TREND($D27:$E27,$D$8:$E$8,AH$8))</f>
        <v>2.7488294222633759E-2</v>
      </c>
      <c r="AI27">
        <f>IF($F27="s-curve",$D27+($E27-$D27)*$I$2/(1+EXP($I$3*(COUNT($H$8:AI$8)+$I$4))),TREND($D27:$E27,$D$8:$E$8,AI$8))</f>
        <v>2.7516623259796896E-2</v>
      </c>
      <c r="AJ27">
        <f>IF($F27="s-curve",$D27+($E27-$D27)*$I$2/(1+EXP($I$3*(COUNT($H$8:AJ$8)+$I$4))),TREND($D27:$E27,$D$8:$E$8,AJ$8))</f>
        <v>2.7537952242079763E-2</v>
      </c>
      <c r="AK27">
        <f>IF($F27="s-curve",$D27+($E27-$D27)*$I$2/(1+EXP($I$3*(COUNT($H$8:AK$8)+$I$4))),TREND($D27:$E27,$D$8:$E$8,AK$8))</f>
        <v>2.7553945058644731E-2</v>
      </c>
      <c r="AL27">
        <f>IF($F27="s-curve",$D27+($E27-$D27)*$I$2/(1+EXP($I$3*(COUNT($H$8:AL$8)+$I$4))),TREND($D27:$E27,$D$8:$E$8,AL$8))</f>
        <v>2.7565899844391974E-2</v>
      </c>
      <c r="AM27">
        <f>IF($F27="s-curve",$D27+($E27-$D27)*$I$2/(1+EXP($I$3*(COUNT($H$8:AM$8)+$I$4))),TREND($D27:$E27,$D$8:$E$8,AM$8))</f>
        <v>2.7574815598768093E-2</v>
      </c>
      <c r="AN27">
        <f>IF($F27="s-curve",$D27+($E27-$D27)*$I$2/(1+EXP($I$3*(COUNT($H$8:AN$8)+$I$4))),TREND($D27:$E27,$D$8:$E$8,AN$8))</f>
        <v>2.7581453457124178E-2</v>
      </c>
      <c r="AO27">
        <f>IF($F27="s-curve",$D27+($E27-$D27)*$I$2/(1+EXP($I$3*(COUNT($H$8:AO$8)+$I$4))),TREND($D27:$E27,$D$8:$E$8,AO$8))</f>
        <v>2.7586389080737253E-2</v>
      </c>
      <c r="AP27">
        <f>IF($F27="s-curve",$D27+($E27-$D27)*$I$2/(1+EXP($I$3*(COUNT($H$8:AP$8)+$I$4))),TREND($D27:$E27,$D$8:$E$8,AP$8))</f>
        <v>2.7590055505054677E-2</v>
      </c>
      <c r="AQ27">
        <f>IF($F27="s-curve",$D27+($E27-$D27)*$I$2/(1+EXP($I$3*(COUNT($H$8:AQ$8)+$I$4))),TREND($D27:$E27,$D$8:$E$8,AQ$8))</f>
        <v>2.7592777180364299E-2</v>
      </c>
      <c r="AR27">
        <f>IF($F27="s-curve",$D27+($E27-$D27)*$I$2/(1+EXP($I$3*(COUNT($H$8:AR$8)+$I$4))),TREND($D27:$E27,$D$8:$E$8,AR$8))</f>
        <v>2.7594796485323699E-2</v>
      </c>
      <c r="AS27">
        <f>IF($F27="s-curve",$D27+($E27-$D27)*$I$2/(1+EXP($I$3*(COUNT($H$8:AS$8)+$I$4))),TREND($D27:$E27,$D$8:$E$8,AS$8))</f>
        <v>2.7596294093991114E-2</v>
      </c>
      <c r="AT27">
        <f>IF($F27="s-curve",$D27+($E27-$D27)*$I$2/(1+EXP($I$3*(COUNT($H$8:AT$8)+$I$4))),TREND($D27:$E27,$D$8:$E$8,AT$8))</f>
        <v>2.7597404468059545E-2</v>
      </c>
      <c r="AU27">
        <f>IF($F27="s-curve",$D27+($E27-$D27)*$I$2/(1+EXP($I$3*(COUNT($H$8:AU$8)+$I$4))),TREND($D27:$E27,$D$8:$E$8,AU$8))</f>
        <v>2.7598227557912813E-2</v>
      </c>
      <c r="AV27">
        <f>IF($F27="s-curve",$D27+($E27-$D27)*$I$2/(1+EXP($I$3*(COUNT($H$8:AV$8)+$I$4))),TREND($D27:$E27,$D$8:$E$8,AV$8))</f>
        <v>2.7598837594978609E-2</v>
      </c>
    </row>
    <row r="28" spans="1:48" x14ac:dyDescent="0.15">
      <c r="C28" t="s">
        <v>125</v>
      </c>
      <c r="D28" s="22">
        <f>'SYVbT-passenger'!G3/SUM('SYVbT-passenger'!3:3)</f>
        <v>0</v>
      </c>
      <c r="E28" s="22" t="e">
        <f>E35*($D$28/$D$35)</f>
        <v>#DIV/0!</v>
      </c>
      <c r="F28" s="7" t="e">
        <f>IF(D28=E28,"n/a",IF(OR(C28="battery electric vehicle",C28="natural gas vehicle",C28="plugin hybrid vehicle",C28="hydrogen vehicle"),"s-curve","linear"))</f>
        <v>#DIV/0!</v>
      </c>
      <c r="H28" s="22">
        <f t="shared" si="22"/>
        <v>0</v>
      </c>
      <c r="I28" t="e">
        <f>IF($F28="s-curve",$D28+($E28-$D28)*$I$2/(1+EXP($I$3*(COUNT($H$8:I$8)+$I$4))),TREND($D28:$E28,$D$8:$E$8,I$8))</f>
        <v>#DIV/0!</v>
      </c>
      <c r="J28" t="e">
        <f>IF($F28="s-curve",$D28+($E28-$D28)*$I$2/(1+EXP($I$3*(COUNT($H$8:J$8)+$I$4))),TREND($D28:$E28,$D$8:$E$8,J$8))</f>
        <v>#DIV/0!</v>
      </c>
      <c r="K28" t="e">
        <f>IF($F28="s-curve",$D28+($E28-$D28)*$I$2/(1+EXP($I$3*(COUNT($H$8:K$8)+$I$4))),TREND($D28:$E28,$D$8:$E$8,K$8))</f>
        <v>#DIV/0!</v>
      </c>
      <c r="L28" t="e">
        <f>IF($F28="s-curve",$D28+($E28-$D28)*$I$2/(1+EXP($I$3*(COUNT($H$8:L$8)+$I$4))),TREND($D28:$E28,$D$8:$E$8,L$8))</f>
        <v>#DIV/0!</v>
      </c>
      <c r="M28" t="e">
        <f>IF($F28="s-curve",$D28+($E28-$D28)*$I$2/(1+EXP($I$3*(COUNT($H$8:M$8)+$I$4))),TREND($D28:$E28,$D$8:$E$8,M$8))</f>
        <v>#DIV/0!</v>
      </c>
      <c r="N28" t="e">
        <f>IF($F28="s-curve",$D28+($E28-$D28)*$I$2/(1+EXP($I$3*(COUNT($H$8:N$8)+$I$4))),TREND($D28:$E28,$D$8:$E$8,N$8))</f>
        <v>#DIV/0!</v>
      </c>
      <c r="O28" t="e">
        <f>IF($F28="s-curve",$D28+($E28-$D28)*$I$2/(1+EXP($I$3*(COUNT($H$8:O$8)+$I$4))),TREND($D28:$E28,$D$8:$E$8,O$8))</f>
        <v>#DIV/0!</v>
      </c>
      <c r="P28" t="e">
        <f>IF($F28="s-curve",$D28+($E28-$D28)*$I$2/(1+EXP($I$3*(COUNT($H$8:P$8)+$I$4))),TREND($D28:$E28,$D$8:$E$8,P$8))</f>
        <v>#DIV/0!</v>
      </c>
      <c r="Q28" t="e">
        <f>IF($F28="s-curve",$D28+($E28-$D28)*$I$2/(1+EXP($I$3*(COUNT($H$8:Q$8)+$I$4))),TREND($D28:$E28,$D$8:$E$8,Q$8))</f>
        <v>#DIV/0!</v>
      </c>
      <c r="R28" t="e">
        <f>IF($F28="s-curve",$D28+($E28-$D28)*$I$2/(1+EXP($I$3*(COUNT($H$8:R$8)+$I$4))),TREND($D28:$E28,$D$8:$E$8,R$8))</f>
        <v>#DIV/0!</v>
      </c>
      <c r="S28" t="e">
        <f>IF($F28="s-curve",$D28+($E28-$D28)*$I$2/(1+EXP($I$3*(COUNT($H$8:S$8)+$I$4))),TREND($D28:$E28,$D$8:$E$8,S$8))</f>
        <v>#DIV/0!</v>
      </c>
      <c r="T28" t="e">
        <f>IF($F28="s-curve",$D28+($E28-$D28)*$I$2/(1+EXP($I$3*(COUNT($H$8:T$8)+$I$4))),TREND($D28:$E28,$D$8:$E$8,T$8))</f>
        <v>#DIV/0!</v>
      </c>
      <c r="U28" t="e">
        <f>IF($F28="s-curve",$D28+($E28-$D28)*$I$2/(1+EXP($I$3*(COUNT($H$8:U$8)+$I$4))),TREND($D28:$E28,$D$8:$E$8,U$8))</f>
        <v>#DIV/0!</v>
      </c>
      <c r="V28" t="e">
        <f>IF($F28="s-curve",$D28+($E28-$D28)*$I$2/(1+EXP($I$3*(COUNT($H$8:V$8)+$I$4))),TREND($D28:$E28,$D$8:$E$8,V$8))</f>
        <v>#DIV/0!</v>
      </c>
      <c r="W28" t="e">
        <f>IF($F28="s-curve",$D28+($E28-$D28)*$I$2/(1+EXP($I$3*(COUNT($H$8:W$8)+$I$4))),TREND($D28:$E28,$D$8:$E$8,W$8))</f>
        <v>#DIV/0!</v>
      </c>
      <c r="X28" t="e">
        <f>IF($F28="s-curve",$D28+($E28-$D28)*$I$2/(1+EXP($I$3*(COUNT($H$8:X$8)+$I$4))),TREND($D28:$E28,$D$8:$E$8,X$8))</f>
        <v>#DIV/0!</v>
      </c>
      <c r="Y28" t="e">
        <f>IF($F28="s-curve",$D28+($E28-$D28)*$I$2/(1+EXP($I$3*(COUNT($H$8:Y$8)+$I$4))),TREND($D28:$E28,$D$8:$E$8,Y$8))</f>
        <v>#DIV/0!</v>
      </c>
      <c r="Z28" t="e">
        <f>IF($F28="s-curve",$D28+($E28-$D28)*$I$2/(1+EXP($I$3*(COUNT($H$8:Z$8)+$I$4))),TREND($D28:$E28,$D$8:$E$8,Z$8))</f>
        <v>#DIV/0!</v>
      </c>
      <c r="AA28" t="e">
        <f>IF($F28="s-curve",$D28+($E28-$D28)*$I$2/(1+EXP($I$3*(COUNT($H$8:AA$8)+$I$4))),TREND($D28:$E28,$D$8:$E$8,AA$8))</f>
        <v>#DIV/0!</v>
      </c>
      <c r="AB28" t="e">
        <f>IF($F28="s-curve",$D28+($E28-$D28)*$I$2/(1+EXP($I$3*(COUNT($H$8:AB$8)+$I$4))),TREND($D28:$E28,$D$8:$E$8,AB$8))</f>
        <v>#DIV/0!</v>
      </c>
      <c r="AC28" t="e">
        <f>IF($F28="s-curve",$D28+($E28-$D28)*$I$2/(1+EXP($I$3*(COUNT($H$8:AC$8)+$I$4))),TREND($D28:$E28,$D$8:$E$8,AC$8))</f>
        <v>#DIV/0!</v>
      </c>
      <c r="AD28" t="e">
        <f>IF($F28="s-curve",$D28+($E28-$D28)*$I$2/(1+EXP($I$3*(COUNT($H$8:AD$8)+$I$4))),TREND($D28:$E28,$D$8:$E$8,AD$8))</f>
        <v>#DIV/0!</v>
      </c>
      <c r="AE28" t="e">
        <f>IF($F28="s-curve",$D28+($E28-$D28)*$I$2/(1+EXP($I$3*(COUNT($H$8:AE$8)+$I$4))),TREND($D28:$E28,$D$8:$E$8,AE$8))</f>
        <v>#DIV/0!</v>
      </c>
      <c r="AF28" t="e">
        <f>IF($F28="s-curve",$D28+($E28-$D28)*$I$2/(1+EXP($I$3*(COUNT($H$8:AF$8)+$I$4))),TREND($D28:$E28,$D$8:$E$8,AF$8))</f>
        <v>#DIV/0!</v>
      </c>
      <c r="AG28" t="e">
        <f>IF($F28="s-curve",$D28+($E28-$D28)*$I$2/(1+EXP($I$3*(COUNT($H$8:AG$8)+$I$4))),TREND($D28:$E28,$D$8:$E$8,AG$8))</f>
        <v>#DIV/0!</v>
      </c>
      <c r="AH28" t="e">
        <f>IF($F28="s-curve",$D28+($E28-$D28)*$I$2/(1+EXP($I$3*(COUNT($H$8:AH$8)+$I$4))),TREND($D28:$E28,$D$8:$E$8,AH$8))</f>
        <v>#DIV/0!</v>
      </c>
      <c r="AI28" t="e">
        <f>IF($F28="s-curve",$D28+($E28-$D28)*$I$2/(1+EXP($I$3*(COUNT($H$8:AI$8)+$I$4))),TREND($D28:$E28,$D$8:$E$8,AI$8))</f>
        <v>#DIV/0!</v>
      </c>
      <c r="AJ28" t="e">
        <f>IF($F28="s-curve",$D28+($E28-$D28)*$I$2/(1+EXP($I$3*(COUNT($H$8:AJ$8)+$I$4))),TREND($D28:$E28,$D$8:$E$8,AJ$8))</f>
        <v>#DIV/0!</v>
      </c>
      <c r="AK28" t="e">
        <f>IF($F28="s-curve",$D28+($E28-$D28)*$I$2/(1+EXP($I$3*(COUNT($H$8:AK$8)+$I$4))),TREND($D28:$E28,$D$8:$E$8,AK$8))</f>
        <v>#DIV/0!</v>
      </c>
      <c r="AL28" t="e">
        <f>IF($F28="s-curve",$D28+($E28-$D28)*$I$2/(1+EXP($I$3*(COUNT($H$8:AL$8)+$I$4))),TREND($D28:$E28,$D$8:$E$8,AL$8))</f>
        <v>#DIV/0!</v>
      </c>
      <c r="AM28" t="e">
        <f>IF($F28="s-curve",$D28+($E28-$D28)*$I$2/(1+EXP($I$3*(COUNT($H$8:AM$8)+$I$4))),TREND($D28:$E28,$D$8:$E$8,AM$8))</f>
        <v>#DIV/0!</v>
      </c>
      <c r="AN28" t="e">
        <f>IF($F28="s-curve",$D28+($E28-$D28)*$I$2/(1+EXP($I$3*(COUNT($H$8:AN$8)+$I$4))),TREND($D28:$E28,$D$8:$E$8,AN$8))</f>
        <v>#DIV/0!</v>
      </c>
      <c r="AO28" t="e">
        <f>IF($F28="s-curve",$D28+($E28-$D28)*$I$2/(1+EXP($I$3*(COUNT($H$8:AO$8)+$I$4))),TREND($D28:$E28,$D$8:$E$8,AO$8))</f>
        <v>#DIV/0!</v>
      </c>
      <c r="AP28" t="e">
        <f>IF($F28="s-curve",$D28+($E28-$D28)*$I$2/(1+EXP($I$3*(COUNT($H$8:AP$8)+$I$4))),TREND($D28:$E28,$D$8:$E$8,AP$8))</f>
        <v>#DIV/0!</v>
      </c>
      <c r="AQ28" t="e">
        <f>IF($F28="s-curve",$D28+($E28-$D28)*$I$2/(1+EXP($I$3*(COUNT($H$8:AQ$8)+$I$4))),TREND($D28:$E28,$D$8:$E$8,AQ$8))</f>
        <v>#DIV/0!</v>
      </c>
      <c r="AR28" t="e">
        <f>IF($F28="s-curve",$D28+($E28-$D28)*$I$2/(1+EXP($I$3*(COUNT($H$8:AR$8)+$I$4))),TREND($D28:$E28,$D$8:$E$8,AR$8))</f>
        <v>#DIV/0!</v>
      </c>
      <c r="AS28" t="e">
        <f>IF($F28="s-curve",$D28+($E28-$D28)*$I$2/(1+EXP($I$3*(COUNT($H$8:AS$8)+$I$4))),TREND($D28:$E28,$D$8:$E$8,AS$8))</f>
        <v>#DIV/0!</v>
      </c>
      <c r="AT28" t="e">
        <f>IF($F28="s-curve",$D28+($E28-$D28)*$I$2/(1+EXP($I$3*(COUNT($H$8:AT$8)+$I$4))),TREND($D28:$E28,$D$8:$E$8,AT$8))</f>
        <v>#DIV/0!</v>
      </c>
      <c r="AU28" t="e">
        <f>IF($F28="s-curve",$D28+($E28-$D28)*$I$2/(1+EXP($I$3*(COUNT($H$8:AU$8)+$I$4))),TREND($D28:$E28,$D$8:$E$8,AU$8))</f>
        <v>#DIV/0!</v>
      </c>
      <c r="AV28" t="e">
        <f>IF($F28="s-curve",$D28+($E28-$D28)*$I$2/(1+EXP($I$3*(COUNT($H$8:AV$8)+$I$4))),TREND($D28:$E28,$D$8:$E$8,AV$8))</f>
        <v>#DIV/0!</v>
      </c>
    </row>
    <row r="29" spans="1:48" ht="13.6" thickBot="1" x14ac:dyDescent="0.2">
      <c r="A29" s="23"/>
      <c r="B29" s="23"/>
      <c r="C29" s="23" t="s">
        <v>126</v>
      </c>
      <c r="D29" s="26">
        <f>'SYVbT-passenger'!H3/SUM('SYVbT-passenger'!3:3)</f>
        <v>2.584972312392591E-3</v>
      </c>
      <c r="E29" s="26" t="e">
        <f>E36*($D$28/$D$35)</f>
        <v>#DIV/0!</v>
      </c>
      <c r="F29" s="8" t="e">
        <f>IF(D29=E29,"n/a",IF(OR(C29="battery electric vehicle",C29="natural gas vehicle",C29="plugin hybrid vehicle",C29="hydrogen vehicle"),"s-curve","linear"))</f>
        <v>#DIV/0!</v>
      </c>
      <c r="H29" s="22">
        <f t="shared" si="22"/>
        <v>2.584972312392591E-3</v>
      </c>
      <c r="I29" t="e">
        <f>IF($F29="s-curve",$D29+($E29-$D29)*$I$2/(1+EXP($I$3*(COUNT($H$8:I$8)+$I$4))),TREND($D29:$E29,$D$8:$E$8,I$8))</f>
        <v>#DIV/0!</v>
      </c>
      <c r="J29" t="e">
        <f>IF($F29="s-curve",$D29+($E29-$D29)*$I$2/(1+EXP($I$3*(COUNT($H$8:J$8)+$I$4))),TREND($D29:$E29,$D$8:$E$8,J$8))</f>
        <v>#DIV/0!</v>
      </c>
      <c r="K29" t="e">
        <f>IF($F29="s-curve",$D29+($E29-$D29)*$I$2/(1+EXP($I$3*(COUNT($H$8:K$8)+$I$4))),TREND($D29:$E29,$D$8:$E$8,K$8))</f>
        <v>#DIV/0!</v>
      </c>
      <c r="L29" t="e">
        <f>IF($F29="s-curve",$D29+($E29-$D29)*$I$2/(1+EXP($I$3*(COUNT($H$8:L$8)+$I$4))),TREND($D29:$E29,$D$8:$E$8,L$8))</f>
        <v>#DIV/0!</v>
      </c>
      <c r="M29" t="e">
        <f>IF($F29="s-curve",$D29+($E29-$D29)*$I$2/(1+EXP($I$3*(COUNT($H$8:M$8)+$I$4))),TREND($D29:$E29,$D$8:$E$8,M$8))</f>
        <v>#DIV/0!</v>
      </c>
      <c r="N29" t="e">
        <f>IF($F29="s-curve",$D29+($E29-$D29)*$I$2/(1+EXP($I$3*(COUNT($H$8:N$8)+$I$4))),TREND($D29:$E29,$D$8:$E$8,N$8))</f>
        <v>#DIV/0!</v>
      </c>
      <c r="O29" t="e">
        <f>IF($F29="s-curve",$D29+($E29-$D29)*$I$2/(1+EXP($I$3*(COUNT($H$8:O$8)+$I$4))),TREND($D29:$E29,$D$8:$E$8,O$8))</f>
        <v>#DIV/0!</v>
      </c>
      <c r="P29" t="e">
        <f>IF($F29="s-curve",$D29+($E29-$D29)*$I$2/(1+EXP($I$3*(COUNT($H$8:P$8)+$I$4))),TREND($D29:$E29,$D$8:$E$8,P$8))</f>
        <v>#DIV/0!</v>
      </c>
      <c r="Q29" t="e">
        <f>IF($F29="s-curve",$D29+($E29-$D29)*$I$2/(1+EXP($I$3*(COUNT($H$8:Q$8)+$I$4))),TREND($D29:$E29,$D$8:$E$8,Q$8))</f>
        <v>#DIV/0!</v>
      </c>
      <c r="R29" t="e">
        <f>IF($F29="s-curve",$D29+($E29-$D29)*$I$2/(1+EXP($I$3*(COUNT($H$8:R$8)+$I$4))),TREND($D29:$E29,$D$8:$E$8,R$8))</f>
        <v>#DIV/0!</v>
      </c>
      <c r="S29" t="e">
        <f>IF($F29="s-curve",$D29+($E29-$D29)*$I$2/(1+EXP($I$3*(COUNT($H$8:S$8)+$I$4))),TREND($D29:$E29,$D$8:$E$8,S$8))</f>
        <v>#DIV/0!</v>
      </c>
      <c r="T29" t="e">
        <f>IF($F29="s-curve",$D29+($E29-$D29)*$I$2/(1+EXP($I$3*(COUNT($H$8:T$8)+$I$4))),TREND($D29:$E29,$D$8:$E$8,T$8))</f>
        <v>#DIV/0!</v>
      </c>
      <c r="U29" t="e">
        <f>IF($F29="s-curve",$D29+($E29-$D29)*$I$2/(1+EXP($I$3*(COUNT($H$8:U$8)+$I$4))),TREND($D29:$E29,$D$8:$E$8,U$8))</f>
        <v>#DIV/0!</v>
      </c>
      <c r="V29" t="e">
        <f>IF($F29="s-curve",$D29+($E29-$D29)*$I$2/(1+EXP($I$3*(COUNT($H$8:V$8)+$I$4))),TREND($D29:$E29,$D$8:$E$8,V$8))</f>
        <v>#DIV/0!</v>
      </c>
      <c r="W29" t="e">
        <f>IF($F29="s-curve",$D29+($E29-$D29)*$I$2/(1+EXP($I$3*(COUNT($H$8:W$8)+$I$4))),TREND($D29:$E29,$D$8:$E$8,W$8))</f>
        <v>#DIV/0!</v>
      </c>
      <c r="X29" t="e">
        <f>IF($F29="s-curve",$D29+($E29-$D29)*$I$2/(1+EXP($I$3*(COUNT($H$8:X$8)+$I$4))),TREND($D29:$E29,$D$8:$E$8,X$8))</f>
        <v>#DIV/0!</v>
      </c>
      <c r="Y29" t="e">
        <f>IF($F29="s-curve",$D29+($E29-$D29)*$I$2/(1+EXP($I$3*(COUNT($H$8:Y$8)+$I$4))),TREND($D29:$E29,$D$8:$E$8,Y$8))</f>
        <v>#DIV/0!</v>
      </c>
      <c r="Z29" t="e">
        <f>IF($F29="s-curve",$D29+($E29-$D29)*$I$2/(1+EXP($I$3*(COUNT($H$8:Z$8)+$I$4))),TREND($D29:$E29,$D$8:$E$8,Z$8))</f>
        <v>#DIV/0!</v>
      </c>
      <c r="AA29" t="e">
        <f>IF($F29="s-curve",$D29+($E29-$D29)*$I$2/(1+EXP($I$3*(COUNT($H$8:AA$8)+$I$4))),TREND($D29:$E29,$D$8:$E$8,AA$8))</f>
        <v>#DIV/0!</v>
      </c>
      <c r="AB29" t="e">
        <f>IF($F29="s-curve",$D29+($E29-$D29)*$I$2/(1+EXP($I$3*(COUNT($H$8:AB$8)+$I$4))),TREND($D29:$E29,$D$8:$E$8,AB$8))</f>
        <v>#DIV/0!</v>
      </c>
      <c r="AC29" t="e">
        <f>IF($F29="s-curve",$D29+($E29-$D29)*$I$2/(1+EXP($I$3*(COUNT($H$8:AC$8)+$I$4))),TREND($D29:$E29,$D$8:$E$8,AC$8))</f>
        <v>#DIV/0!</v>
      </c>
      <c r="AD29" t="e">
        <f>IF($F29="s-curve",$D29+($E29-$D29)*$I$2/(1+EXP($I$3*(COUNT($H$8:AD$8)+$I$4))),TREND($D29:$E29,$D$8:$E$8,AD$8))</f>
        <v>#DIV/0!</v>
      </c>
      <c r="AE29" t="e">
        <f>IF($F29="s-curve",$D29+($E29-$D29)*$I$2/(1+EXP($I$3*(COUNT($H$8:AE$8)+$I$4))),TREND($D29:$E29,$D$8:$E$8,AE$8))</f>
        <v>#DIV/0!</v>
      </c>
      <c r="AF29" t="e">
        <f>IF($F29="s-curve",$D29+($E29-$D29)*$I$2/(1+EXP($I$3*(COUNT($H$8:AF$8)+$I$4))),TREND($D29:$E29,$D$8:$E$8,AF$8))</f>
        <v>#DIV/0!</v>
      </c>
      <c r="AG29" t="e">
        <f>IF($F29="s-curve",$D29+($E29-$D29)*$I$2/(1+EXP($I$3*(COUNT($H$8:AG$8)+$I$4))),TREND($D29:$E29,$D$8:$E$8,AG$8))</f>
        <v>#DIV/0!</v>
      </c>
      <c r="AH29" t="e">
        <f>IF($F29="s-curve",$D29+($E29-$D29)*$I$2/(1+EXP($I$3*(COUNT($H$8:AH$8)+$I$4))),TREND($D29:$E29,$D$8:$E$8,AH$8))</f>
        <v>#DIV/0!</v>
      </c>
      <c r="AI29" t="e">
        <f>IF($F29="s-curve",$D29+($E29-$D29)*$I$2/(1+EXP($I$3*(COUNT($H$8:AI$8)+$I$4))),TREND($D29:$E29,$D$8:$E$8,AI$8))</f>
        <v>#DIV/0!</v>
      </c>
      <c r="AJ29" t="e">
        <f>IF($F29="s-curve",$D29+($E29-$D29)*$I$2/(1+EXP($I$3*(COUNT($H$8:AJ$8)+$I$4))),TREND($D29:$E29,$D$8:$E$8,AJ$8))</f>
        <v>#DIV/0!</v>
      </c>
      <c r="AK29" t="e">
        <f>IF($F29="s-curve",$D29+($E29-$D29)*$I$2/(1+EXP($I$3*(COUNT($H$8:AK$8)+$I$4))),TREND($D29:$E29,$D$8:$E$8,AK$8))</f>
        <v>#DIV/0!</v>
      </c>
      <c r="AL29" t="e">
        <f>IF($F29="s-curve",$D29+($E29-$D29)*$I$2/(1+EXP($I$3*(COUNT($H$8:AL$8)+$I$4))),TREND($D29:$E29,$D$8:$E$8,AL$8))</f>
        <v>#DIV/0!</v>
      </c>
      <c r="AM29" t="e">
        <f>IF($F29="s-curve",$D29+($E29-$D29)*$I$2/(1+EXP($I$3*(COUNT($H$8:AM$8)+$I$4))),TREND($D29:$E29,$D$8:$E$8,AM$8))</f>
        <v>#DIV/0!</v>
      </c>
      <c r="AN29" t="e">
        <f>IF($F29="s-curve",$D29+($E29-$D29)*$I$2/(1+EXP($I$3*(COUNT($H$8:AN$8)+$I$4))),TREND($D29:$E29,$D$8:$E$8,AN$8))</f>
        <v>#DIV/0!</v>
      </c>
      <c r="AO29" t="e">
        <f>IF($F29="s-curve",$D29+($E29-$D29)*$I$2/(1+EXP($I$3*(COUNT($H$8:AO$8)+$I$4))),TREND($D29:$E29,$D$8:$E$8,AO$8))</f>
        <v>#DIV/0!</v>
      </c>
      <c r="AP29" t="e">
        <f>IF($F29="s-curve",$D29+($E29-$D29)*$I$2/(1+EXP($I$3*(COUNT($H$8:AP$8)+$I$4))),TREND($D29:$E29,$D$8:$E$8,AP$8))</f>
        <v>#DIV/0!</v>
      </c>
      <c r="AQ29" t="e">
        <f>IF($F29="s-curve",$D29+($E29-$D29)*$I$2/(1+EXP($I$3*(COUNT($H$8:AQ$8)+$I$4))),TREND($D29:$E29,$D$8:$E$8,AQ$8))</f>
        <v>#DIV/0!</v>
      </c>
      <c r="AR29" t="e">
        <f>IF($F29="s-curve",$D29+($E29-$D29)*$I$2/(1+EXP($I$3*(COUNT($H$8:AR$8)+$I$4))),TREND($D29:$E29,$D$8:$E$8,AR$8))</f>
        <v>#DIV/0!</v>
      </c>
      <c r="AS29" t="e">
        <f>IF($F29="s-curve",$D29+($E29-$D29)*$I$2/(1+EXP($I$3*(COUNT($H$8:AS$8)+$I$4))),TREND($D29:$E29,$D$8:$E$8,AS$8))</f>
        <v>#DIV/0!</v>
      </c>
      <c r="AT29" t="e">
        <f>IF($F29="s-curve",$D29+($E29-$D29)*$I$2/(1+EXP($I$3*(COUNT($H$8:AT$8)+$I$4))),TREND($D29:$E29,$D$8:$E$8,AT$8))</f>
        <v>#DIV/0!</v>
      </c>
      <c r="AU29" t="e">
        <f>IF($F29="s-curve",$D29+($E29-$D29)*$I$2/(1+EXP($I$3*(COUNT($H$8:AU$8)+$I$4))),TREND($D29:$E29,$D$8:$E$8,AU$8))</f>
        <v>#DIV/0!</v>
      </c>
      <c r="AV29" t="e">
        <f>IF($F29="s-curve",$D29+($E29-$D29)*$I$2/(1+EXP($I$3*(COUNT($H$8:AV$8)+$I$4))),TREND($D29:$E29,$D$8:$E$8,AV$8))</f>
        <v>#DIV/0!</v>
      </c>
    </row>
    <row r="30" spans="1:48" x14ac:dyDescent="0.15">
      <c r="A30" t="s">
        <v>13</v>
      </c>
      <c r="B30" t="s">
        <v>18</v>
      </c>
      <c r="C30" t="s">
        <v>1</v>
      </c>
      <c r="D30" s="22">
        <f>Summary!V8</f>
        <v>4.7722468492735266E-2</v>
      </c>
      <c r="E30" s="22">
        <v>0.7</v>
      </c>
      <c r="F30" s="7" t="str">
        <f>IF(D30=E30,"n/a",IF(OR(C30="battery electric vehicle",C30="natural gas vehicle",C30="plugin hybrid vehicle"),"s-curve","linear"))</f>
        <v>s-curve</v>
      </c>
      <c r="H30" s="22">
        <f t="shared" si="22"/>
        <v>4.7722468492735266E-2</v>
      </c>
      <c r="I30">
        <f>IF($F30="s-curve",$D30+($E30-$D30)*$I$2/(1+EXP($I$3*(COUNT($H$8:I$8)+$I$4))),TREND($D30:$E30,$D$8:$E$8,I$8))</f>
        <v>5.7359237416033507E-2</v>
      </c>
      <c r="J30">
        <f>IF($F30="s-curve",$D30+($E30-$D30)*$I$2/(1+EXP($I$3*(COUNT($H$8:J$8)+$I$4))),TREND($D30:$E30,$D$8:$E$8,J$8))</f>
        <v>6.0663854141308773E-2</v>
      </c>
      <c r="K30">
        <f>IF($F30="s-curve",$D30+($E30-$D30)*$I$2/(1+EXP($I$3*(COUNT($H$8:K$8)+$I$4))),TREND($D30:$E30,$D$8:$E$8,K$8))</f>
        <v>6.5071089808567906E-2</v>
      </c>
      <c r="L30">
        <f>IF($F30="s-curve",$D30+($E30-$D30)*$I$2/(1+EXP($I$3*(COUNT($H$8:L$8)+$I$4))),TREND($D30:$E30,$D$8:$E$8,L$8))</f>
        <v>7.0924756024268093E-2</v>
      </c>
      <c r="M30">
        <f>IF($F30="s-curve",$D30+($E30-$D30)*$I$2/(1+EXP($I$3*(COUNT($H$8:M$8)+$I$4))),TREND($D30:$E30,$D$8:$E$8,M$8))</f>
        <v>7.8657299978575124E-2</v>
      </c>
      <c r="N30">
        <f>IF($F30="s-curve",$D30+($E30-$D30)*$I$2/(1+EXP($I$3*(COUNT($H$8:N$8)+$I$4))),TREND($D30:$E30,$D$8:$E$8,N$8))</f>
        <v>8.8798573732321001E-2</v>
      </c>
      <c r="O30">
        <f>IF($F30="s-curve",$D30+($E30-$D30)*$I$2/(1+EXP($I$3*(COUNT($H$8:O$8)+$I$4))),TREND($D30:$E30,$D$8:$E$8,O$8))</f>
        <v>0.10197414965059387</v>
      </c>
      <c r="P30">
        <f>IF($F30="s-curve",$D30+($E30-$D30)*$I$2/(1+EXP($I$3*(COUNT($H$8:P$8)+$I$4))),TREND($D30:$E30,$D$8:$E$8,P$8))</f>
        <v>0.11888387371749909</v>
      </c>
      <c r="Q30">
        <f>IF($F30="s-curve",$D30+($E30-$D30)*$I$2/(1+EXP($I$3*(COUNT($H$8:Q$8)+$I$4))),TREND($D30:$E30,$D$8:$E$8,Q$8))</f>
        <v>0.14024873094770224</v>
      </c>
      <c r="R30">
        <f>IF($F30="s-curve",$D30+($E30-$D30)*$I$2/(1+EXP($I$3*(COUNT($H$8:R$8)+$I$4))),TREND($D30:$E30,$D$8:$E$8,R$8))</f>
        <v>0.16671453884506512</v>
      </c>
      <c r="S30">
        <f>IF($F30="s-curve",$D30+($E30-$D30)*$I$2/(1+EXP($I$3*(COUNT($H$8:S$8)+$I$4))),TREND($D30:$E30,$D$8:$E$8,S$8))</f>
        <v>0.19870855131710569</v>
      </c>
      <c r="T30">
        <f>IF($F30="s-curve",$D30+($E30-$D30)*$I$2/(1+EXP($I$3*(COUNT($H$8:T$8)+$I$4))),TREND($D30:$E30,$D$8:$E$8,T$8))</f>
        <v>0.23626361340144478</v>
      </c>
      <c r="U30">
        <f>IF($F30="s-curve",$D30+($E30-$D30)*$I$2/(1+EXP($I$3*(COUNT($H$8:U$8)+$I$4))),TREND($D30:$E30,$D$8:$E$8,U$8))</f>
        <v>0.27885289837293953</v>
      </c>
      <c r="V30">
        <f>IF($F30="s-curve",$D30+($E30-$D30)*$I$2/(1+EXP($I$3*(COUNT($H$8:V$8)+$I$4))),TREND($D30:$E30,$D$8:$E$8,V$8))</f>
        <v>0.32530405314127059</v>
      </c>
      <c r="W30">
        <f>IF($F30="s-curve",$D30+($E30-$D30)*$I$2/(1+EXP($I$3*(COUNT($H$8:W$8)+$I$4))),TREND($D30:$E30,$D$8:$E$8,W$8))</f>
        <v>0.37386123424636758</v>
      </c>
      <c r="X30">
        <f>IF($F30="s-curve",$D30+($E30-$D30)*$I$2/(1+EXP($I$3*(COUNT($H$8:X$8)+$I$4))),TREND($D30:$E30,$D$8:$E$8,X$8))</f>
        <v>0.42241841535146457</v>
      </c>
      <c r="Y30">
        <f>IF($F30="s-curve",$D30+($E30-$D30)*$I$2/(1+EXP($I$3*(COUNT($H$8:Y$8)+$I$4))),TREND($D30:$E30,$D$8:$E$8,Y$8))</f>
        <v>0.46886957011979563</v>
      </c>
      <c r="Z30">
        <f>IF($F30="s-curve",$D30+($E30-$D30)*$I$2/(1+EXP($I$3*(COUNT($H$8:Z$8)+$I$4))),TREND($D30:$E30,$D$8:$E$8,Z$8))</f>
        <v>0.51145885509129041</v>
      </c>
      <c r="AA30">
        <f>IF($F30="s-curve",$D30+($E30-$D30)*$I$2/(1+EXP($I$3*(COUNT($H$8:AA$8)+$I$4))),TREND($D30:$E30,$D$8:$E$8,AA$8))</f>
        <v>0.54901391717562953</v>
      </c>
      <c r="AB30">
        <f>IF($F30="s-curve",$D30+($E30-$D30)*$I$2/(1+EXP($I$3*(COUNT($H$8:AB$8)+$I$4))),TREND($D30:$E30,$D$8:$E$8,AB$8))</f>
        <v>0.58100792964767012</v>
      </c>
      <c r="AC30">
        <f>IF($F30="s-curve",$D30+($E30-$D30)*$I$2/(1+EXP($I$3*(COUNT($H$8:AC$8)+$I$4))),TREND($D30:$E30,$D$8:$E$8,AC$8))</f>
        <v>0.60747373754503309</v>
      </c>
      <c r="AD30">
        <f>IF($F30="s-curve",$D30+($E30-$D30)*$I$2/(1+EXP($I$3*(COUNT($H$8:AD$8)+$I$4))),TREND($D30:$E30,$D$8:$E$8,AD$8))</f>
        <v>0.62883859477523618</v>
      </c>
      <c r="AE30">
        <f>IF($F30="s-curve",$D30+($E30-$D30)*$I$2/(1+EXP($I$3*(COUNT($H$8:AE$8)+$I$4))),TREND($D30:$E30,$D$8:$E$8,AE$8))</f>
        <v>0.64574831884214134</v>
      </c>
      <c r="AF30">
        <f>IF($F30="s-curve",$D30+($E30-$D30)*$I$2/(1+EXP($I$3*(COUNT($H$8:AF$8)+$I$4))),TREND($D30:$E30,$D$8:$E$8,AF$8))</f>
        <v>0.65892389476041424</v>
      </c>
      <c r="AG30">
        <f>IF($F30="s-curve",$D30+($E30-$D30)*$I$2/(1+EXP($I$3*(COUNT($H$8:AG$8)+$I$4))),TREND($D30:$E30,$D$8:$E$8,AG$8))</f>
        <v>0.6690651685141602</v>
      </c>
      <c r="AH30">
        <f>IF($F30="s-curve",$D30+($E30-$D30)*$I$2/(1+EXP($I$3*(COUNT($H$8:AH$8)+$I$4))),TREND($D30:$E30,$D$8:$E$8,AH$8))</f>
        <v>0.67679771246846721</v>
      </c>
      <c r="AI30">
        <f>IF($F30="s-curve",$D30+($E30-$D30)*$I$2/(1+EXP($I$3*(COUNT($H$8:AI$8)+$I$4))),TREND($D30:$E30,$D$8:$E$8,AI$8))</f>
        <v>0.68265137868416725</v>
      </c>
      <c r="AJ30">
        <f>IF($F30="s-curve",$D30+($E30-$D30)*$I$2/(1+EXP($I$3*(COUNT($H$8:AJ$8)+$I$4))),TREND($D30:$E30,$D$8:$E$8,AJ$8))</f>
        <v>0.68705861435142646</v>
      </c>
      <c r="AK30">
        <f>IF($F30="s-curve",$D30+($E30-$D30)*$I$2/(1+EXP($I$3*(COUNT($H$8:AK$8)+$I$4))),TREND($D30:$E30,$D$8:$E$8,AK$8))</f>
        <v>0.69036323107670172</v>
      </c>
      <c r="AL30">
        <f>IF($F30="s-curve",$D30+($E30-$D30)*$I$2/(1+EXP($I$3*(COUNT($H$8:AL$8)+$I$4))),TREND($D30:$E30,$D$8:$E$8,AL$8))</f>
        <v>0.69283346418210467</v>
      </c>
      <c r="AM30">
        <f>IF($F30="s-curve",$D30+($E30-$D30)*$I$2/(1+EXP($I$3*(COUNT($H$8:AM$8)+$I$4))),TREND($D30:$E30,$D$8:$E$8,AM$8))</f>
        <v>0.69467573823746442</v>
      </c>
      <c r="AN30">
        <f>IF($F30="s-curve",$D30+($E30-$D30)*$I$2/(1+EXP($I$3*(COUNT($H$8:AN$8)+$I$4))),TREND($D30:$E30,$D$8:$E$8,AN$8))</f>
        <v>0.69604732764164534</v>
      </c>
      <c r="AO30">
        <f>IF($F30="s-curve",$D30+($E30-$D30)*$I$2/(1+EXP($I$3*(COUNT($H$8:AO$8)+$I$4))),TREND($D30:$E30,$D$8:$E$8,AO$8))</f>
        <v>0.6970671820415989</v>
      </c>
      <c r="AP30">
        <f>IF($F30="s-curve",$D30+($E30-$D30)*$I$2/(1+EXP($I$3*(COUNT($H$8:AP$8)+$I$4))),TREND($D30:$E30,$D$8:$E$8,AP$8))</f>
        <v>0.69782478012146798</v>
      </c>
      <c r="AQ30">
        <f>IF($F30="s-curve",$D30+($E30-$D30)*$I$2/(1+EXP($I$3*(COUNT($H$8:AQ$8)+$I$4))),TREND($D30:$E30,$D$8:$E$8,AQ$8))</f>
        <v>0.69838716347104257</v>
      </c>
      <c r="AR30">
        <f>IF($F30="s-curve",$D30+($E30-$D30)*$I$2/(1+EXP($I$3*(COUNT($H$8:AR$8)+$I$4))),TREND($D30:$E30,$D$8:$E$8,AR$8))</f>
        <v>0.69880441511118718</v>
      </c>
      <c r="AS30">
        <f>IF($F30="s-curve",$D30+($E30-$D30)*$I$2/(1+EXP($I$3*(COUNT($H$8:AS$8)+$I$4))),TREND($D30:$E30,$D$8:$E$8,AS$8))</f>
        <v>0.69911386796023089</v>
      </c>
      <c r="AT30">
        <f>IF($F30="s-curve",$D30+($E30-$D30)*$I$2/(1+EXP($I$3*(COUNT($H$8:AT$8)+$I$4))),TREND($D30:$E30,$D$8:$E$8,AT$8))</f>
        <v>0.69934330601468098</v>
      </c>
      <c r="AU30">
        <f>IF($F30="s-curve",$D30+($E30-$D30)*$I$2/(1+EXP($I$3*(COUNT($H$8:AU$8)+$I$4))),TREND($D30:$E30,$D$8:$E$8,AU$8))</f>
        <v>0.69951338215383174</v>
      </c>
      <c r="AV30">
        <f>IF($F30="s-curve",$D30+($E30-$D30)*$I$2/(1+EXP($I$3*(COUNT($H$8:AV$8)+$I$4))),TREND($D30:$E30,$D$8:$E$8,AV$8))</f>
        <v>0.6996394349152375</v>
      </c>
    </row>
    <row r="31" spans="1:48" x14ac:dyDescent="0.15">
      <c r="C31" t="s">
        <v>2</v>
      </c>
      <c r="D31" s="22">
        <f>Summary!P8</f>
        <v>0.22600349040139617</v>
      </c>
      <c r="E31" s="22">
        <v>0.5</v>
      </c>
      <c r="F31" s="7" t="str">
        <f>IF(D31=E31,"n/a",IF(OR(C31="battery electric vehicle",C31="natural gas vehicle",C31="plugin hybrid vehicle"),"s-curve","linear"))</f>
        <v>s-curve</v>
      </c>
      <c r="H31" s="22">
        <f t="shared" si="22"/>
        <v>0.22600349040139617</v>
      </c>
      <c r="I31">
        <f>IF($F31="s-curve",$D31+($E31-$D31)*$I$2/(1+EXP($I$3*(COUNT($H$8:I$8)+$I$4))),TREND($D31:$E31,$D$8:$E$8,I$8))</f>
        <v>0.23005152351805214</v>
      </c>
      <c r="J31">
        <f>IF($F31="s-curve",$D31+($E31-$D31)*$I$2/(1+EXP($I$3*(COUNT($H$8:J$8)+$I$4))),TREND($D31:$E31,$D$8:$E$8,J$8))</f>
        <v>0.23143966492190257</v>
      </c>
      <c r="K31">
        <f>IF($F31="s-curve",$D31+($E31-$D31)*$I$2/(1+EXP($I$3*(COUNT($H$8:K$8)+$I$4))),TREND($D31:$E31,$D$8:$E$8,K$8))</f>
        <v>0.2332909738072739</v>
      </c>
      <c r="L31">
        <f>IF($F31="s-curve",$D31+($E31-$D31)*$I$2/(1+EXP($I$3*(COUNT($H$8:L$8)+$I$4))),TREND($D31:$E31,$D$8:$E$8,L$8))</f>
        <v>0.23574987210436979</v>
      </c>
      <c r="M31">
        <f>IF($F31="s-curve",$D31+($E31-$D31)*$I$2/(1+EXP($I$3*(COUNT($H$8:M$8)+$I$4))),TREND($D31:$E31,$D$8:$E$8,M$8))</f>
        <v>0.23899801411671551</v>
      </c>
      <c r="N31">
        <f>IF($F31="s-curve",$D31+($E31-$D31)*$I$2/(1+EXP($I$3*(COUNT($H$8:N$8)+$I$4))),TREND($D31:$E31,$D$8:$E$8,N$8))</f>
        <v>0.2432579701587233</v>
      </c>
      <c r="O31">
        <f>IF($F31="s-curve",$D31+($E31-$D31)*$I$2/(1+EXP($I$3*(COUNT($H$8:O$8)+$I$4))),TREND($D31:$E31,$D$8:$E$8,O$8))</f>
        <v>0.24879251893463494</v>
      </c>
      <c r="P31">
        <f>IF($F31="s-curve",$D31+($E31-$D31)*$I$2/(1+EXP($I$3*(COUNT($H$8:P$8)+$I$4))),TREND($D31:$E31,$D$8:$E$8,P$8))</f>
        <v>0.25589563861729708</v>
      </c>
      <c r="Q31">
        <f>IF($F31="s-curve",$D31+($E31-$D31)*$I$2/(1+EXP($I$3*(COUNT($H$8:Q$8)+$I$4))),TREND($D31:$E31,$D$8:$E$8,Q$8))</f>
        <v>0.26487018706697485</v>
      </c>
      <c r="R31">
        <f>IF($F31="s-curve",$D31+($E31-$D31)*$I$2/(1+EXP($I$3*(COUNT($H$8:R$8)+$I$4))),TREND($D31:$E31,$D$8:$E$8,R$8))</f>
        <v>0.2759874471860348</v>
      </c>
      <c r="S31">
        <f>IF($F31="s-curve",$D31+($E31-$D31)*$I$2/(1+EXP($I$3*(COUNT($H$8:S$8)+$I$4))),TREND($D31:$E31,$D$8:$E$8,S$8))</f>
        <v>0.28942689178124648</v>
      </c>
      <c r="T31">
        <f>IF($F31="s-curve",$D31+($E31-$D31)*$I$2/(1+EXP($I$3*(COUNT($H$8:T$8)+$I$4))),TREND($D31:$E31,$D$8:$E$8,T$8))</f>
        <v>0.30520231777988549</v>
      </c>
      <c r="U31">
        <f>IF($F31="s-curve",$D31+($E31-$D31)*$I$2/(1+EXP($I$3*(COUNT($H$8:U$8)+$I$4))),TREND($D31:$E31,$D$8:$E$8,U$8))</f>
        <v>0.32309242569380475</v>
      </c>
      <c r="V31">
        <f>IF($F31="s-curve",$D31+($E31-$D31)*$I$2/(1+EXP($I$3*(COUNT($H$8:V$8)+$I$4))),TREND($D31:$E31,$D$8:$E$8,V$8))</f>
        <v>0.34260475542856816</v>
      </c>
      <c r="W31">
        <f>IF($F31="s-curve",$D31+($E31-$D31)*$I$2/(1+EXP($I$3*(COUNT($H$8:W$8)+$I$4))),TREND($D31:$E31,$D$8:$E$8,W$8))</f>
        <v>0.36300174520069806</v>
      </c>
      <c r="X31">
        <f>IF($F31="s-curve",$D31+($E31-$D31)*$I$2/(1+EXP($I$3*(COUNT($H$8:X$8)+$I$4))),TREND($D31:$E31,$D$8:$E$8,X$8))</f>
        <v>0.38339873497282806</v>
      </c>
      <c r="Y31">
        <f>IF($F31="s-curve",$D31+($E31-$D31)*$I$2/(1+EXP($I$3*(COUNT($H$8:Y$8)+$I$4))),TREND($D31:$E31,$D$8:$E$8,Y$8))</f>
        <v>0.40291106470759142</v>
      </c>
      <c r="Z31">
        <f>IF($F31="s-curve",$D31+($E31-$D31)*$I$2/(1+EXP($I$3*(COUNT($H$8:Z$8)+$I$4))),TREND($D31:$E31,$D$8:$E$8,Z$8))</f>
        <v>0.42080117262151068</v>
      </c>
      <c r="AA31">
        <f>IF($F31="s-curve",$D31+($E31-$D31)*$I$2/(1+EXP($I$3*(COUNT($H$8:AA$8)+$I$4))),TREND($D31:$E31,$D$8:$E$8,AA$8))</f>
        <v>0.43657659862014964</v>
      </c>
      <c r="AB31">
        <f>IF($F31="s-curve",$D31+($E31-$D31)*$I$2/(1+EXP($I$3*(COUNT($H$8:AB$8)+$I$4))),TREND($D31:$E31,$D$8:$E$8,AB$8))</f>
        <v>0.45001604321536137</v>
      </c>
      <c r="AC31">
        <f>IF($F31="s-curve",$D31+($E31-$D31)*$I$2/(1+EXP($I$3*(COUNT($H$8:AC$8)+$I$4))),TREND($D31:$E31,$D$8:$E$8,AC$8))</f>
        <v>0.46113330333442137</v>
      </c>
      <c r="AD31">
        <f>IF($F31="s-curve",$D31+($E31-$D31)*$I$2/(1+EXP($I$3*(COUNT($H$8:AD$8)+$I$4))),TREND($D31:$E31,$D$8:$E$8,AD$8))</f>
        <v>0.47010785178409908</v>
      </c>
      <c r="AE31">
        <f>IF($F31="s-curve",$D31+($E31-$D31)*$I$2/(1+EXP($I$3*(COUNT($H$8:AE$8)+$I$4))),TREND($D31:$E31,$D$8:$E$8,AE$8))</f>
        <v>0.47721097146676122</v>
      </c>
      <c r="AF31">
        <f>IF($F31="s-curve",$D31+($E31-$D31)*$I$2/(1+EXP($I$3*(COUNT($H$8:AF$8)+$I$4))),TREND($D31:$E31,$D$8:$E$8,AF$8))</f>
        <v>0.48274552024267287</v>
      </c>
      <c r="AG31">
        <f>IF($F31="s-curve",$D31+($E31-$D31)*$I$2/(1+EXP($I$3*(COUNT($H$8:AG$8)+$I$4))),TREND($D31:$E31,$D$8:$E$8,AG$8))</f>
        <v>0.48700547628468066</v>
      </c>
      <c r="AH31">
        <f>IF($F31="s-curve",$D31+($E31-$D31)*$I$2/(1+EXP($I$3*(COUNT($H$8:AH$8)+$I$4))),TREND($D31:$E31,$D$8:$E$8,AH$8))</f>
        <v>0.49025361829702641</v>
      </c>
      <c r="AI31">
        <f>IF($F31="s-curve",$D31+($E31-$D31)*$I$2/(1+EXP($I$3*(COUNT($H$8:AI$8)+$I$4))),TREND($D31:$E31,$D$8:$E$8,AI$8))</f>
        <v>0.49271251659412224</v>
      </c>
      <c r="AJ31">
        <f>IF($F31="s-curve",$D31+($E31-$D31)*$I$2/(1+EXP($I$3*(COUNT($H$8:AJ$8)+$I$4))),TREND($D31:$E31,$D$8:$E$8,AJ$8))</f>
        <v>0.49456382547949362</v>
      </c>
      <c r="AK31">
        <f>IF($F31="s-curve",$D31+($E31-$D31)*$I$2/(1+EXP($I$3*(COUNT($H$8:AK$8)+$I$4))),TREND($D31:$E31,$D$8:$E$8,AK$8))</f>
        <v>0.49595196688334403</v>
      </c>
      <c r="AL31">
        <f>IF($F31="s-curve",$D31+($E31-$D31)*$I$2/(1+EXP($I$3*(COUNT($H$8:AL$8)+$I$4))),TREND($D31:$E31,$D$8:$E$8,AL$8))</f>
        <v>0.49698961606805736</v>
      </c>
      <c r="AM31">
        <f>IF($F31="s-curve",$D31+($E31-$D31)*$I$2/(1+EXP($I$3*(COUNT($H$8:AM$8)+$I$4))),TREND($D31:$E31,$D$8:$E$8,AM$8))</f>
        <v>0.49776348399468395</v>
      </c>
      <c r="AN31">
        <f>IF($F31="s-curve",$D31+($E31-$D31)*$I$2/(1+EXP($I$3*(COUNT($H$8:AN$8)+$I$4))),TREND($D31:$E31,$D$8:$E$8,AN$8))</f>
        <v>0.49833963554244554</v>
      </c>
      <c r="AO31">
        <f>IF($F31="s-curve",$D31+($E31-$D31)*$I$2/(1+EXP($I$3*(COUNT($H$8:AO$8)+$I$4))),TREND($D31:$E31,$D$8:$E$8,AO$8))</f>
        <v>0.49876803684770021</v>
      </c>
      <c r="AP31">
        <f>IF($F31="s-curve",$D31+($E31-$D31)*$I$2/(1+EXP($I$3*(COUNT($H$8:AP$8)+$I$4))),TREND($D31:$E31,$D$8:$E$8,AP$8))</f>
        <v>0.49908627443758485</v>
      </c>
      <c r="AQ31">
        <f>IF($F31="s-curve",$D31+($E31-$D31)*$I$2/(1+EXP($I$3*(COUNT($H$8:AQ$8)+$I$4))),TREND($D31:$E31,$D$8:$E$8,AQ$8))</f>
        <v>0.4993225098855294</v>
      </c>
      <c r="AR31">
        <f>IF($F31="s-curve",$D31+($E31-$D31)*$I$2/(1+EXP($I$3*(COUNT($H$8:AR$8)+$I$4))),TREND($D31:$E31,$D$8:$E$8,AR$8))</f>
        <v>0.49949778112744964</v>
      </c>
      <c r="AS31">
        <f>IF($F31="s-curve",$D31+($E31-$D31)*$I$2/(1+EXP($I$3*(COUNT($H$8:AS$8)+$I$4))),TREND($D31:$E31,$D$8:$E$8,AS$8))</f>
        <v>0.49962777027536243</v>
      </c>
      <c r="AT31">
        <f>IF($F31="s-curve",$D31+($E31-$D31)*$I$2/(1+EXP($I$3*(COUNT($H$8:AT$8)+$I$4))),TREND($D31:$E31,$D$8:$E$8,AT$8))</f>
        <v>0.49972414830933082</v>
      </c>
      <c r="AU31">
        <f>IF($F31="s-curve",$D31+($E31-$D31)*$I$2/(1+EXP($I$3*(COUNT($H$8:AU$8)+$I$4))),TREND($D31:$E31,$D$8:$E$8,AU$8))</f>
        <v>0.49979559070346885</v>
      </c>
      <c r="AV31">
        <f>IF($F31="s-curve",$D31+($E31-$D31)*$I$2/(1+EXP($I$3*(COUNT($H$8:AV$8)+$I$4))),TREND($D31:$E31,$D$8:$E$8,AV$8))</f>
        <v>0.49984854058290229</v>
      </c>
    </row>
    <row r="32" spans="1:48" x14ac:dyDescent="0.15">
      <c r="C32" t="s">
        <v>3</v>
      </c>
      <c r="D32" s="22">
        <v>0</v>
      </c>
      <c r="E32" s="22">
        <v>0</v>
      </c>
      <c r="F32" s="7" t="str">
        <f>IF(D32=E32,"n/a",IF(OR(C32="battery electric vehicle",C32="natural gas vehicle",C32="plugin hybrid vehicle"),"s-curve","linear"))</f>
        <v>n/a</v>
      </c>
      <c r="H32" s="22">
        <f t="shared" si="22"/>
        <v>0</v>
      </c>
      <c r="I32">
        <f>IF($F32="s-curve",$D32+($E32-$D32)*$I$2/(1+EXP($I$3*(COUNT($H$8:I$8)+$I$4))),TREND($D32:$E32,$D$8:$E$8,I$8))</f>
        <v>0</v>
      </c>
      <c r="J32">
        <f>IF($F32="s-curve",$D32+($E32-$D32)*$I$2/(1+EXP($I$3*(COUNT($H$8:J$8)+$I$4))),TREND($D32:$E32,$D$8:$E$8,J$8))</f>
        <v>0</v>
      </c>
      <c r="K32">
        <f>IF($F32="s-curve",$D32+($E32-$D32)*$I$2/(1+EXP($I$3*(COUNT($H$8:K$8)+$I$4))),TREND($D32:$E32,$D$8:$E$8,K$8))</f>
        <v>0</v>
      </c>
      <c r="L32">
        <f>IF($F32="s-curve",$D32+($E32-$D32)*$I$2/(1+EXP($I$3*(COUNT($H$8:L$8)+$I$4))),TREND($D32:$E32,$D$8:$E$8,L$8))</f>
        <v>0</v>
      </c>
      <c r="M32">
        <f>IF($F32="s-curve",$D32+($E32-$D32)*$I$2/(1+EXP($I$3*(COUNT($H$8:M$8)+$I$4))),TREND($D32:$E32,$D$8:$E$8,M$8))</f>
        <v>0</v>
      </c>
      <c r="N32">
        <f>IF($F32="s-curve",$D32+($E32-$D32)*$I$2/(1+EXP($I$3*(COUNT($H$8:N$8)+$I$4))),TREND($D32:$E32,$D$8:$E$8,N$8))</f>
        <v>0</v>
      </c>
      <c r="O32">
        <f>IF($F32="s-curve",$D32+($E32-$D32)*$I$2/(1+EXP($I$3*(COUNT($H$8:O$8)+$I$4))),TREND($D32:$E32,$D$8:$E$8,O$8))</f>
        <v>0</v>
      </c>
      <c r="P32">
        <f>IF($F32="s-curve",$D32+($E32-$D32)*$I$2/(1+EXP($I$3*(COUNT($H$8:P$8)+$I$4))),TREND($D32:$E32,$D$8:$E$8,P$8))</f>
        <v>0</v>
      </c>
      <c r="Q32">
        <f>IF($F32="s-curve",$D32+($E32-$D32)*$I$2/(1+EXP($I$3*(COUNT($H$8:Q$8)+$I$4))),TREND($D32:$E32,$D$8:$E$8,Q$8))</f>
        <v>0</v>
      </c>
      <c r="R32">
        <f>IF($F32="s-curve",$D32+($E32-$D32)*$I$2/(1+EXP($I$3*(COUNT($H$8:R$8)+$I$4))),TREND($D32:$E32,$D$8:$E$8,R$8))</f>
        <v>0</v>
      </c>
      <c r="S32">
        <f>IF($F32="s-curve",$D32+($E32-$D32)*$I$2/(1+EXP($I$3*(COUNT($H$8:S$8)+$I$4))),TREND($D32:$E32,$D$8:$E$8,S$8))</f>
        <v>0</v>
      </c>
      <c r="T32">
        <f>IF($F32="s-curve",$D32+($E32-$D32)*$I$2/(1+EXP($I$3*(COUNT($H$8:T$8)+$I$4))),TREND($D32:$E32,$D$8:$E$8,T$8))</f>
        <v>0</v>
      </c>
      <c r="U32">
        <f>IF($F32="s-curve",$D32+($E32-$D32)*$I$2/(1+EXP($I$3*(COUNT($H$8:U$8)+$I$4))),TREND($D32:$E32,$D$8:$E$8,U$8))</f>
        <v>0</v>
      </c>
      <c r="V32">
        <f>IF($F32="s-curve",$D32+($E32-$D32)*$I$2/(1+EXP($I$3*(COUNT($H$8:V$8)+$I$4))),TREND($D32:$E32,$D$8:$E$8,V$8))</f>
        <v>0</v>
      </c>
      <c r="W32">
        <f>IF($F32="s-curve",$D32+($E32-$D32)*$I$2/(1+EXP($I$3*(COUNT($H$8:W$8)+$I$4))),TREND($D32:$E32,$D$8:$E$8,W$8))</f>
        <v>0</v>
      </c>
      <c r="X32">
        <f>IF($F32="s-curve",$D32+($E32-$D32)*$I$2/(1+EXP($I$3*(COUNT($H$8:X$8)+$I$4))),TREND($D32:$E32,$D$8:$E$8,X$8))</f>
        <v>0</v>
      </c>
      <c r="Y32">
        <f>IF($F32="s-curve",$D32+($E32-$D32)*$I$2/(1+EXP($I$3*(COUNT($H$8:Y$8)+$I$4))),TREND($D32:$E32,$D$8:$E$8,Y$8))</f>
        <v>0</v>
      </c>
      <c r="Z32">
        <f>IF($F32="s-curve",$D32+($E32-$D32)*$I$2/(1+EXP($I$3*(COUNT($H$8:Z$8)+$I$4))),TREND($D32:$E32,$D$8:$E$8,Z$8))</f>
        <v>0</v>
      </c>
      <c r="AA32">
        <f>IF($F32="s-curve",$D32+($E32-$D32)*$I$2/(1+EXP($I$3*(COUNT($H$8:AA$8)+$I$4))),TREND($D32:$E32,$D$8:$E$8,AA$8))</f>
        <v>0</v>
      </c>
      <c r="AB32">
        <f>IF($F32="s-curve",$D32+($E32-$D32)*$I$2/(1+EXP($I$3*(COUNT($H$8:AB$8)+$I$4))),TREND($D32:$E32,$D$8:$E$8,AB$8))</f>
        <v>0</v>
      </c>
      <c r="AC32">
        <f>IF($F32="s-curve",$D32+($E32-$D32)*$I$2/(1+EXP($I$3*(COUNT($H$8:AC$8)+$I$4))),TREND($D32:$E32,$D$8:$E$8,AC$8))</f>
        <v>0</v>
      </c>
      <c r="AD32">
        <f>IF($F32="s-curve",$D32+($E32-$D32)*$I$2/(1+EXP($I$3*(COUNT($H$8:AD$8)+$I$4))),TREND($D32:$E32,$D$8:$E$8,AD$8))</f>
        <v>0</v>
      </c>
      <c r="AE32">
        <f>IF($F32="s-curve",$D32+($E32-$D32)*$I$2/(1+EXP($I$3*(COUNT($H$8:AE$8)+$I$4))),TREND($D32:$E32,$D$8:$E$8,AE$8))</f>
        <v>0</v>
      </c>
      <c r="AF32">
        <f>IF($F32="s-curve",$D32+($E32-$D32)*$I$2/(1+EXP($I$3*(COUNT($H$8:AF$8)+$I$4))),TREND($D32:$E32,$D$8:$E$8,AF$8))</f>
        <v>0</v>
      </c>
      <c r="AG32">
        <f>IF($F32="s-curve",$D32+($E32-$D32)*$I$2/(1+EXP($I$3*(COUNT($H$8:AG$8)+$I$4))),TREND($D32:$E32,$D$8:$E$8,AG$8))</f>
        <v>0</v>
      </c>
      <c r="AH32">
        <f>IF($F32="s-curve",$D32+($E32-$D32)*$I$2/(1+EXP($I$3*(COUNT($H$8:AH$8)+$I$4))),TREND($D32:$E32,$D$8:$E$8,AH$8))</f>
        <v>0</v>
      </c>
      <c r="AI32">
        <f>IF($F32="s-curve",$D32+($E32-$D32)*$I$2/(1+EXP($I$3*(COUNT($H$8:AI$8)+$I$4))),TREND($D32:$E32,$D$8:$E$8,AI$8))</f>
        <v>0</v>
      </c>
      <c r="AJ32">
        <f>IF($F32="s-curve",$D32+($E32-$D32)*$I$2/(1+EXP($I$3*(COUNT($H$8:AJ$8)+$I$4))),TREND($D32:$E32,$D$8:$E$8,AJ$8))</f>
        <v>0</v>
      </c>
      <c r="AK32">
        <f>IF($F32="s-curve",$D32+($E32-$D32)*$I$2/(1+EXP($I$3*(COUNT($H$8:AK$8)+$I$4))),TREND($D32:$E32,$D$8:$E$8,AK$8))</f>
        <v>0</v>
      </c>
      <c r="AL32">
        <f>IF($F32="s-curve",$D32+($E32-$D32)*$I$2/(1+EXP($I$3*(COUNT($H$8:AL$8)+$I$4))),TREND($D32:$E32,$D$8:$E$8,AL$8))</f>
        <v>0</v>
      </c>
      <c r="AM32">
        <f>IF($F32="s-curve",$D32+($E32-$D32)*$I$2/(1+EXP($I$3*(COUNT($H$8:AM$8)+$I$4))),TREND($D32:$E32,$D$8:$E$8,AM$8))</f>
        <v>0</v>
      </c>
      <c r="AN32">
        <f>IF($F32="s-curve",$D32+($E32-$D32)*$I$2/(1+EXP($I$3*(COUNT($H$8:AN$8)+$I$4))),TREND($D32:$E32,$D$8:$E$8,AN$8))</f>
        <v>0</v>
      </c>
      <c r="AO32">
        <f>IF($F32="s-curve",$D32+($E32-$D32)*$I$2/(1+EXP($I$3*(COUNT($H$8:AO$8)+$I$4))),TREND($D32:$E32,$D$8:$E$8,AO$8))</f>
        <v>0</v>
      </c>
      <c r="AP32">
        <f>IF($F32="s-curve",$D32+($E32-$D32)*$I$2/(1+EXP($I$3*(COUNT($H$8:AP$8)+$I$4))),TREND($D32:$E32,$D$8:$E$8,AP$8))</f>
        <v>0</v>
      </c>
      <c r="AQ32">
        <f>IF($F32="s-curve",$D32+($E32-$D32)*$I$2/(1+EXP($I$3*(COUNT($H$8:AQ$8)+$I$4))),TREND($D32:$E32,$D$8:$E$8,AQ$8))</f>
        <v>0</v>
      </c>
      <c r="AR32">
        <f>IF($F32="s-curve",$D32+($E32-$D32)*$I$2/(1+EXP($I$3*(COUNT($H$8:AR$8)+$I$4))),TREND($D32:$E32,$D$8:$E$8,AR$8))</f>
        <v>0</v>
      </c>
      <c r="AS32">
        <f>IF($F32="s-curve",$D32+($E32-$D32)*$I$2/(1+EXP($I$3*(COUNT($H$8:AS$8)+$I$4))),TREND($D32:$E32,$D$8:$E$8,AS$8))</f>
        <v>0</v>
      </c>
      <c r="AT32">
        <f>IF($F32="s-curve",$D32+($E32-$D32)*$I$2/(1+EXP($I$3*(COUNT($H$8:AT$8)+$I$4))),TREND($D32:$E32,$D$8:$E$8,AT$8))</f>
        <v>0</v>
      </c>
      <c r="AU32">
        <f>IF($F32="s-curve",$D32+($E32-$D32)*$I$2/(1+EXP($I$3*(COUNT($H$8:AU$8)+$I$4))),TREND($D32:$E32,$D$8:$E$8,AU$8))</f>
        <v>0</v>
      </c>
      <c r="AV32">
        <f>IF($F32="s-curve",$D32+($E32-$D32)*$I$2/(1+EXP($I$3*(COUNT($H$8:AV$8)+$I$4))),TREND($D32:$E32,$D$8:$E$8,AV$8))</f>
        <v>0</v>
      </c>
    </row>
    <row r="33" spans="1:48" x14ac:dyDescent="0.15">
      <c r="C33" t="s">
        <v>4</v>
      </c>
      <c r="D33">
        <v>1</v>
      </c>
      <c r="E33">
        <v>1</v>
      </c>
      <c r="F33" s="7" t="str">
        <f>IF(D33=E33,"n/a",IF(OR(C33="battery electric vehicle",C33="natural gas vehicle",C33="plugin hybrid vehicle"),"s-curve","linear"))</f>
        <v>n/a</v>
      </c>
      <c r="H33" s="22">
        <f t="shared" si="22"/>
        <v>1</v>
      </c>
      <c r="I33">
        <f>IF($F33="s-curve",$D33+($E33-$D33)*$I$2/(1+EXP($I$3*(COUNT($H$8:I$8)+$I$4))),TREND($D33:$E33,$D$8:$E$8,I$8))</f>
        <v>1</v>
      </c>
      <c r="J33">
        <f>IF($F33="s-curve",$D33+($E33-$D33)*$I$2/(1+EXP($I$3*(COUNT($H$8:J$8)+$I$4))),TREND($D33:$E33,$D$8:$E$8,J$8))</f>
        <v>1</v>
      </c>
      <c r="K33">
        <f>IF($F33="s-curve",$D33+($E33-$D33)*$I$2/(1+EXP($I$3*(COUNT($H$8:K$8)+$I$4))),TREND($D33:$E33,$D$8:$E$8,K$8))</f>
        <v>1</v>
      </c>
      <c r="L33">
        <f>IF($F33="s-curve",$D33+($E33-$D33)*$I$2/(1+EXP($I$3*(COUNT($H$8:L$8)+$I$4))),TREND($D33:$E33,$D$8:$E$8,L$8))</f>
        <v>1</v>
      </c>
      <c r="M33">
        <f>IF($F33="s-curve",$D33+($E33-$D33)*$I$2/(1+EXP($I$3*(COUNT($H$8:M$8)+$I$4))),TREND($D33:$E33,$D$8:$E$8,M$8))</f>
        <v>1</v>
      </c>
      <c r="N33">
        <f>IF($F33="s-curve",$D33+($E33-$D33)*$I$2/(1+EXP($I$3*(COUNT($H$8:N$8)+$I$4))),TREND($D33:$E33,$D$8:$E$8,N$8))</f>
        <v>1</v>
      </c>
      <c r="O33">
        <f>IF($F33="s-curve",$D33+($E33-$D33)*$I$2/(1+EXP($I$3*(COUNT($H$8:O$8)+$I$4))),TREND($D33:$E33,$D$8:$E$8,O$8))</f>
        <v>1</v>
      </c>
      <c r="P33">
        <f>IF($F33="s-curve",$D33+($E33-$D33)*$I$2/(1+EXP($I$3*(COUNT($H$8:P$8)+$I$4))),TREND($D33:$E33,$D$8:$E$8,P$8))</f>
        <v>1</v>
      </c>
      <c r="Q33">
        <f>IF($F33="s-curve",$D33+($E33-$D33)*$I$2/(1+EXP($I$3*(COUNT($H$8:Q$8)+$I$4))),TREND($D33:$E33,$D$8:$E$8,Q$8))</f>
        <v>1</v>
      </c>
      <c r="R33">
        <f>IF($F33="s-curve",$D33+($E33-$D33)*$I$2/(1+EXP($I$3*(COUNT($H$8:R$8)+$I$4))),TREND($D33:$E33,$D$8:$E$8,R$8))</f>
        <v>1</v>
      </c>
      <c r="S33">
        <f>IF($F33="s-curve",$D33+($E33-$D33)*$I$2/(1+EXP($I$3*(COUNT($H$8:S$8)+$I$4))),TREND($D33:$E33,$D$8:$E$8,S$8))</f>
        <v>1</v>
      </c>
      <c r="T33">
        <f>IF($F33="s-curve",$D33+($E33-$D33)*$I$2/(1+EXP($I$3*(COUNT($H$8:T$8)+$I$4))),TREND($D33:$E33,$D$8:$E$8,T$8))</f>
        <v>1</v>
      </c>
      <c r="U33">
        <f>IF($F33="s-curve",$D33+($E33-$D33)*$I$2/(1+EXP($I$3*(COUNT($H$8:U$8)+$I$4))),TREND($D33:$E33,$D$8:$E$8,U$8))</f>
        <v>1</v>
      </c>
      <c r="V33">
        <f>IF($F33="s-curve",$D33+($E33-$D33)*$I$2/(1+EXP($I$3*(COUNT($H$8:V$8)+$I$4))),TREND($D33:$E33,$D$8:$E$8,V$8))</f>
        <v>1</v>
      </c>
      <c r="W33">
        <f>IF($F33="s-curve",$D33+($E33-$D33)*$I$2/(1+EXP($I$3*(COUNT($H$8:W$8)+$I$4))),TREND($D33:$E33,$D$8:$E$8,W$8))</f>
        <v>1</v>
      </c>
      <c r="X33">
        <f>IF($F33="s-curve",$D33+($E33-$D33)*$I$2/(1+EXP($I$3*(COUNT($H$8:X$8)+$I$4))),TREND($D33:$E33,$D$8:$E$8,X$8))</f>
        <v>1</v>
      </c>
      <c r="Y33">
        <f>IF($F33="s-curve",$D33+($E33-$D33)*$I$2/(1+EXP($I$3*(COUNT($H$8:Y$8)+$I$4))),TREND($D33:$E33,$D$8:$E$8,Y$8))</f>
        <v>1</v>
      </c>
      <c r="Z33">
        <f>IF($F33="s-curve",$D33+($E33-$D33)*$I$2/(1+EXP($I$3*(COUNT($H$8:Z$8)+$I$4))),TREND($D33:$E33,$D$8:$E$8,Z$8))</f>
        <v>1</v>
      </c>
      <c r="AA33">
        <f>IF($F33="s-curve",$D33+($E33-$D33)*$I$2/(1+EXP($I$3*(COUNT($H$8:AA$8)+$I$4))),TREND($D33:$E33,$D$8:$E$8,AA$8))</f>
        <v>1</v>
      </c>
      <c r="AB33">
        <f>IF($F33="s-curve",$D33+($E33-$D33)*$I$2/(1+EXP($I$3*(COUNT($H$8:AB$8)+$I$4))),TREND($D33:$E33,$D$8:$E$8,AB$8))</f>
        <v>1</v>
      </c>
      <c r="AC33">
        <f>IF($F33="s-curve",$D33+($E33-$D33)*$I$2/(1+EXP($I$3*(COUNT($H$8:AC$8)+$I$4))),TREND($D33:$E33,$D$8:$E$8,AC$8))</f>
        <v>1</v>
      </c>
      <c r="AD33">
        <f>IF($F33="s-curve",$D33+($E33-$D33)*$I$2/(1+EXP($I$3*(COUNT($H$8:AD$8)+$I$4))),TREND($D33:$E33,$D$8:$E$8,AD$8))</f>
        <v>1</v>
      </c>
      <c r="AE33">
        <f>IF($F33="s-curve",$D33+($E33-$D33)*$I$2/(1+EXP($I$3*(COUNT($H$8:AE$8)+$I$4))),TREND($D33:$E33,$D$8:$E$8,AE$8))</f>
        <v>1</v>
      </c>
      <c r="AF33">
        <f>IF($F33="s-curve",$D33+($E33-$D33)*$I$2/(1+EXP($I$3*(COUNT($H$8:AF$8)+$I$4))),TREND($D33:$E33,$D$8:$E$8,AF$8))</f>
        <v>1</v>
      </c>
      <c r="AG33">
        <f>IF($F33="s-curve",$D33+($E33-$D33)*$I$2/(1+EXP($I$3*(COUNT($H$8:AG$8)+$I$4))),TREND($D33:$E33,$D$8:$E$8,AG$8))</f>
        <v>1</v>
      </c>
      <c r="AH33">
        <f>IF($F33="s-curve",$D33+($E33-$D33)*$I$2/(1+EXP($I$3*(COUNT($H$8:AH$8)+$I$4))),TREND($D33:$E33,$D$8:$E$8,AH$8))</f>
        <v>1</v>
      </c>
      <c r="AI33">
        <f>IF($F33="s-curve",$D33+($E33-$D33)*$I$2/(1+EXP($I$3*(COUNT($H$8:AI$8)+$I$4))),TREND($D33:$E33,$D$8:$E$8,AI$8))</f>
        <v>1</v>
      </c>
      <c r="AJ33">
        <f>IF($F33="s-curve",$D33+($E33-$D33)*$I$2/(1+EXP($I$3*(COUNT($H$8:AJ$8)+$I$4))),TREND($D33:$E33,$D$8:$E$8,AJ$8))</f>
        <v>1</v>
      </c>
      <c r="AK33">
        <f>IF($F33="s-curve",$D33+($E33-$D33)*$I$2/(1+EXP($I$3*(COUNT($H$8:AK$8)+$I$4))),TREND($D33:$E33,$D$8:$E$8,AK$8))</f>
        <v>1</v>
      </c>
      <c r="AL33">
        <f>IF($F33="s-curve",$D33+($E33-$D33)*$I$2/(1+EXP($I$3*(COUNT($H$8:AL$8)+$I$4))),TREND($D33:$E33,$D$8:$E$8,AL$8))</f>
        <v>1</v>
      </c>
      <c r="AM33">
        <f>IF($F33="s-curve",$D33+($E33-$D33)*$I$2/(1+EXP($I$3*(COUNT($H$8:AM$8)+$I$4))),TREND($D33:$E33,$D$8:$E$8,AM$8))</f>
        <v>1</v>
      </c>
      <c r="AN33">
        <f>IF($F33="s-curve",$D33+($E33-$D33)*$I$2/(1+EXP($I$3*(COUNT($H$8:AN$8)+$I$4))),TREND($D33:$E33,$D$8:$E$8,AN$8))</f>
        <v>1</v>
      </c>
      <c r="AO33">
        <f>IF($F33="s-curve",$D33+($E33-$D33)*$I$2/(1+EXP($I$3*(COUNT($H$8:AO$8)+$I$4))),TREND($D33:$E33,$D$8:$E$8,AO$8))</f>
        <v>1</v>
      </c>
      <c r="AP33">
        <f>IF($F33="s-curve",$D33+($E33-$D33)*$I$2/(1+EXP($I$3*(COUNT($H$8:AP$8)+$I$4))),TREND($D33:$E33,$D$8:$E$8,AP$8))</f>
        <v>1</v>
      </c>
      <c r="AQ33">
        <f>IF($F33="s-curve",$D33+($E33-$D33)*$I$2/(1+EXP($I$3*(COUNT($H$8:AQ$8)+$I$4))),TREND($D33:$E33,$D$8:$E$8,AQ$8))</f>
        <v>1</v>
      </c>
      <c r="AR33">
        <f>IF($F33="s-curve",$D33+($E33-$D33)*$I$2/(1+EXP($I$3*(COUNT($H$8:AR$8)+$I$4))),TREND($D33:$E33,$D$8:$E$8,AR$8))</f>
        <v>1</v>
      </c>
      <c r="AS33">
        <f>IF($F33="s-curve",$D33+($E33-$D33)*$I$2/(1+EXP($I$3*(COUNT($H$8:AS$8)+$I$4))),TREND($D33:$E33,$D$8:$E$8,AS$8))</f>
        <v>1</v>
      </c>
      <c r="AT33">
        <f>IF($F33="s-curve",$D33+($E33-$D33)*$I$2/(1+EXP($I$3*(COUNT($H$8:AT$8)+$I$4))),TREND($D33:$E33,$D$8:$E$8,AT$8))</f>
        <v>1</v>
      </c>
      <c r="AU33">
        <f>IF($F33="s-curve",$D33+($E33-$D33)*$I$2/(1+EXP($I$3*(COUNT($H$8:AU$8)+$I$4))),TREND($D33:$E33,$D$8:$E$8,AU$8))</f>
        <v>1</v>
      </c>
      <c r="AV33">
        <f>IF($F33="s-curve",$D33+($E33-$D33)*$I$2/(1+EXP($I$3*(COUNT($H$8:AV$8)+$I$4))),TREND($D33:$E33,$D$8:$E$8,AV$8))</f>
        <v>1</v>
      </c>
    </row>
    <row r="34" spans="1:48" x14ac:dyDescent="0.15">
      <c r="C34" t="s">
        <v>5</v>
      </c>
      <c r="D34" s="22">
        <f>SUM(INDEX('AEO 49'!$211:$212,0,MATCH(D$8,'AEO 49'!$1:$1,0)),INDEX('AEO 49'!$222:$223,0,MATCH(D$8,'AEO 49'!$1:$1,0)),INDEX('AEO 49'!$233:$234,0,MATCH(D$8,'AEO 49'!$1:$1,0)))/INDEX('AEO 49'!$237:$237,MATCH(D$8,'AEO 49'!$1:$1,0))</f>
        <v>2.5084052037829961E-3</v>
      </c>
      <c r="E34" s="22">
        <f>SUM(INDEX('AEO 49'!$211:$212,0,MATCH(E$8,'AEO 49'!$1:$1,0)),INDEX('AEO 49'!$222:$223,0,MATCH(E$8,'AEO 49'!$1:$1,0)),INDEX('AEO 49'!$233:$234,0,MATCH(E$8,'AEO 49'!$1:$1,0)))*Assumptions!A2/INDEX('AEO 49'!$237:$237,MATCH(E$8,'AEO 49'!$1:$1,0))</f>
        <v>2.7600582563227494E-2</v>
      </c>
      <c r="F34" s="7" t="str">
        <f>IF(D34=E34,"n/a",IF(OR(C34="battery electric vehicle",C34="natural gas vehicle",C34="plugin hybrid vehicle"),"s-curve","linear"))</f>
        <v>s-curve</v>
      </c>
      <c r="H34" s="22">
        <f t="shared" si="22"/>
        <v>2.5084052037829961E-3</v>
      </c>
      <c r="I34">
        <f>IF($F34="s-curve",$D34+($E34-$D34)*$I$2/(1+EXP($I$3*(COUNT($H$8:I$8)+$I$4))),TREND($D34:$E34,$D$8:$E$8,I$8))</f>
        <v>2.8791178273446577E-3</v>
      </c>
      <c r="J34">
        <f>IF($F34="s-curve",$D34+($E34-$D34)*$I$2/(1+EXP($I$3*(COUNT($H$8:J$8)+$I$4))),TREND($D34:$E34,$D$8:$E$8,J$8))</f>
        <v>3.0062416741280726E-3</v>
      </c>
      <c r="K34">
        <f>IF($F34="s-curve",$D34+($E34-$D34)*$I$2/(1+EXP($I$3*(COUNT($H$8:K$8)+$I$4))),TREND($D34:$E34,$D$8:$E$8,K$8))</f>
        <v>3.1757816838417206E-3</v>
      </c>
      <c r="L34">
        <f>IF($F34="s-curve",$D34+($E34-$D34)*$I$2/(1+EXP($I$3*(COUNT($H$8:L$8)+$I$4))),TREND($D34:$E34,$D$8:$E$8,L$8))</f>
        <v>3.4009637938983528E-3</v>
      </c>
      <c r="M34">
        <f>IF($F34="s-curve",$D34+($E34-$D34)*$I$2/(1+EXP($I$3*(COUNT($H$8:M$8)+$I$4))),TREND($D34:$E34,$D$8:$E$8,M$8))</f>
        <v>3.6984236249810237E-3</v>
      </c>
      <c r="N34">
        <f>IF($F34="s-curve",$D34+($E34-$D34)*$I$2/(1+EXP($I$3*(COUNT($H$8:N$8)+$I$4))),TREND($D34:$E34,$D$8:$E$8,N$8))</f>
        <v>4.0885438228846008E-3</v>
      </c>
      <c r="O34">
        <f>IF($F34="s-curve",$D34+($E34-$D34)*$I$2/(1+EXP($I$3*(COUNT($H$8:O$8)+$I$4))),TREND($D34:$E34,$D$8:$E$8,O$8))</f>
        <v>4.5953892556717443E-3</v>
      </c>
      <c r="P34">
        <f>IF($F34="s-curve",$D34+($E34-$D34)*$I$2/(1+EXP($I$3*(COUNT($H$8:P$8)+$I$4))),TREND($D34:$E34,$D$8:$E$8,P$8))</f>
        <v>5.2458819905749198E-3</v>
      </c>
      <c r="Q34">
        <f>IF($F34="s-curve",$D34+($E34-$D34)*$I$2/(1+EXP($I$3*(COUNT($H$8:Q$8)+$I$4))),TREND($D34:$E34,$D$8:$E$8,Q$8))</f>
        <v>6.0677572828921091E-3</v>
      </c>
      <c r="R34">
        <f>IF($F34="s-curve",$D34+($E34-$D34)*$I$2/(1+EXP($I$3*(COUNT($H$8:R$8)+$I$4))),TREND($D34:$E34,$D$8:$E$8,R$8))</f>
        <v>7.0858588020216544E-3</v>
      </c>
      <c r="S34">
        <f>IF($F34="s-curve",$D34+($E34-$D34)*$I$2/(1+EXP($I$3*(COUNT($H$8:S$8)+$I$4))),TREND($D34:$E34,$D$8:$E$8,S$8))</f>
        <v>8.3166223905414595E-3</v>
      </c>
      <c r="T34">
        <f>IF($F34="s-curve",$D34+($E34-$D34)*$I$2/(1+EXP($I$3*(COUNT($H$8:T$8)+$I$4))),TREND($D34:$E34,$D$8:$E$8,T$8))</f>
        <v>9.7613115497520442E-3</v>
      </c>
      <c r="U34">
        <f>IF($F34="s-curve",$D34+($E34-$D34)*$I$2/(1+EXP($I$3*(COUNT($H$8:U$8)+$I$4))),TREND($D34:$E34,$D$8:$E$8,U$8))</f>
        <v>1.1399660014166025E-2</v>
      </c>
      <c r="V34">
        <f>IF($F34="s-curve",$D34+($E34-$D34)*$I$2/(1+EXP($I$3*(COUNT($H$8:V$8)+$I$4))),TREND($D34:$E34,$D$8:$E$8,V$8))</f>
        <v>1.3186569048583669E-2</v>
      </c>
      <c r="W34">
        <f>IF($F34="s-curve",$D34+($E34-$D34)*$I$2/(1+EXP($I$3*(COUNT($H$8:W$8)+$I$4))),TREND($D34:$E34,$D$8:$E$8,W$8))</f>
        <v>1.5054493883505245E-2</v>
      </c>
      <c r="X34">
        <f>IF($F34="s-curve",$D34+($E34-$D34)*$I$2/(1+EXP($I$3*(COUNT($H$8:X$8)+$I$4))),TREND($D34:$E34,$D$8:$E$8,X$8))</f>
        <v>1.6922418718426823E-2</v>
      </c>
      <c r="Y34">
        <f>IF($F34="s-curve",$D34+($E34-$D34)*$I$2/(1+EXP($I$3*(COUNT($H$8:Y$8)+$I$4))),TREND($D34:$E34,$D$8:$E$8,Y$8))</f>
        <v>1.8709327752844465E-2</v>
      </c>
      <c r="Z34">
        <f>IF($F34="s-curve",$D34+($E34-$D34)*$I$2/(1+EXP($I$3*(COUNT($H$8:Z$8)+$I$4))),TREND($D34:$E34,$D$8:$E$8,Z$8))</f>
        <v>2.0347676217258446E-2</v>
      </c>
      <c r="AA34">
        <f>IF($F34="s-curve",$D34+($E34-$D34)*$I$2/(1+EXP($I$3*(COUNT($H$8:AA$8)+$I$4))),TREND($D34:$E34,$D$8:$E$8,AA$8))</f>
        <v>2.1792365376469031E-2</v>
      </c>
      <c r="AB34">
        <f>IF($F34="s-curve",$D34+($E34-$D34)*$I$2/(1+EXP($I$3*(COUNT($H$8:AB$8)+$I$4))),TREND($D34:$E34,$D$8:$E$8,AB$8))</f>
        <v>2.3023128964988836E-2</v>
      </c>
      <c r="AC34">
        <f>IF($F34="s-curve",$D34+($E34-$D34)*$I$2/(1+EXP($I$3*(COUNT($H$8:AC$8)+$I$4))),TREND($D34:$E34,$D$8:$E$8,AC$8))</f>
        <v>2.4041230484118385E-2</v>
      </c>
      <c r="AD34">
        <f>IF($F34="s-curve",$D34+($E34-$D34)*$I$2/(1+EXP($I$3*(COUNT($H$8:AD$8)+$I$4))),TREND($D34:$E34,$D$8:$E$8,AD$8))</f>
        <v>2.4863105776435572E-2</v>
      </c>
      <c r="AE34">
        <f>IF($F34="s-curve",$D34+($E34-$D34)*$I$2/(1+EXP($I$3*(COUNT($H$8:AE$8)+$I$4))),TREND($D34:$E34,$D$8:$E$8,AE$8))</f>
        <v>2.5513598511338748E-2</v>
      </c>
      <c r="AF34">
        <f>IF($F34="s-curve",$D34+($E34-$D34)*$I$2/(1+EXP($I$3*(COUNT($H$8:AF$8)+$I$4))),TREND($D34:$E34,$D$8:$E$8,AF$8))</f>
        <v>2.6020443944125889E-2</v>
      </c>
      <c r="AG34">
        <f>IF($F34="s-curve",$D34+($E34-$D34)*$I$2/(1+EXP($I$3*(COUNT($H$8:AG$8)+$I$4))),TREND($D34:$E34,$D$8:$E$8,AG$8))</f>
        <v>2.6410564142029469E-2</v>
      </c>
      <c r="AH34">
        <f>IF($F34="s-curve",$D34+($E34-$D34)*$I$2/(1+EXP($I$3*(COUNT($H$8:AH$8)+$I$4))),TREND($D34:$E34,$D$8:$E$8,AH$8))</f>
        <v>2.6708023973112137E-2</v>
      </c>
      <c r="AI34">
        <f>IF($F34="s-curve",$D34+($E34-$D34)*$I$2/(1+EXP($I$3*(COUNT($H$8:AI$8)+$I$4))),TREND($D34:$E34,$D$8:$E$8,AI$8))</f>
        <v>2.6933206083168768E-2</v>
      </c>
      <c r="AJ34">
        <f>IF($F34="s-curve",$D34+($E34-$D34)*$I$2/(1+EXP($I$3*(COUNT($H$8:AJ$8)+$I$4))),TREND($D34:$E34,$D$8:$E$8,AJ$8))</f>
        <v>2.7102746092882418E-2</v>
      </c>
      <c r="AK34">
        <f>IF($F34="s-curve",$D34+($E34-$D34)*$I$2/(1+EXP($I$3*(COUNT($H$8:AK$8)+$I$4))),TREND($D34:$E34,$D$8:$E$8,AK$8))</f>
        <v>2.7229869939665832E-2</v>
      </c>
      <c r="AL34">
        <f>IF($F34="s-curve",$D34+($E34-$D34)*$I$2/(1+EXP($I$3*(COUNT($H$8:AL$8)+$I$4))),TREND($D34:$E34,$D$8:$E$8,AL$8))</f>
        <v>2.732489625010261E-2</v>
      </c>
      <c r="AM34">
        <f>IF($F34="s-curve",$D34+($E34-$D34)*$I$2/(1+EXP($I$3*(COUNT($H$8:AM$8)+$I$4))),TREND($D34:$E34,$D$8:$E$8,AM$8))</f>
        <v>2.7395765880143322E-2</v>
      </c>
      <c r="AN34">
        <f>IF($F34="s-curve",$D34+($E34-$D34)*$I$2/(1+EXP($I$3*(COUNT($H$8:AN$8)+$I$4))),TREND($D34:$E34,$D$8:$E$8,AN$8))</f>
        <v>2.7448528949437636E-2</v>
      </c>
      <c r="AO34">
        <f>IF($F34="s-curve",$D34+($E34-$D34)*$I$2/(1+EXP($I$3*(COUNT($H$8:AO$8)+$I$4))),TREND($D34:$E34,$D$8:$E$8,AO$8))</f>
        <v>2.7487761279616649E-2</v>
      </c>
      <c r="AP34">
        <f>IF($F34="s-curve",$D34+($E34-$D34)*$I$2/(1+EXP($I$3*(COUNT($H$8:AP$8)+$I$4))),TREND($D34:$E34,$D$8:$E$8,AP$8))</f>
        <v>2.7516904986810309E-2</v>
      </c>
      <c r="AQ34">
        <f>IF($F34="s-curve",$D34+($E34-$D34)*$I$2/(1+EXP($I$3*(COUNT($H$8:AQ$8)+$I$4))),TREND($D34:$E34,$D$8:$E$8,AQ$8))</f>
        <v>2.7538539064438147E-2</v>
      </c>
      <c r="AR34">
        <f>IF($F34="s-curve",$D34+($E34-$D34)*$I$2/(1+EXP($I$3*(COUNT($H$8:AR$8)+$I$4))),TREND($D34:$E34,$D$8:$E$8,AR$8))</f>
        <v>2.7554590134193431E-2</v>
      </c>
      <c r="AS34">
        <f>IF($F34="s-curve",$D34+($E34-$D34)*$I$2/(1+EXP($I$3*(COUNT($H$8:AS$8)+$I$4))),TREND($D34:$E34,$D$8:$E$8,AS$8))</f>
        <v>2.7566494339684989E-2</v>
      </c>
      <c r="AT34">
        <f>IF($F34="s-curve",$D34+($E34-$D34)*$I$2/(1+EXP($I$3*(COUNT($H$8:AT$8)+$I$4))),TREND($D34:$E34,$D$8:$E$8,AT$8))</f>
        <v>2.7575320491249593E-2</v>
      </c>
      <c r="AU34">
        <f>IF($F34="s-curve",$D34+($E34-$D34)*$I$2/(1+EXP($I$3*(COUNT($H$8:AU$8)+$I$4))),TREND($D34:$E34,$D$8:$E$8,AU$8))</f>
        <v>2.7581863075413608E-2</v>
      </c>
      <c r="AV34">
        <f>IF($F34="s-curve",$D34+($E34-$D34)*$I$2/(1+EXP($I$3*(COUNT($H$8:AV$8)+$I$4))),TREND($D34:$E34,$D$8:$E$8,AV$8))</f>
        <v>2.7586712143629295E-2</v>
      </c>
    </row>
    <row r="35" spans="1:48" x14ac:dyDescent="0.15">
      <c r="C35" t="s">
        <v>125</v>
      </c>
      <c r="D35" s="22">
        <f>'SYVbT-freight'!G3/SUM('SYVbT-freight'!3:3)</f>
        <v>0</v>
      </c>
      <c r="E35" s="22">
        <f>SUM(SUM(INDEX('AEO 49'!136:136,0,MATCH(E$8,'AEO 49'!$1:$1,0))),SUM(INDEX('AEO 49'!147:147,0,MATCH(E$8,'AEO 49'!$1:$1,0))),SUM(INDEX('AEO 49'!158:158,0,MATCH(E$8,'AEO 49'!$1:$1,0))))/INDEX('AEO 49'!$166:$166,MATCH(E$8,'AEO 49'!$1:$1,0))*Assumptions!A11</f>
        <v>6.1785980743151968E-3</v>
      </c>
      <c r="F35" s="7" t="str">
        <f>IF(D35=E35,"n/a",IF(OR(C35="battery electric vehicle",C35="natural gas vehicle",C35="plugin hybrid vehicle",C35="hydrogen vehicle"),"s-curve","linear"))</f>
        <v>linear</v>
      </c>
      <c r="H35" s="22">
        <f t="shared" si="22"/>
        <v>0</v>
      </c>
      <c r="I35">
        <f>IF($F35="s-curve",$D35+($E35-$D35)*$I$2/(1+EXP($I$3*(COUNT($H$8:I$8)+$I$4))),TREND($D35:$E35,$D$8:$E$8,I$8))</f>
        <v>2.4714392297264798E-4</v>
      </c>
      <c r="J35">
        <f>IF($F35="s-curve",$D35+($E35-$D35)*$I$2/(1+EXP($I$3*(COUNT($H$8:J$8)+$I$4))),TREND($D35:$E35,$D$8:$E$8,J$8))</f>
        <v>4.9428784594529596E-4</v>
      </c>
      <c r="K35">
        <f>IF($F35="s-curve",$D35+($E35-$D35)*$I$2/(1+EXP($I$3*(COUNT($H$8:K$8)+$I$4))),TREND($D35:$E35,$D$8:$E$8,K$8))</f>
        <v>7.4143176891783291E-4</v>
      </c>
      <c r="L35">
        <f>IF($F35="s-curve",$D35+($E35-$D35)*$I$2/(1+EXP($I$3*(COUNT($H$8:L$8)+$I$4))),TREND($D35:$E35,$D$8:$E$8,L$8))</f>
        <v>9.8857569189048089E-4</v>
      </c>
      <c r="M35">
        <f>IF($F35="s-curve",$D35+($E35-$D35)*$I$2/(1+EXP($I$3*(COUNT($H$8:M$8)+$I$4))),TREND($D35:$E35,$D$8:$E$8,M$8))</f>
        <v>1.2357196148631289E-3</v>
      </c>
      <c r="N35">
        <f>IF($F35="s-curve",$D35+($E35-$D35)*$I$2/(1+EXP($I$3*(COUNT($H$8:N$8)+$I$4))),TREND($D35:$E35,$D$8:$E$8,N$8))</f>
        <v>1.4828635378356658E-3</v>
      </c>
      <c r="O35">
        <f>IF($F35="s-curve",$D35+($E35-$D35)*$I$2/(1+EXP($I$3*(COUNT($H$8:O$8)+$I$4))),TREND($D35:$E35,$D$8:$E$8,O$8))</f>
        <v>1.7300074608083138E-3</v>
      </c>
      <c r="P35">
        <f>IF($F35="s-curve",$D35+($E35-$D35)*$I$2/(1+EXP($I$3*(COUNT($H$8:P$8)+$I$4))),TREND($D35:$E35,$D$8:$E$8,P$8))</f>
        <v>1.9771513837808508E-3</v>
      </c>
      <c r="Q35">
        <f>IF($F35="s-curve",$D35+($E35-$D35)*$I$2/(1+EXP($I$3*(COUNT($H$8:Q$8)+$I$4))),TREND($D35:$E35,$D$8:$E$8,Q$8))</f>
        <v>2.2242953067534987E-3</v>
      </c>
      <c r="R35">
        <f>IF($F35="s-curve",$D35+($E35-$D35)*$I$2/(1+EXP($I$3*(COUNT($H$8:R$8)+$I$4))),TREND($D35:$E35,$D$8:$E$8,R$8))</f>
        <v>2.4714392297261467E-3</v>
      </c>
      <c r="S35">
        <f>IF($F35="s-curve",$D35+($E35-$D35)*$I$2/(1+EXP($I$3*(COUNT($H$8:S$8)+$I$4))),TREND($D35:$E35,$D$8:$E$8,S$8))</f>
        <v>2.7185831526986837E-3</v>
      </c>
      <c r="T35">
        <f>IF($F35="s-curve",$D35+($E35-$D35)*$I$2/(1+EXP($I$3*(COUNT($H$8:T$8)+$I$4))),TREND($D35:$E35,$D$8:$E$8,T$8))</f>
        <v>2.9657270756713316E-3</v>
      </c>
      <c r="U35">
        <f>IF($F35="s-curve",$D35+($E35-$D35)*$I$2/(1+EXP($I$3*(COUNT($H$8:U$8)+$I$4))),TREND($D35:$E35,$D$8:$E$8,U$8))</f>
        <v>3.2128709986439796E-3</v>
      </c>
      <c r="V35">
        <f>IF($F35="s-curve",$D35+($E35-$D35)*$I$2/(1+EXP($I$3*(COUNT($H$8:V$8)+$I$4))),TREND($D35:$E35,$D$8:$E$8,V$8))</f>
        <v>3.4600149216165166E-3</v>
      </c>
      <c r="W35">
        <f>IF($F35="s-curve",$D35+($E35-$D35)*$I$2/(1+EXP($I$3*(COUNT($H$8:W$8)+$I$4))),TREND($D35:$E35,$D$8:$E$8,W$8))</f>
        <v>3.7071588445891646E-3</v>
      </c>
      <c r="X35">
        <f>IF($F35="s-curve",$D35+($E35-$D35)*$I$2/(1+EXP($I$3*(COUNT($H$8:X$8)+$I$4))),TREND($D35:$E35,$D$8:$E$8,X$8))</f>
        <v>3.9543027675618125E-3</v>
      </c>
      <c r="Y35">
        <f>IF($F35="s-curve",$D35+($E35-$D35)*$I$2/(1+EXP($I$3*(COUNT($H$8:Y$8)+$I$4))),TREND($D35:$E35,$D$8:$E$8,Y$8))</f>
        <v>4.2014466905343495E-3</v>
      </c>
      <c r="Z35">
        <f>IF($F35="s-curve",$D35+($E35-$D35)*$I$2/(1+EXP($I$3*(COUNT($H$8:Z$8)+$I$4))),TREND($D35:$E35,$D$8:$E$8,Z$8))</f>
        <v>4.4485906135069975E-3</v>
      </c>
      <c r="AA35">
        <f>IF($F35="s-curve",$D35+($E35-$D35)*$I$2/(1+EXP($I$3*(COUNT($H$8:AA$8)+$I$4))),TREND($D35:$E35,$D$8:$E$8,AA$8))</f>
        <v>4.6957345364795344E-3</v>
      </c>
      <c r="AB35">
        <f>IF($F35="s-curve",$D35+($E35-$D35)*$I$2/(1+EXP($I$3*(COUNT($H$8:AB$8)+$I$4))),TREND($D35:$E35,$D$8:$E$8,AB$8))</f>
        <v>4.9428784594521824E-3</v>
      </c>
      <c r="AC35">
        <f>IF($F35="s-curve",$D35+($E35-$D35)*$I$2/(1+EXP($I$3*(COUNT($H$8:AC$8)+$I$4))),TREND($D35:$E35,$D$8:$E$8,AC$8))</f>
        <v>5.1900223824248304E-3</v>
      </c>
      <c r="AD35">
        <f>IF($F35="s-curve",$D35+($E35-$D35)*$I$2/(1+EXP($I$3*(COUNT($H$8:AD$8)+$I$4))),TREND($D35:$E35,$D$8:$E$8,AD$8))</f>
        <v>5.4371663053973673E-3</v>
      </c>
      <c r="AE35">
        <f>IF($F35="s-curve",$D35+($E35-$D35)*$I$2/(1+EXP($I$3*(COUNT($H$8:AE$8)+$I$4))),TREND($D35:$E35,$D$8:$E$8,AE$8))</f>
        <v>5.6843102283700153E-3</v>
      </c>
      <c r="AF35">
        <f>IF($F35="s-curve",$D35+($E35-$D35)*$I$2/(1+EXP($I$3*(COUNT($H$8:AF$8)+$I$4))),TREND($D35:$E35,$D$8:$E$8,AF$8))</f>
        <v>5.9314541513426633E-3</v>
      </c>
      <c r="AG35">
        <f>IF($F35="s-curve",$D35+($E35-$D35)*$I$2/(1+EXP($I$3*(COUNT($H$8:AG$8)+$I$4))),TREND($D35:$E35,$D$8:$E$8,AG$8))</f>
        <v>6.1785980743152003E-3</v>
      </c>
      <c r="AH35">
        <f>IF($F35="s-curve",$D35+($E35-$D35)*$I$2/(1+EXP($I$3*(COUNT($H$8:AH$8)+$I$4))),TREND($D35:$E35,$D$8:$E$8,AH$8))</f>
        <v>6.4257419972878482E-3</v>
      </c>
      <c r="AI35">
        <f>IF($F35="s-curve",$D35+($E35-$D35)*$I$2/(1+EXP($I$3*(COUNT($H$8:AI$8)+$I$4))),TREND($D35:$E35,$D$8:$E$8,AI$8))</f>
        <v>6.6728859202604962E-3</v>
      </c>
      <c r="AJ35">
        <f>IF($F35="s-curve",$D35+($E35-$D35)*$I$2/(1+EXP($I$3*(COUNT($H$8:AJ$8)+$I$4))),TREND($D35:$E35,$D$8:$E$8,AJ$8))</f>
        <v>6.9200298432330332E-3</v>
      </c>
      <c r="AK35">
        <f>IF($F35="s-curve",$D35+($E35-$D35)*$I$2/(1+EXP($I$3*(COUNT($H$8:AK$8)+$I$4))),TREND($D35:$E35,$D$8:$E$8,AK$8))</f>
        <v>7.1671737662056811E-3</v>
      </c>
      <c r="AL35">
        <f>IF($F35="s-curve",$D35+($E35-$D35)*$I$2/(1+EXP($I$3*(COUNT($H$8:AL$8)+$I$4))),TREND($D35:$E35,$D$8:$E$8,AL$8))</f>
        <v>7.4143176891782181E-3</v>
      </c>
      <c r="AM35">
        <f>IF($F35="s-curve",$D35+($E35-$D35)*$I$2/(1+EXP($I$3*(COUNT($H$8:AM$8)+$I$4))),TREND($D35:$E35,$D$8:$E$8,AM$8))</f>
        <v>7.6614616121508661E-3</v>
      </c>
      <c r="AN35">
        <f>IF($F35="s-curve",$D35+($E35-$D35)*$I$2/(1+EXP($I$3*(COUNT($H$8:AN$8)+$I$4))),TREND($D35:$E35,$D$8:$E$8,AN$8))</f>
        <v>7.9086055351235141E-3</v>
      </c>
      <c r="AO35">
        <f>IF($F35="s-curve",$D35+($E35-$D35)*$I$2/(1+EXP($I$3*(COUNT($H$8:AO$8)+$I$4))),TREND($D35:$E35,$D$8:$E$8,AO$8))</f>
        <v>8.155749458096051E-3</v>
      </c>
      <c r="AP35">
        <f>IF($F35="s-curve",$D35+($E35-$D35)*$I$2/(1+EXP($I$3*(COUNT($H$8:AP$8)+$I$4))),TREND($D35:$E35,$D$8:$E$8,AP$8))</f>
        <v>8.402893381068699E-3</v>
      </c>
      <c r="AQ35">
        <f>IF($F35="s-curve",$D35+($E35-$D35)*$I$2/(1+EXP($I$3*(COUNT($H$8:AQ$8)+$I$4))),TREND($D35:$E35,$D$8:$E$8,AQ$8))</f>
        <v>8.650037304041347E-3</v>
      </c>
      <c r="AR35">
        <f>IF($F35="s-curve",$D35+($E35-$D35)*$I$2/(1+EXP($I$3*(COUNT($H$8:AR$8)+$I$4))),TREND($D35:$E35,$D$8:$E$8,AR$8))</f>
        <v>8.8971812270138839E-3</v>
      </c>
      <c r="AS35">
        <f>IF($F35="s-curve",$D35+($E35-$D35)*$I$2/(1+EXP($I$3*(COUNT($H$8:AS$8)+$I$4))),TREND($D35:$E35,$D$8:$E$8,AS$8))</f>
        <v>9.1443251499865319E-3</v>
      </c>
      <c r="AT35">
        <f>IF($F35="s-curve",$D35+($E35-$D35)*$I$2/(1+EXP($I$3*(COUNT($H$8:AT$8)+$I$4))),TREND($D35:$E35,$D$8:$E$8,AT$8))</f>
        <v>9.3914690729591799E-3</v>
      </c>
      <c r="AU35">
        <f>IF($F35="s-curve",$D35+($E35-$D35)*$I$2/(1+EXP($I$3*(COUNT($H$8:AU$8)+$I$4))),TREND($D35:$E35,$D$8:$E$8,AU$8))</f>
        <v>9.6386129959317168E-3</v>
      </c>
      <c r="AV35">
        <f>IF($F35="s-curve",$D35+($E35-$D35)*$I$2/(1+EXP($I$3*(COUNT($H$8:AV$8)+$I$4))),TREND($D35:$E35,$D$8:$E$8,AV$8))</f>
        <v>9.8857569189043648E-3</v>
      </c>
    </row>
    <row r="36" spans="1:48" ht="13.6" thickBot="1" x14ac:dyDescent="0.2">
      <c r="A36" s="23"/>
      <c r="B36" s="23"/>
      <c r="C36" s="23" t="s">
        <v>126</v>
      </c>
      <c r="D36" s="26">
        <f>Summary!W8</f>
        <v>5.5507490686812289E-3</v>
      </c>
      <c r="E36" s="26">
        <v>0.35</v>
      </c>
      <c r="F36" s="8" t="str">
        <f>IF(D36=E36,"n/a",IF(OR(C36="battery electric vehicle",C36="natural gas vehicle",C36="plugin hybrid vehicle",C36="hydrogen vehicle"),"s-curve","linear"))</f>
        <v>s-curve</v>
      </c>
      <c r="H36" s="22">
        <f t="shared" si="22"/>
        <v>5.5507490686812289E-3</v>
      </c>
      <c r="I36">
        <f>IF($F36="s-curve",$D36+($E36-$D36)*$I$2/(1+EXP($I$3*(COUNT($H$8:I$8)+$I$4))),TREND($D36:$E36,$D$8:$E$8,I$8))</f>
        <v>1.0639653218664696E-2</v>
      </c>
      <c r="J36">
        <f>IF($F36="s-curve",$D36+($E36-$D36)*$I$2/(1+EXP($I$3*(COUNT($H$8:J$8)+$I$4))),TREND($D36:$E36,$D$8:$E$8,J$8))</f>
        <v>1.2384727517032575E-2</v>
      </c>
      <c r="K36">
        <f>IF($F36="s-curve",$D36+($E36-$D36)*$I$2/(1+EXP($I$3*(COUNT($H$8:K$8)+$I$4))),TREND($D36:$E36,$D$8:$E$8,K$8))</f>
        <v>1.4712063583257773E-2</v>
      </c>
      <c r="L36">
        <f>IF($F36="s-curve",$D36+($E36-$D36)*$I$2/(1+EXP($I$3*(COUNT($H$8:L$8)+$I$4))),TREND($D36:$E36,$D$8:$E$8,L$8))</f>
        <v>1.7803218568376921E-2</v>
      </c>
      <c r="M36">
        <f>IF($F36="s-curve",$D36+($E36-$D36)*$I$2/(1+EXP($I$3*(COUNT($H$8:M$8)+$I$4))),TREND($D36:$E36,$D$8:$E$8,M$8))</f>
        <v>2.1886555559457826E-2</v>
      </c>
      <c r="N36">
        <f>IF($F36="s-curve",$D36+($E36-$D36)*$I$2/(1+EXP($I$3*(COUNT($H$8:N$8)+$I$4))),TREND($D36:$E36,$D$8:$E$8,N$8))</f>
        <v>2.7241874391144897E-2</v>
      </c>
      <c r="O36">
        <f>IF($F36="s-curve",$D36+($E36-$D36)*$I$2/(1+EXP($I$3*(COUNT($H$8:O$8)+$I$4))),TREND($D36:$E36,$D$8:$E$8,O$8))</f>
        <v>3.419952207395071E-2</v>
      </c>
      <c r="P36">
        <f>IF($F36="s-curve",$D36+($E36-$D36)*$I$2/(1+EXP($I$3*(COUNT($H$8:P$8)+$I$4))),TREND($D36:$E36,$D$8:$E$8,P$8))</f>
        <v>4.3129067408498117E-2</v>
      </c>
      <c r="Q36">
        <f>IF($F36="s-curve",$D36+($E36-$D36)*$I$2/(1+EXP($I$3*(COUNT($H$8:Q$8)+$I$4))),TREND($D36:$E36,$D$8:$E$8,Q$8))</f>
        <v>5.4411242117464134E-2</v>
      </c>
      <c r="R36">
        <f>IF($F36="s-curve",$D36+($E36-$D36)*$I$2/(1+EXP($I$3*(COUNT($H$8:R$8)+$I$4))),TREND($D36:$E36,$D$8:$E$8,R$8))</f>
        <v>6.8387084094534131E-2</v>
      </c>
      <c r="S36">
        <f>IF($F36="s-curve",$D36+($E36-$D36)*$I$2/(1+EXP($I$3*(COUNT($H$8:S$8)+$I$4))),TREND($D36:$E36,$D$8:$E$8,S$8))</f>
        <v>8.5282214001609444E-2</v>
      </c>
      <c r="T36">
        <f>IF($F36="s-curve",$D36+($E36-$D36)*$I$2/(1+EXP($I$3*(COUNT($H$8:T$8)+$I$4))),TREND($D36:$E36,$D$8:$E$8,T$8))</f>
        <v>0.10511397637082374</v>
      </c>
      <c r="U36">
        <f>IF($F36="s-curve",$D36+($E36-$D36)*$I$2/(1+EXP($I$3*(COUNT($H$8:U$8)+$I$4))),TREND($D36:$E36,$D$8:$E$8,U$8))</f>
        <v>0.12760416896144255</v>
      </c>
      <c r="V36">
        <f>IF($F36="s-curve",$D36+($E36-$D36)*$I$2/(1+EXP($I$3*(COUNT($H$8:V$8)+$I$4))),TREND($D36:$E36,$D$8:$E$8,V$8))</f>
        <v>0.15213370538112253</v>
      </c>
      <c r="W36">
        <f>IF($F36="s-curve",$D36+($E36-$D36)*$I$2/(1+EXP($I$3*(COUNT($H$8:W$8)+$I$4))),TREND($D36:$E36,$D$8:$E$8,W$8))</f>
        <v>0.17777537453434059</v>
      </c>
      <c r="X36">
        <f>IF($F36="s-curve",$D36+($E36-$D36)*$I$2/(1+EXP($I$3*(COUNT($H$8:X$8)+$I$4))),TREND($D36:$E36,$D$8:$E$8,X$8))</f>
        <v>0.20341704368755864</v>
      </c>
      <c r="Y36">
        <f>IF($F36="s-curve",$D36+($E36-$D36)*$I$2/(1+EXP($I$3*(COUNT($H$8:Y$8)+$I$4))),TREND($D36:$E36,$D$8:$E$8,Y$8))</f>
        <v>0.22794658010723859</v>
      </c>
      <c r="Z36">
        <f>IF($F36="s-curve",$D36+($E36-$D36)*$I$2/(1+EXP($I$3*(COUNT($H$8:Z$8)+$I$4))),TREND($D36:$E36,$D$8:$E$8,Z$8))</f>
        <v>0.25043677269785747</v>
      </c>
      <c r="AA36">
        <f>IF($F36="s-curve",$D36+($E36-$D36)*$I$2/(1+EXP($I$3*(COUNT($H$8:AA$8)+$I$4))),TREND($D36:$E36,$D$8:$E$8,AA$8))</f>
        <v>0.27026853506707177</v>
      </c>
      <c r="AB36">
        <f>IF($F36="s-curve",$D36+($E36-$D36)*$I$2/(1+EXP($I$3*(COUNT($H$8:AB$8)+$I$4))),TREND($D36:$E36,$D$8:$E$8,AB$8))</f>
        <v>0.28716366497414708</v>
      </c>
      <c r="AC36">
        <f>IF($F36="s-curve",$D36+($E36-$D36)*$I$2/(1+EXP($I$3*(COUNT($H$8:AC$8)+$I$4))),TREND($D36:$E36,$D$8:$E$8,AC$8))</f>
        <v>0.30113950695121711</v>
      </c>
      <c r="AD36">
        <f>IF($F36="s-curve",$D36+($E36-$D36)*$I$2/(1+EXP($I$3*(COUNT($H$8:AD$8)+$I$4))),TREND($D36:$E36,$D$8:$E$8,AD$8))</f>
        <v>0.31242168166018308</v>
      </c>
      <c r="AE36">
        <f>IF($F36="s-curve",$D36+($E36-$D36)*$I$2/(1+EXP($I$3*(COUNT($H$8:AE$8)+$I$4))),TREND($D36:$E36,$D$8:$E$8,AE$8))</f>
        <v>0.32135122699473051</v>
      </c>
      <c r="AF36">
        <f>IF($F36="s-curve",$D36+($E36-$D36)*$I$2/(1+EXP($I$3*(COUNT($H$8:AF$8)+$I$4))),TREND($D36:$E36,$D$8:$E$8,AF$8))</f>
        <v>0.32830887467753633</v>
      </c>
      <c r="AG36">
        <f>IF($F36="s-curve",$D36+($E36-$D36)*$I$2/(1+EXP($I$3*(COUNT($H$8:AG$8)+$I$4))),TREND($D36:$E36,$D$8:$E$8,AG$8))</f>
        <v>0.33366419350922344</v>
      </c>
      <c r="AH36">
        <f>IF($F36="s-curve",$D36+($E36-$D36)*$I$2/(1+EXP($I$3*(COUNT($H$8:AH$8)+$I$4))),TREND($D36:$E36,$D$8:$E$8,AH$8))</f>
        <v>0.33774753050030432</v>
      </c>
      <c r="AI36">
        <f>IF($F36="s-curve",$D36+($E36-$D36)*$I$2/(1+EXP($I$3*(COUNT($H$8:AI$8)+$I$4))),TREND($D36:$E36,$D$8:$E$8,AI$8))</f>
        <v>0.3408386854854234</v>
      </c>
      <c r="AJ36">
        <f>IF($F36="s-curve",$D36+($E36-$D36)*$I$2/(1+EXP($I$3*(COUNT($H$8:AJ$8)+$I$4))),TREND($D36:$E36,$D$8:$E$8,AJ$8))</f>
        <v>0.34316602155164866</v>
      </c>
      <c r="AK36">
        <f>IF($F36="s-curve",$D36+($E36-$D36)*$I$2/(1+EXP($I$3*(COUNT($H$8:AK$8)+$I$4))),TREND($D36:$E36,$D$8:$E$8,AK$8))</f>
        <v>0.3449110958500165</v>
      </c>
      <c r="AL36">
        <f>IF($F36="s-curve",$D36+($E36-$D36)*$I$2/(1+EXP($I$3*(COUNT($H$8:AL$8)+$I$4))),TREND($D36:$E36,$D$8:$E$8,AL$8))</f>
        <v>0.34621555584086677</v>
      </c>
      <c r="AM36">
        <f>IF($F36="s-curve",$D36+($E36-$D36)*$I$2/(1+EXP($I$3*(COUNT($H$8:AM$8)+$I$4))),TREND($D36:$E36,$D$8:$E$8,AM$8))</f>
        <v>0.34718840848062049</v>
      </c>
      <c r="AN36">
        <f>IF($F36="s-curve",$D36+($E36-$D36)*$I$2/(1+EXP($I$3*(COUNT($H$8:AN$8)+$I$4))),TREND($D36:$E36,$D$8:$E$8,AN$8))</f>
        <v>0.34791270591543133</v>
      </c>
      <c r="AO36">
        <f>IF($F36="s-curve",$D36+($E36-$D36)*$I$2/(1+EXP($I$3*(COUNT($H$8:AO$8)+$I$4))),TREND($D36:$E36,$D$8:$E$8,AO$8))</f>
        <v>0.34845126207773119</v>
      </c>
      <c r="AP36">
        <f>IF($F36="s-curve",$D36+($E36-$D36)*$I$2/(1+EXP($I$3*(COUNT($H$8:AP$8)+$I$4))),TREND($D36:$E36,$D$8:$E$8,AP$8))</f>
        <v>0.3488513281209612</v>
      </c>
      <c r="AQ36">
        <f>IF($F36="s-curve",$D36+($E36-$D36)*$I$2/(1+EXP($I$3*(COUNT($H$8:AQ$8)+$I$4))),TREND($D36:$E36,$D$8:$E$8,AQ$8))</f>
        <v>0.34914830680586173</v>
      </c>
      <c r="AR36">
        <f>IF($F36="s-curve",$D36+($E36-$D36)*$I$2/(1+EXP($I$3*(COUNT($H$8:AR$8)+$I$4))),TREND($D36:$E36,$D$8:$E$8,AR$8))</f>
        <v>0.34936864555425551</v>
      </c>
      <c r="AS36">
        <f>IF($F36="s-curve",$D36+($E36-$D36)*$I$2/(1+EXP($I$3*(COUNT($H$8:AS$8)+$I$4))),TREND($D36:$E36,$D$8:$E$8,AS$8))</f>
        <v>0.34953205882069949</v>
      </c>
      <c r="AT36">
        <f>IF($F36="s-curve",$D36+($E36-$D36)*$I$2/(1+EXP($I$3*(COUNT($H$8:AT$8)+$I$4))),TREND($D36:$E36,$D$8:$E$8,AT$8))</f>
        <v>0.34965321854516201</v>
      </c>
      <c r="AU36">
        <f>IF($F36="s-curve",$D36+($E36-$D36)*$I$2/(1+EXP($I$3*(COUNT($H$8:AU$8)+$I$4))),TREND($D36:$E36,$D$8:$E$8,AU$8))</f>
        <v>0.34974303092701181</v>
      </c>
      <c r="AV36">
        <f>IF($F36="s-curve",$D36+($E36-$D36)*$I$2/(1+EXP($I$3*(COUNT($H$8:AV$8)+$I$4))),TREND($D36:$E36,$D$8:$E$8,AV$8))</f>
        <v>0.34980959581258081</v>
      </c>
    </row>
    <row r="37" spans="1:48" x14ac:dyDescent="0.15">
      <c r="A37" t="s">
        <v>14</v>
      </c>
      <c r="B37" t="s">
        <v>19</v>
      </c>
      <c r="C37" t="s">
        <v>1</v>
      </c>
      <c r="D37">
        <v>0</v>
      </c>
      <c r="E37">
        <v>0.2</v>
      </c>
      <c r="F37" s="7" t="str">
        <f>IF(D37=E37,"n/a",IF(OR(C37="battery electric vehicle",C37="natural gas vehicle",C37="plugin hybrid vehicle"),"s-curve","linear"))</f>
        <v>s-curve</v>
      </c>
      <c r="H37" s="22">
        <f t="shared" si="22"/>
        <v>0</v>
      </c>
      <c r="I37">
        <f>IF($F37="s-curve",$D37+($E37-$D37)*$I$2/(1+EXP($I$3*(COUNT($H$8:I$8)+$I$4))),TREND($D37:$E37,$D$8:$E$8,I$8))</f>
        <v>2.9548063386546112E-3</v>
      </c>
      <c r="J37">
        <f>IF($F37="s-curve",$D37+($E37-$D37)*$I$2/(1+EXP($I$3*(COUNT($H$8:J$8)+$I$4))),TREND($D37:$E37,$D$8:$E$8,J$8))</f>
        <v>3.9680611468155018E-3</v>
      </c>
      <c r="K37">
        <f>IF($F37="s-curve",$D37+($E37-$D37)*$I$2/(1+EXP($I$3*(COUNT($H$8:K$8)+$I$4))),TREND($D37:$E37,$D$8:$E$8,K$8))</f>
        <v>5.3193987153731734E-3</v>
      </c>
      <c r="L37">
        <f>IF($F37="s-curve",$D37+($E37-$D37)*$I$2/(1+EXP($I$3*(COUNT($H$8:L$8)+$I$4))),TREND($D37:$E37,$D$8:$E$8,L$8))</f>
        <v>7.1142378545272361E-3</v>
      </c>
      <c r="M37">
        <f>IF($F37="s-curve",$D37+($E37-$D37)*$I$2/(1+EXP($I$3*(COUNT($H$8:M$8)+$I$4))),TREND($D37:$E37,$D$8:$E$8,M$8))</f>
        <v>9.4851746355133562E-3</v>
      </c>
      <c r="N37">
        <f>IF($F37="s-curve",$D37+($E37-$D37)*$I$2/(1+EXP($I$3*(COUNT($H$8:N$8)+$I$4))),TREND($D37:$E37,$D$8:$E$8,N$8))</f>
        <v>1.2594671211399303E-2</v>
      </c>
      <c r="O37">
        <f>IF($F37="s-curve",$D37+($E37-$D37)*$I$2/(1+EXP($I$3*(COUNT($H$8:O$8)+$I$4))),TREND($D37:$E37,$D$8:$E$8,O$8))</f>
        <v>1.6634539298784477E-2</v>
      </c>
      <c r="P37">
        <f>IF($F37="s-curve",$D37+($E37-$D37)*$I$2/(1+EXP($I$3*(COUNT($H$8:P$8)+$I$4))),TREND($D37:$E37,$D$8:$E$8,P$8))</f>
        <v>2.1819364239122584E-2</v>
      </c>
      <c r="Q37">
        <f>IF($F37="s-curve",$D37+($E37-$D37)*$I$2/(1+EXP($I$3*(COUNT($H$8:Q$8)+$I$4))),TREND($D37:$E37,$D$8:$E$8,Q$8))</f>
        <v>2.8370212980097564E-2</v>
      </c>
      <c r="R37">
        <f>IF($F37="s-curve",$D37+($E37-$D37)*$I$2/(1+EXP($I$3*(COUNT($H$8:R$8)+$I$4))),TREND($D37:$E37,$D$8:$E$8,R$8))</f>
        <v>3.6485104761271273E-2</v>
      </c>
      <c r="S37">
        <f>IF($F37="s-curve",$D37+($E37-$D37)*$I$2/(1+EXP($I$3*(COUNT($H$8:S$8)+$I$4))),TREND($D37:$E37,$D$8:$E$8,S$8))</f>
        <v>4.629504330019648E-2</v>
      </c>
      <c r="T37">
        <f>IF($F37="s-curve",$D37+($E37-$D37)*$I$2/(1+EXP($I$3*(COUNT($H$8:T$8)+$I$4))),TREND($D37:$E37,$D$8:$E$8,T$8))</f>
        <v>5.7810099474999217E-2</v>
      </c>
      <c r="U37">
        <f>IF($F37="s-curve",$D37+($E37-$D37)*$I$2/(1+EXP($I$3*(COUNT($H$8:U$8)+$I$4))),TREND($D37:$E37,$D$8:$E$8,U$8))</f>
        <v>7.0868738754840913E-2</v>
      </c>
      <c r="V37">
        <f>IF($F37="s-curve",$D37+($E37-$D37)*$I$2/(1+EXP($I$3*(COUNT($H$8:V$8)+$I$4))),TREND($D37:$E37,$D$8:$E$8,V$8))</f>
        <v>8.5111496637668205E-2</v>
      </c>
      <c r="W37">
        <f>IF($F37="s-curve",$D37+($E37-$D37)*$I$2/(1+EXP($I$3*(COUNT($H$8:W$8)+$I$4))),TREND($D37:$E37,$D$8:$E$8,W$8))</f>
        <v>0.1</v>
      </c>
      <c r="X37">
        <f>IF($F37="s-curve",$D37+($E37-$D37)*$I$2/(1+EXP($I$3*(COUNT($H$8:X$8)+$I$4))),TREND($D37:$E37,$D$8:$E$8,X$8))</f>
        <v>0.11488850336233181</v>
      </c>
      <c r="Y37">
        <f>IF($F37="s-curve",$D37+($E37-$D37)*$I$2/(1+EXP($I$3*(COUNT($H$8:Y$8)+$I$4))),TREND($D37:$E37,$D$8:$E$8,Y$8))</f>
        <v>0.12913126124515908</v>
      </c>
      <c r="Z37">
        <f>IF($F37="s-curve",$D37+($E37-$D37)*$I$2/(1+EXP($I$3*(COUNT($H$8:Z$8)+$I$4))),TREND($D37:$E37,$D$8:$E$8,Z$8))</f>
        <v>0.1421899005250008</v>
      </c>
      <c r="AA37">
        <f>IF($F37="s-curve",$D37+($E37-$D37)*$I$2/(1+EXP($I$3*(COUNT($H$8:AA$8)+$I$4))),TREND($D37:$E37,$D$8:$E$8,AA$8))</f>
        <v>0.15370495669980352</v>
      </c>
      <c r="AB37">
        <f>IF($F37="s-curve",$D37+($E37-$D37)*$I$2/(1+EXP($I$3*(COUNT($H$8:AB$8)+$I$4))),TREND($D37:$E37,$D$8:$E$8,AB$8))</f>
        <v>0.16351489523872872</v>
      </c>
      <c r="AC37">
        <f>IF($F37="s-curve",$D37+($E37-$D37)*$I$2/(1+EXP($I$3*(COUNT($H$8:AC$8)+$I$4))),TREND($D37:$E37,$D$8:$E$8,AC$8))</f>
        <v>0.17162978701990247</v>
      </c>
      <c r="AD37">
        <f>IF($F37="s-curve",$D37+($E37-$D37)*$I$2/(1+EXP($I$3*(COUNT($H$8:AD$8)+$I$4))),TREND($D37:$E37,$D$8:$E$8,AD$8))</f>
        <v>0.17818063576087742</v>
      </c>
      <c r="AE37">
        <f>IF($F37="s-curve",$D37+($E37-$D37)*$I$2/(1+EXP($I$3*(COUNT($H$8:AE$8)+$I$4))),TREND($D37:$E37,$D$8:$E$8,AE$8))</f>
        <v>0.18336546070121554</v>
      </c>
      <c r="AF37">
        <f>IF($F37="s-curve",$D37+($E37-$D37)*$I$2/(1+EXP($I$3*(COUNT($H$8:AF$8)+$I$4))),TREND($D37:$E37,$D$8:$E$8,AF$8))</f>
        <v>0.18740532878860072</v>
      </c>
      <c r="AG37">
        <f>IF($F37="s-curve",$D37+($E37-$D37)*$I$2/(1+EXP($I$3*(COUNT($H$8:AG$8)+$I$4))),TREND($D37:$E37,$D$8:$E$8,AG$8))</f>
        <v>0.19051482536448666</v>
      </c>
      <c r="AH37">
        <f>IF($F37="s-curve",$D37+($E37-$D37)*$I$2/(1+EXP($I$3*(COUNT($H$8:AH$8)+$I$4))),TREND($D37:$E37,$D$8:$E$8,AH$8))</f>
        <v>0.19288576214547279</v>
      </c>
      <c r="AI37">
        <f>IF($F37="s-curve",$D37+($E37-$D37)*$I$2/(1+EXP($I$3*(COUNT($H$8:AI$8)+$I$4))),TREND($D37:$E37,$D$8:$E$8,AI$8))</f>
        <v>0.19468060128462683</v>
      </c>
      <c r="AJ37">
        <f>IF($F37="s-curve",$D37+($E37-$D37)*$I$2/(1+EXP($I$3*(COUNT($H$8:AJ$8)+$I$4))),TREND($D37:$E37,$D$8:$E$8,AJ$8))</f>
        <v>0.19603193885318451</v>
      </c>
      <c r="AK37">
        <f>IF($F37="s-curve",$D37+($E37-$D37)*$I$2/(1+EXP($I$3*(COUNT($H$8:AK$8)+$I$4))),TREND($D37:$E37,$D$8:$E$8,AK$8))</f>
        <v>0.1970451936613454</v>
      </c>
      <c r="AL37">
        <f>IF($F37="s-curve",$D37+($E37-$D37)*$I$2/(1+EXP($I$3*(COUNT($H$8:AL$8)+$I$4))),TREND($D37:$E37,$D$8:$E$8,AL$8))</f>
        <v>0.1978026114738814</v>
      </c>
      <c r="AM37">
        <f>IF($F37="s-curve",$D37+($E37-$D37)*$I$2/(1+EXP($I$3*(COUNT($H$8:AM$8)+$I$4))),TREND($D37:$E37,$D$8:$E$8,AM$8))</f>
        <v>0.19836748576936802</v>
      </c>
      <c r="AN37">
        <f>IF($F37="s-curve",$D37+($E37-$D37)*$I$2/(1+EXP($I$3*(COUNT($H$8:AN$8)+$I$4))),TREND($D37:$E37,$D$8:$E$8,AN$8))</f>
        <v>0.19878803970168316</v>
      </c>
      <c r="AO37">
        <f>IF($F37="s-curve",$D37+($E37-$D37)*$I$2/(1+EXP($I$3*(COUNT($H$8:AO$8)+$I$4))),TREND($D37:$E37,$D$8:$E$8,AO$8))</f>
        <v>0.19910074536781178</v>
      </c>
      <c r="AP37">
        <f>IF($F37="s-curve",$D37+($E37-$D37)*$I$2/(1+EXP($I$3*(COUNT($H$8:AP$8)+$I$4))),TREND($D37:$E37,$D$8:$E$8,AP$8))</f>
        <v>0.19933303853851736</v>
      </c>
      <c r="AQ37">
        <f>IF($F37="s-curve",$D37+($E37-$D37)*$I$2/(1+EXP($I$3*(COUNT($H$8:AQ$8)+$I$4))),TREND($D37:$E37,$D$8:$E$8,AQ$8))</f>
        <v>0.19950547536867308</v>
      </c>
      <c r="AR37">
        <f>IF($F37="s-curve",$D37+($E37-$D37)*$I$2/(1+EXP($I$3*(COUNT($H$8:AR$8)+$I$4))),TREND($D37:$E37,$D$8:$E$8,AR$8))</f>
        <v>0.19963341221150147</v>
      </c>
      <c r="AS37">
        <f>IF($F37="s-curve",$D37+($E37-$D37)*$I$2/(1+EXP($I$3*(COUNT($H$8:AS$8)+$I$4))),TREND($D37:$E37,$D$8:$E$8,AS$8))</f>
        <v>0.19972829600991424</v>
      </c>
      <c r="AT37">
        <f>IF($F37="s-curve",$D37+($E37-$D37)*$I$2/(1+EXP($I$3*(COUNT($H$8:AT$8)+$I$4))),TREND($D37:$E37,$D$8:$E$8,AT$8))</f>
        <v>0.19979864583598289</v>
      </c>
      <c r="AU37">
        <f>IF($F37="s-curve",$D37+($E37-$D37)*$I$2/(1+EXP($I$3*(COUNT($H$8:AU$8)+$I$4))),TREND($D37:$E37,$D$8:$E$8,AU$8))</f>
        <v>0.19985079423323268</v>
      </c>
      <c r="AV37">
        <f>IF($F37="s-curve",$D37+($E37-$D37)*$I$2/(1+EXP($I$3*(COUNT($H$8:AV$8)+$I$4))),TREND($D37:$E37,$D$8:$E$8,AV$8))</f>
        <v>0.19988944427261529</v>
      </c>
    </row>
    <row r="38" spans="1:48" x14ac:dyDescent="0.15">
      <c r="C38" t="s">
        <v>2</v>
      </c>
      <c r="D38">
        <v>0</v>
      </c>
      <c r="E38">
        <v>0</v>
      </c>
      <c r="F38" s="7" t="str">
        <f>IF(D38=E38,"n/a",IF(OR(C38="battery electric vehicle",C38="natural gas vehicle",C38="plugin hybrid vehicle"),"s-curve","linear"))</f>
        <v>n/a</v>
      </c>
      <c r="H38" s="22">
        <f t="shared" si="22"/>
        <v>0</v>
      </c>
      <c r="I38">
        <f>IF($F38="s-curve",$D38+($E38-$D38)*$I$2/(1+EXP($I$3*(COUNT($H$8:I$8)+$I$4))),TREND($D38:$E38,$D$8:$E$8,I$8))</f>
        <v>0</v>
      </c>
      <c r="J38">
        <f>IF($F38="s-curve",$D38+($E38-$D38)*$I$2/(1+EXP($I$3*(COUNT($H$8:J$8)+$I$4))),TREND($D38:$E38,$D$8:$E$8,J$8))</f>
        <v>0</v>
      </c>
      <c r="K38">
        <f>IF($F38="s-curve",$D38+($E38-$D38)*$I$2/(1+EXP($I$3*(COUNT($H$8:K$8)+$I$4))),TREND($D38:$E38,$D$8:$E$8,K$8))</f>
        <v>0</v>
      </c>
      <c r="L38">
        <f>IF($F38="s-curve",$D38+($E38-$D38)*$I$2/(1+EXP($I$3*(COUNT($H$8:L$8)+$I$4))),TREND($D38:$E38,$D$8:$E$8,L$8))</f>
        <v>0</v>
      </c>
      <c r="M38">
        <f>IF($F38="s-curve",$D38+($E38-$D38)*$I$2/(1+EXP($I$3*(COUNT($H$8:M$8)+$I$4))),TREND($D38:$E38,$D$8:$E$8,M$8))</f>
        <v>0</v>
      </c>
      <c r="N38">
        <f>IF($F38="s-curve",$D38+($E38-$D38)*$I$2/(1+EXP($I$3*(COUNT($H$8:N$8)+$I$4))),TREND($D38:$E38,$D$8:$E$8,N$8))</f>
        <v>0</v>
      </c>
      <c r="O38">
        <f>IF($F38="s-curve",$D38+($E38-$D38)*$I$2/(1+EXP($I$3*(COUNT($H$8:O$8)+$I$4))),TREND($D38:$E38,$D$8:$E$8,O$8))</f>
        <v>0</v>
      </c>
      <c r="P38">
        <f>IF($F38="s-curve",$D38+($E38-$D38)*$I$2/(1+EXP($I$3*(COUNT($H$8:P$8)+$I$4))),TREND($D38:$E38,$D$8:$E$8,P$8))</f>
        <v>0</v>
      </c>
      <c r="Q38">
        <f>IF($F38="s-curve",$D38+($E38-$D38)*$I$2/(1+EXP($I$3*(COUNT($H$8:Q$8)+$I$4))),TREND($D38:$E38,$D$8:$E$8,Q$8))</f>
        <v>0</v>
      </c>
      <c r="R38">
        <f>IF($F38="s-curve",$D38+($E38-$D38)*$I$2/(1+EXP($I$3*(COUNT($H$8:R$8)+$I$4))),TREND($D38:$E38,$D$8:$E$8,R$8))</f>
        <v>0</v>
      </c>
      <c r="S38">
        <f>IF($F38="s-curve",$D38+($E38-$D38)*$I$2/(1+EXP($I$3*(COUNT($H$8:S$8)+$I$4))),TREND($D38:$E38,$D$8:$E$8,S$8))</f>
        <v>0</v>
      </c>
      <c r="T38">
        <f>IF($F38="s-curve",$D38+($E38-$D38)*$I$2/(1+EXP($I$3*(COUNT($H$8:T$8)+$I$4))),TREND($D38:$E38,$D$8:$E$8,T$8))</f>
        <v>0</v>
      </c>
      <c r="U38">
        <f>IF($F38="s-curve",$D38+($E38-$D38)*$I$2/(1+EXP($I$3*(COUNT($H$8:U$8)+$I$4))),TREND($D38:$E38,$D$8:$E$8,U$8))</f>
        <v>0</v>
      </c>
      <c r="V38">
        <f>IF($F38="s-curve",$D38+($E38-$D38)*$I$2/(1+EXP($I$3*(COUNT($H$8:V$8)+$I$4))),TREND($D38:$E38,$D$8:$E$8,V$8))</f>
        <v>0</v>
      </c>
      <c r="W38">
        <f>IF($F38="s-curve",$D38+($E38-$D38)*$I$2/(1+EXP($I$3*(COUNT($H$8:W$8)+$I$4))),TREND($D38:$E38,$D$8:$E$8,W$8))</f>
        <v>0</v>
      </c>
      <c r="X38">
        <f>IF($F38="s-curve",$D38+($E38-$D38)*$I$2/(1+EXP($I$3*(COUNT($H$8:X$8)+$I$4))),TREND($D38:$E38,$D$8:$E$8,X$8))</f>
        <v>0</v>
      </c>
      <c r="Y38">
        <f>IF($F38="s-curve",$D38+($E38-$D38)*$I$2/(1+EXP($I$3*(COUNT($H$8:Y$8)+$I$4))),TREND($D38:$E38,$D$8:$E$8,Y$8))</f>
        <v>0</v>
      </c>
      <c r="Z38">
        <f>IF($F38="s-curve",$D38+($E38-$D38)*$I$2/(1+EXP($I$3*(COUNT($H$8:Z$8)+$I$4))),TREND($D38:$E38,$D$8:$E$8,Z$8))</f>
        <v>0</v>
      </c>
      <c r="AA38">
        <f>IF($F38="s-curve",$D38+($E38-$D38)*$I$2/(1+EXP($I$3*(COUNT($H$8:AA$8)+$I$4))),TREND($D38:$E38,$D$8:$E$8,AA$8))</f>
        <v>0</v>
      </c>
      <c r="AB38">
        <f>IF($F38="s-curve",$D38+($E38-$D38)*$I$2/(1+EXP($I$3*(COUNT($H$8:AB$8)+$I$4))),TREND($D38:$E38,$D$8:$E$8,AB$8))</f>
        <v>0</v>
      </c>
      <c r="AC38">
        <f>IF($F38="s-curve",$D38+($E38-$D38)*$I$2/(1+EXP($I$3*(COUNT($H$8:AC$8)+$I$4))),TREND($D38:$E38,$D$8:$E$8,AC$8))</f>
        <v>0</v>
      </c>
      <c r="AD38">
        <f>IF($F38="s-curve",$D38+($E38-$D38)*$I$2/(1+EXP($I$3*(COUNT($H$8:AD$8)+$I$4))),TREND($D38:$E38,$D$8:$E$8,AD$8))</f>
        <v>0</v>
      </c>
      <c r="AE38">
        <f>IF($F38="s-curve",$D38+($E38-$D38)*$I$2/(1+EXP($I$3*(COUNT($H$8:AE$8)+$I$4))),TREND($D38:$E38,$D$8:$E$8,AE$8))</f>
        <v>0</v>
      </c>
      <c r="AF38">
        <f>IF($F38="s-curve",$D38+($E38-$D38)*$I$2/(1+EXP($I$3*(COUNT($H$8:AF$8)+$I$4))),TREND($D38:$E38,$D$8:$E$8,AF$8))</f>
        <v>0</v>
      </c>
      <c r="AG38">
        <f>IF($F38="s-curve",$D38+($E38-$D38)*$I$2/(1+EXP($I$3*(COUNT($H$8:AG$8)+$I$4))),TREND($D38:$E38,$D$8:$E$8,AG$8))</f>
        <v>0</v>
      </c>
      <c r="AH38">
        <f>IF($F38="s-curve",$D38+($E38-$D38)*$I$2/(1+EXP($I$3*(COUNT($H$8:AH$8)+$I$4))),TREND($D38:$E38,$D$8:$E$8,AH$8))</f>
        <v>0</v>
      </c>
      <c r="AI38">
        <f>IF($F38="s-curve",$D38+($E38-$D38)*$I$2/(1+EXP($I$3*(COUNT($H$8:AI$8)+$I$4))),TREND($D38:$E38,$D$8:$E$8,AI$8))</f>
        <v>0</v>
      </c>
      <c r="AJ38">
        <f>IF($F38="s-curve",$D38+($E38-$D38)*$I$2/(1+EXP($I$3*(COUNT($H$8:AJ$8)+$I$4))),TREND($D38:$E38,$D$8:$E$8,AJ$8))</f>
        <v>0</v>
      </c>
      <c r="AK38">
        <f>IF($F38="s-curve",$D38+($E38-$D38)*$I$2/(1+EXP($I$3*(COUNT($H$8:AK$8)+$I$4))),TREND($D38:$E38,$D$8:$E$8,AK$8))</f>
        <v>0</v>
      </c>
      <c r="AL38">
        <f>IF($F38="s-curve",$D38+($E38-$D38)*$I$2/(1+EXP($I$3*(COUNT($H$8:AL$8)+$I$4))),TREND($D38:$E38,$D$8:$E$8,AL$8))</f>
        <v>0</v>
      </c>
      <c r="AM38">
        <f>IF($F38="s-curve",$D38+($E38-$D38)*$I$2/(1+EXP($I$3*(COUNT($H$8:AM$8)+$I$4))),TREND($D38:$E38,$D$8:$E$8,AM$8))</f>
        <v>0</v>
      </c>
      <c r="AN38">
        <f>IF($F38="s-curve",$D38+($E38-$D38)*$I$2/(1+EXP($I$3*(COUNT($H$8:AN$8)+$I$4))),TREND($D38:$E38,$D$8:$E$8,AN$8))</f>
        <v>0</v>
      </c>
      <c r="AO38">
        <f>IF($F38="s-curve",$D38+($E38-$D38)*$I$2/(1+EXP($I$3*(COUNT($H$8:AO$8)+$I$4))),TREND($D38:$E38,$D$8:$E$8,AO$8))</f>
        <v>0</v>
      </c>
      <c r="AP38">
        <f>IF($F38="s-curve",$D38+($E38-$D38)*$I$2/(1+EXP($I$3*(COUNT($H$8:AP$8)+$I$4))),TREND($D38:$E38,$D$8:$E$8,AP$8))</f>
        <v>0</v>
      </c>
      <c r="AQ38">
        <f>IF($F38="s-curve",$D38+($E38-$D38)*$I$2/(1+EXP($I$3*(COUNT($H$8:AQ$8)+$I$4))),TREND($D38:$E38,$D$8:$E$8,AQ$8))</f>
        <v>0</v>
      </c>
      <c r="AR38">
        <f>IF($F38="s-curve",$D38+($E38-$D38)*$I$2/(1+EXP($I$3*(COUNT($H$8:AR$8)+$I$4))),TREND($D38:$E38,$D$8:$E$8,AR$8))</f>
        <v>0</v>
      </c>
      <c r="AS38">
        <f>IF($F38="s-curve",$D38+($E38-$D38)*$I$2/(1+EXP($I$3*(COUNT($H$8:AS$8)+$I$4))),TREND($D38:$E38,$D$8:$E$8,AS$8))</f>
        <v>0</v>
      </c>
      <c r="AT38">
        <f>IF($F38="s-curve",$D38+($E38-$D38)*$I$2/(1+EXP($I$3*(COUNT($H$8:AT$8)+$I$4))),TREND($D38:$E38,$D$8:$E$8,AT$8))</f>
        <v>0</v>
      </c>
      <c r="AU38">
        <f>IF($F38="s-curve",$D38+($E38-$D38)*$I$2/(1+EXP($I$3*(COUNT($H$8:AU$8)+$I$4))),TREND($D38:$E38,$D$8:$E$8,AU$8))</f>
        <v>0</v>
      </c>
      <c r="AV38">
        <f>IF($F38="s-curve",$D38+($E38-$D38)*$I$2/(1+EXP($I$3*(COUNT($H$8:AV$8)+$I$4))),TREND($D38:$E38,$D$8:$E$8,AV$8))</f>
        <v>0</v>
      </c>
    </row>
    <row r="39" spans="1:48" x14ac:dyDescent="0.15">
      <c r="C39" t="s">
        <v>3</v>
      </c>
      <c r="D39">
        <v>0</v>
      </c>
      <c r="E39">
        <v>0</v>
      </c>
      <c r="F39" s="7" t="str">
        <f>IF(D39=E39,"n/a",IF(OR(C39="battery electric vehicle",C39="natural gas vehicle",C39="plugin hybrid vehicle"),"s-curve","linear"))</f>
        <v>n/a</v>
      </c>
      <c r="H39" s="22">
        <f t="shared" si="22"/>
        <v>0</v>
      </c>
      <c r="I39">
        <f>IF($F39="s-curve",$D39+($E39-$D39)*$I$2/(1+EXP($I$3*(COUNT($H$8:I$8)+$I$4))),TREND($D39:$E39,$D$8:$E$8,I$8))</f>
        <v>0</v>
      </c>
      <c r="J39">
        <f>IF($F39="s-curve",$D39+($E39-$D39)*$I$2/(1+EXP($I$3*(COUNT($H$8:J$8)+$I$4))),TREND($D39:$E39,$D$8:$E$8,J$8))</f>
        <v>0</v>
      </c>
      <c r="K39">
        <f>IF($F39="s-curve",$D39+($E39-$D39)*$I$2/(1+EXP($I$3*(COUNT($H$8:K$8)+$I$4))),TREND($D39:$E39,$D$8:$E$8,K$8))</f>
        <v>0</v>
      </c>
      <c r="L39">
        <f>IF($F39="s-curve",$D39+($E39-$D39)*$I$2/(1+EXP($I$3*(COUNT($H$8:L$8)+$I$4))),TREND($D39:$E39,$D$8:$E$8,L$8))</f>
        <v>0</v>
      </c>
      <c r="M39">
        <f>IF($F39="s-curve",$D39+($E39-$D39)*$I$2/(1+EXP($I$3*(COUNT($H$8:M$8)+$I$4))),TREND($D39:$E39,$D$8:$E$8,M$8))</f>
        <v>0</v>
      </c>
      <c r="N39">
        <f>IF($F39="s-curve",$D39+($E39-$D39)*$I$2/(1+EXP($I$3*(COUNT($H$8:N$8)+$I$4))),TREND($D39:$E39,$D$8:$E$8,N$8))</f>
        <v>0</v>
      </c>
      <c r="O39">
        <f>IF($F39="s-curve",$D39+($E39-$D39)*$I$2/(1+EXP($I$3*(COUNT($H$8:O$8)+$I$4))),TREND($D39:$E39,$D$8:$E$8,O$8))</f>
        <v>0</v>
      </c>
      <c r="P39">
        <f>IF($F39="s-curve",$D39+($E39-$D39)*$I$2/(1+EXP($I$3*(COUNT($H$8:P$8)+$I$4))),TREND($D39:$E39,$D$8:$E$8,P$8))</f>
        <v>0</v>
      </c>
      <c r="Q39">
        <f>IF($F39="s-curve",$D39+($E39-$D39)*$I$2/(1+EXP($I$3*(COUNT($H$8:Q$8)+$I$4))),TREND($D39:$E39,$D$8:$E$8,Q$8))</f>
        <v>0</v>
      </c>
      <c r="R39">
        <f>IF($F39="s-curve",$D39+($E39-$D39)*$I$2/(1+EXP($I$3*(COUNT($H$8:R$8)+$I$4))),TREND($D39:$E39,$D$8:$E$8,R$8))</f>
        <v>0</v>
      </c>
      <c r="S39">
        <f>IF($F39="s-curve",$D39+($E39-$D39)*$I$2/(1+EXP($I$3*(COUNT($H$8:S$8)+$I$4))),TREND($D39:$E39,$D$8:$E$8,S$8))</f>
        <v>0</v>
      </c>
      <c r="T39">
        <f>IF($F39="s-curve",$D39+($E39-$D39)*$I$2/(1+EXP($I$3*(COUNT($H$8:T$8)+$I$4))),TREND($D39:$E39,$D$8:$E$8,T$8))</f>
        <v>0</v>
      </c>
      <c r="U39">
        <f>IF($F39="s-curve",$D39+($E39-$D39)*$I$2/(1+EXP($I$3*(COUNT($H$8:U$8)+$I$4))),TREND($D39:$E39,$D$8:$E$8,U$8))</f>
        <v>0</v>
      </c>
      <c r="V39">
        <f>IF($F39="s-curve",$D39+($E39-$D39)*$I$2/(1+EXP($I$3*(COUNT($H$8:V$8)+$I$4))),TREND($D39:$E39,$D$8:$E$8,V$8))</f>
        <v>0</v>
      </c>
      <c r="W39">
        <f>IF($F39="s-curve",$D39+($E39-$D39)*$I$2/(1+EXP($I$3*(COUNT($H$8:W$8)+$I$4))),TREND($D39:$E39,$D$8:$E$8,W$8))</f>
        <v>0</v>
      </c>
      <c r="X39">
        <f>IF($F39="s-curve",$D39+($E39-$D39)*$I$2/(1+EXP($I$3*(COUNT($H$8:X$8)+$I$4))),TREND($D39:$E39,$D$8:$E$8,X$8))</f>
        <v>0</v>
      </c>
      <c r="Y39">
        <f>IF($F39="s-curve",$D39+($E39-$D39)*$I$2/(1+EXP($I$3*(COUNT($H$8:Y$8)+$I$4))),TREND($D39:$E39,$D$8:$E$8,Y$8))</f>
        <v>0</v>
      </c>
      <c r="Z39">
        <f>IF($F39="s-curve",$D39+($E39-$D39)*$I$2/(1+EXP($I$3*(COUNT($H$8:Z$8)+$I$4))),TREND($D39:$E39,$D$8:$E$8,Z$8))</f>
        <v>0</v>
      </c>
      <c r="AA39">
        <f>IF($F39="s-curve",$D39+($E39-$D39)*$I$2/(1+EXP($I$3*(COUNT($H$8:AA$8)+$I$4))),TREND($D39:$E39,$D$8:$E$8,AA$8))</f>
        <v>0</v>
      </c>
      <c r="AB39">
        <f>IF($F39="s-curve",$D39+($E39-$D39)*$I$2/(1+EXP($I$3*(COUNT($H$8:AB$8)+$I$4))),TREND($D39:$E39,$D$8:$E$8,AB$8))</f>
        <v>0</v>
      </c>
      <c r="AC39">
        <f>IF($F39="s-curve",$D39+($E39-$D39)*$I$2/(1+EXP($I$3*(COUNT($H$8:AC$8)+$I$4))),TREND($D39:$E39,$D$8:$E$8,AC$8))</f>
        <v>0</v>
      </c>
      <c r="AD39">
        <f>IF($F39="s-curve",$D39+($E39-$D39)*$I$2/(1+EXP($I$3*(COUNT($H$8:AD$8)+$I$4))),TREND($D39:$E39,$D$8:$E$8,AD$8))</f>
        <v>0</v>
      </c>
      <c r="AE39">
        <f>IF($F39="s-curve",$D39+($E39-$D39)*$I$2/(1+EXP($I$3*(COUNT($H$8:AE$8)+$I$4))),TREND($D39:$E39,$D$8:$E$8,AE$8))</f>
        <v>0</v>
      </c>
      <c r="AF39">
        <f>IF($F39="s-curve",$D39+($E39-$D39)*$I$2/(1+EXP($I$3*(COUNT($H$8:AF$8)+$I$4))),TREND($D39:$E39,$D$8:$E$8,AF$8))</f>
        <v>0</v>
      </c>
      <c r="AG39">
        <f>IF($F39="s-curve",$D39+($E39-$D39)*$I$2/(1+EXP($I$3*(COUNT($H$8:AG$8)+$I$4))),TREND($D39:$E39,$D$8:$E$8,AG$8))</f>
        <v>0</v>
      </c>
      <c r="AH39">
        <f>IF($F39="s-curve",$D39+($E39-$D39)*$I$2/(1+EXP($I$3*(COUNT($H$8:AH$8)+$I$4))),TREND($D39:$E39,$D$8:$E$8,AH$8))</f>
        <v>0</v>
      </c>
      <c r="AI39">
        <f>IF($F39="s-curve",$D39+($E39-$D39)*$I$2/(1+EXP($I$3*(COUNT($H$8:AI$8)+$I$4))),TREND($D39:$E39,$D$8:$E$8,AI$8))</f>
        <v>0</v>
      </c>
      <c r="AJ39">
        <f>IF($F39="s-curve",$D39+($E39-$D39)*$I$2/(1+EXP($I$3*(COUNT($H$8:AJ$8)+$I$4))),TREND($D39:$E39,$D$8:$E$8,AJ$8))</f>
        <v>0</v>
      </c>
      <c r="AK39">
        <f>IF($F39="s-curve",$D39+($E39-$D39)*$I$2/(1+EXP($I$3*(COUNT($H$8:AK$8)+$I$4))),TREND($D39:$E39,$D$8:$E$8,AK$8))</f>
        <v>0</v>
      </c>
      <c r="AL39">
        <f>IF($F39="s-curve",$D39+($E39-$D39)*$I$2/(1+EXP($I$3*(COUNT($H$8:AL$8)+$I$4))),TREND($D39:$E39,$D$8:$E$8,AL$8))</f>
        <v>0</v>
      </c>
      <c r="AM39">
        <f>IF($F39="s-curve",$D39+($E39-$D39)*$I$2/(1+EXP($I$3*(COUNT($H$8:AM$8)+$I$4))),TREND($D39:$E39,$D$8:$E$8,AM$8))</f>
        <v>0</v>
      </c>
      <c r="AN39">
        <f>IF($F39="s-curve",$D39+($E39-$D39)*$I$2/(1+EXP($I$3*(COUNT($H$8:AN$8)+$I$4))),TREND($D39:$E39,$D$8:$E$8,AN$8))</f>
        <v>0</v>
      </c>
      <c r="AO39">
        <f>IF($F39="s-curve",$D39+($E39-$D39)*$I$2/(1+EXP($I$3*(COUNT($H$8:AO$8)+$I$4))),TREND($D39:$E39,$D$8:$E$8,AO$8))</f>
        <v>0</v>
      </c>
      <c r="AP39">
        <f>IF($F39="s-curve",$D39+($E39-$D39)*$I$2/(1+EXP($I$3*(COUNT($H$8:AP$8)+$I$4))),TREND($D39:$E39,$D$8:$E$8,AP$8))</f>
        <v>0</v>
      </c>
      <c r="AQ39">
        <f>IF($F39="s-curve",$D39+($E39-$D39)*$I$2/(1+EXP($I$3*(COUNT($H$8:AQ$8)+$I$4))),TREND($D39:$E39,$D$8:$E$8,AQ$8))</f>
        <v>0</v>
      </c>
      <c r="AR39">
        <f>IF($F39="s-curve",$D39+($E39-$D39)*$I$2/(1+EXP($I$3*(COUNT($H$8:AR$8)+$I$4))),TREND($D39:$E39,$D$8:$E$8,AR$8))</f>
        <v>0</v>
      </c>
      <c r="AS39">
        <f>IF($F39="s-curve",$D39+($E39-$D39)*$I$2/(1+EXP($I$3*(COUNT($H$8:AS$8)+$I$4))),TREND($D39:$E39,$D$8:$E$8,AS$8))</f>
        <v>0</v>
      </c>
      <c r="AT39">
        <f>IF($F39="s-curve",$D39+($E39-$D39)*$I$2/(1+EXP($I$3*(COUNT($H$8:AT$8)+$I$4))),TREND($D39:$E39,$D$8:$E$8,AT$8))</f>
        <v>0</v>
      </c>
      <c r="AU39">
        <f>IF($F39="s-curve",$D39+($E39-$D39)*$I$2/(1+EXP($I$3*(COUNT($H$8:AU$8)+$I$4))),TREND($D39:$E39,$D$8:$E$8,AU$8))</f>
        <v>0</v>
      </c>
      <c r="AV39">
        <f>IF($F39="s-curve",$D39+($E39-$D39)*$I$2/(1+EXP($I$3*(COUNT($H$8:AV$8)+$I$4))),TREND($D39:$E39,$D$8:$E$8,AV$8))</f>
        <v>0</v>
      </c>
    </row>
    <row r="40" spans="1:48" x14ac:dyDescent="0.15">
      <c r="C40" t="s">
        <v>4</v>
      </c>
      <c r="D40">
        <v>1</v>
      </c>
      <c r="E40">
        <v>1</v>
      </c>
      <c r="F40" s="7" t="str">
        <f>IF(D40=E40,"n/a",IF(OR(C40="battery electric vehicle",C40="natural gas vehicle",C40="plugin hybrid vehicle"),"s-curve","linear"))</f>
        <v>n/a</v>
      </c>
      <c r="H40" s="22">
        <f t="shared" ref="H40:H71" si="23">D40</f>
        <v>1</v>
      </c>
      <c r="I40">
        <f>IF($F40="s-curve",$D40+($E40-$D40)*$I$2/(1+EXP($I$3*(COUNT($H$8:I$8)+$I$4))),TREND($D40:$E40,$D$8:$E$8,I$8))</f>
        <v>1</v>
      </c>
      <c r="J40">
        <f>IF($F40="s-curve",$D40+($E40-$D40)*$I$2/(1+EXP($I$3*(COUNT($H$8:J$8)+$I$4))),TREND($D40:$E40,$D$8:$E$8,J$8))</f>
        <v>1</v>
      </c>
      <c r="K40">
        <f>IF($F40="s-curve",$D40+($E40-$D40)*$I$2/(1+EXP($I$3*(COUNT($H$8:K$8)+$I$4))),TREND($D40:$E40,$D$8:$E$8,K$8))</f>
        <v>1</v>
      </c>
      <c r="L40">
        <f>IF($F40="s-curve",$D40+($E40-$D40)*$I$2/(1+EXP($I$3*(COUNT($H$8:L$8)+$I$4))),TREND($D40:$E40,$D$8:$E$8,L$8))</f>
        <v>1</v>
      </c>
      <c r="M40">
        <f>IF($F40="s-curve",$D40+($E40-$D40)*$I$2/(1+EXP($I$3*(COUNT($H$8:M$8)+$I$4))),TREND($D40:$E40,$D$8:$E$8,M$8))</f>
        <v>1</v>
      </c>
      <c r="N40">
        <f>IF($F40="s-curve",$D40+($E40-$D40)*$I$2/(1+EXP($I$3*(COUNT($H$8:N$8)+$I$4))),TREND($D40:$E40,$D$8:$E$8,N$8))</f>
        <v>1</v>
      </c>
      <c r="O40">
        <f>IF($F40="s-curve",$D40+($E40-$D40)*$I$2/(1+EXP($I$3*(COUNT($H$8:O$8)+$I$4))),TREND($D40:$E40,$D$8:$E$8,O$8))</f>
        <v>1</v>
      </c>
      <c r="P40">
        <f>IF($F40="s-curve",$D40+($E40-$D40)*$I$2/(1+EXP($I$3*(COUNT($H$8:P$8)+$I$4))),TREND($D40:$E40,$D$8:$E$8,P$8))</f>
        <v>1</v>
      </c>
      <c r="Q40">
        <f>IF($F40="s-curve",$D40+($E40-$D40)*$I$2/(1+EXP($I$3*(COUNT($H$8:Q$8)+$I$4))),TREND($D40:$E40,$D$8:$E$8,Q$8))</f>
        <v>1</v>
      </c>
      <c r="R40">
        <f>IF($F40="s-curve",$D40+($E40-$D40)*$I$2/(1+EXP($I$3*(COUNT($H$8:R$8)+$I$4))),TREND($D40:$E40,$D$8:$E$8,R$8))</f>
        <v>1</v>
      </c>
      <c r="S40">
        <f>IF($F40="s-curve",$D40+($E40-$D40)*$I$2/(1+EXP($I$3*(COUNT($H$8:S$8)+$I$4))),TREND($D40:$E40,$D$8:$E$8,S$8))</f>
        <v>1</v>
      </c>
      <c r="T40">
        <f>IF($F40="s-curve",$D40+($E40-$D40)*$I$2/(1+EXP($I$3*(COUNT($H$8:T$8)+$I$4))),TREND($D40:$E40,$D$8:$E$8,T$8))</f>
        <v>1</v>
      </c>
      <c r="U40">
        <f>IF($F40="s-curve",$D40+($E40-$D40)*$I$2/(1+EXP($I$3*(COUNT($H$8:U$8)+$I$4))),TREND($D40:$E40,$D$8:$E$8,U$8))</f>
        <v>1</v>
      </c>
      <c r="V40">
        <f>IF($F40="s-curve",$D40+($E40-$D40)*$I$2/(1+EXP($I$3*(COUNT($H$8:V$8)+$I$4))),TREND($D40:$E40,$D$8:$E$8,V$8))</f>
        <v>1</v>
      </c>
      <c r="W40">
        <f>IF($F40="s-curve",$D40+($E40-$D40)*$I$2/(1+EXP($I$3*(COUNT($H$8:W$8)+$I$4))),TREND($D40:$E40,$D$8:$E$8,W$8))</f>
        <v>1</v>
      </c>
      <c r="X40">
        <f>IF($F40="s-curve",$D40+($E40-$D40)*$I$2/(1+EXP($I$3*(COUNT($H$8:X$8)+$I$4))),TREND($D40:$E40,$D$8:$E$8,X$8))</f>
        <v>1</v>
      </c>
      <c r="Y40">
        <f>IF($F40="s-curve",$D40+($E40-$D40)*$I$2/(1+EXP($I$3*(COUNT($H$8:Y$8)+$I$4))),TREND($D40:$E40,$D$8:$E$8,Y$8))</f>
        <v>1</v>
      </c>
      <c r="Z40">
        <f>IF($F40="s-curve",$D40+($E40-$D40)*$I$2/(1+EXP($I$3*(COUNT($H$8:Z$8)+$I$4))),TREND($D40:$E40,$D$8:$E$8,Z$8))</f>
        <v>1</v>
      </c>
      <c r="AA40">
        <f>IF($F40="s-curve",$D40+($E40-$D40)*$I$2/(1+EXP($I$3*(COUNT($H$8:AA$8)+$I$4))),TREND($D40:$E40,$D$8:$E$8,AA$8))</f>
        <v>1</v>
      </c>
      <c r="AB40">
        <f>IF($F40="s-curve",$D40+($E40-$D40)*$I$2/(1+EXP($I$3*(COUNT($H$8:AB$8)+$I$4))),TREND($D40:$E40,$D$8:$E$8,AB$8))</f>
        <v>1</v>
      </c>
      <c r="AC40">
        <f>IF($F40="s-curve",$D40+($E40-$D40)*$I$2/(1+EXP($I$3*(COUNT($H$8:AC$8)+$I$4))),TREND($D40:$E40,$D$8:$E$8,AC$8))</f>
        <v>1</v>
      </c>
      <c r="AD40">
        <f>IF($F40="s-curve",$D40+($E40-$D40)*$I$2/(1+EXP($I$3*(COUNT($H$8:AD$8)+$I$4))),TREND($D40:$E40,$D$8:$E$8,AD$8))</f>
        <v>1</v>
      </c>
      <c r="AE40">
        <f>IF($F40="s-curve",$D40+($E40-$D40)*$I$2/(1+EXP($I$3*(COUNT($H$8:AE$8)+$I$4))),TREND($D40:$E40,$D$8:$E$8,AE$8))</f>
        <v>1</v>
      </c>
      <c r="AF40">
        <f>IF($F40="s-curve",$D40+($E40-$D40)*$I$2/(1+EXP($I$3*(COUNT($H$8:AF$8)+$I$4))),TREND($D40:$E40,$D$8:$E$8,AF$8))</f>
        <v>1</v>
      </c>
      <c r="AG40">
        <f>IF($F40="s-curve",$D40+($E40-$D40)*$I$2/(1+EXP($I$3*(COUNT($H$8:AG$8)+$I$4))),TREND($D40:$E40,$D$8:$E$8,AG$8))</f>
        <v>1</v>
      </c>
      <c r="AH40">
        <f>IF($F40="s-curve",$D40+($E40-$D40)*$I$2/(1+EXP($I$3*(COUNT($H$8:AH$8)+$I$4))),TREND($D40:$E40,$D$8:$E$8,AH$8))</f>
        <v>1</v>
      </c>
      <c r="AI40">
        <f>IF($F40="s-curve",$D40+($E40-$D40)*$I$2/(1+EXP($I$3*(COUNT($H$8:AI$8)+$I$4))),TREND($D40:$E40,$D$8:$E$8,AI$8))</f>
        <v>1</v>
      </c>
      <c r="AJ40">
        <f>IF($F40="s-curve",$D40+($E40-$D40)*$I$2/(1+EXP($I$3*(COUNT($H$8:AJ$8)+$I$4))),TREND($D40:$E40,$D$8:$E$8,AJ$8))</f>
        <v>1</v>
      </c>
      <c r="AK40">
        <f>IF($F40="s-curve",$D40+($E40-$D40)*$I$2/(1+EXP($I$3*(COUNT($H$8:AK$8)+$I$4))),TREND($D40:$E40,$D$8:$E$8,AK$8))</f>
        <v>1</v>
      </c>
      <c r="AL40">
        <f>IF($F40="s-curve",$D40+($E40-$D40)*$I$2/(1+EXP($I$3*(COUNT($H$8:AL$8)+$I$4))),TREND($D40:$E40,$D$8:$E$8,AL$8))</f>
        <v>1</v>
      </c>
      <c r="AM40">
        <f>IF($F40="s-curve",$D40+($E40-$D40)*$I$2/(1+EXP($I$3*(COUNT($H$8:AM$8)+$I$4))),TREND($D40:$E40,$D$8:$E$8,AM$8))</f>
        <v>1</v>
      </c>
      <c r="AN40">
        <f>IF($F40="s-curve",$D40+($E40-$D40)*$I$2/(1+EXP($I$3*(COUNT($H$8:AN$8)+$I$4))),TREND($D40:$E40,$D$8:$E$8,AN$8))</f>
        <v>1</v>
      </c>
      <c r="AO40">
        <f>IF($F40="s-curve",$D40+($E40-$D40)*$I$2/(1+EXP($I$3*(COUNT($H$8:AO$8)+$I$4))),TREND($D40:$E40,$D$8:$E$8,AO$8))</f>
        <v>1</v>
      </c>
      <c r="AP40">
        <f>IF($F40="s-curve",$D40+($E40-$D40)*$I$2/(1+EXP($I$3*(COUNT($H$8:AP$8)+$I$4))),TREND($D40:$E40,$D$8:$E$8,AP$8))</f>
        <v>1</v>
      </c>
      <c r="AQ40">
        <f>IF($F40="s-curve",$D40+($E40-$D40)*$I$2/(1+EXP($I$3*(COUNT($H$8:AQ$8)+$I$4))),TREND($D40:$E40,$D$8:$E$8,AQ$8))</f>
        <v>1</v>
      </c>
      <c r="AR40">
        <f>IF($F40="s-curve",$D40+($E40-$D40)*$I$2/(1+EXP($I$3*(COUNT($H$8:AR$8)+$I$4))),TREND($D40:$E40,$D$8:$E$8,AR$8))</f>
        <v>1</v>
      </c>
      <c r="AS40">
        <f>IF($F40="s-curve",$D40+($E40-$D40)*$I$2/(1+EXP($I$3*(COUNT($H$8:AS$8)+$I$4))),TREND($D40:$E40,$D$8:$E$8,AS$8))</f>
        <v>1</v>
      </c>
      <c r="AT40">
        <f>IF($F40="s-curve",$D40+($E40-$D40)*$I$2/(1+EXP($I$3*(COUNT($H$8:AT$8)+$I$4))),TREND($D40:$E40,$D$8:$E$8,AT$8))</f>
        <v>1</v>
      </c>
      <c r="AU40">
        <f>IF($F40="s-curve",$D40+($E40-$D40)*$I$2/(1+EXP($I$3*(COUNT($H$8:AU$8)+$I$4))),TREND($D40:$E40,$D$8:$E$8,AU$8))</f>
        <v>1</v>
      </c>
      <c r="AV40">
        <f>IF($F40="s-curve",$D40+($E40-$D40)*$I$2/(1+EXP($I$3*(COUNT($H$8:AV$8)+$I$4))),TREND($D40:$E40,$D$8:$E$8,AV$8))</f>
        <v>1</v>
      </c>
    </row>
    <row r="41" spans="1:48" x14ac:dyDescent="0.15">
      <c r="C41" t="s">
        <v>5</v>
      </c>
      <c r="D41">
        <v>0</v>
      </c>
      <c r="E41">
        <v>0</v>
      </c>
      <c r="F41" s="7" t="str">
        <f>IF(D41=E41,"n/a",IF(OR(C41="battery electric vehicle",C41="natural gas vehicle",C41="plugin hybrid vehicle"),"s-curve","linear"))</f>
        <v>n/a</v>
      </c>
      <c r="H41" s="22">
        <f t="shared" si="23"/>
        <v>0</v>
      </c>
      <c r="I41">
        <f>IF($F41="s-curve",$D41+($E41-$D41)*$I$2/(1+EXP($I$3*(COUNT($H$8:I$8)+$I$4))),TREND($D41:$E41,$D$8:$E$8,I$8))</f>
        <v>0</v>
      </c>
      <c r="J41">
        <f>IF($F41="s-curve",$D41+($E41-$D41)*$I$2/(1+EXP($I$3*(COUNT($H$8:J$8)+$I$4))),TREND($D41:$E41,$D$8:$E$8,J$8))</f>
        <v>0</v>
      </c>
      <c r="K41">
        <f>IF($F41="s-curve",$D41+($E41-$D41)*$I$2/(1+EXP($I$3*(COUNT($H$8:K$8)+$I$4))),TREND($D41:$E41,$D$8:$E$8,K$8))</f>
        <v>0</v>
      </c>
      <c r="L41">
        <f>IF($F41="s-curve",$D41+($E41-$D41)*$I$2/(1+EXP($I$3*(COUNT($H$8:L$8)+$I$4))),TREND($D41:$E41,$D$8:$E$8,L$8))</f>
        <v>0</v>
      </c>
      <c r="M41">
        <f>IF($F41="s-curve",$D41+($E41-$D41)*$I$2/(1+EXP($I$3*(COUNT($H$8:M$8)+$I$4))),TREND($D41:$E41,$D$8:$E$8,M$8))</f>
        <v>0</v>
      </c>
      <c r="N41">
        <f>IF($F41="s-curve",$D41+($E41-$D41)*$I$2/(1+EXP($I$3*(COUNT($H$8:N$8)+$I$4))),TREND($D41:$E41,$D$8:$E$8,N$8))</f>
        <v>0</v>
      </c>
      <c r="O41">
        <f>IF($F41="s-curve",$D41+($E41-$D41)*$I$2/(1+EXP($I$3*(COUNT($H$8:O$8)+$I$4))),TREND($D41:$E41,$D$8:$E$8,O$8))</f>
        <v>0</v>
      </c>
      <c r="P41">
        <f>IF($F41="s-curve",$D41+($E41-$D41)*$I$2/(1+EXP($I$3*(COUNT($H$8:P$8)+$I$4))),TREND($D41:$E41,$D$8:$E$8,P$8))</f>
        <v>0</v>
      </c>
      <c r="Q41">
        <f>IF($F41="s-curve",$D41+($E41-$D41)*$I$2/(1+EXP($I$3*(COUNT($H$8:Q$8)+$I$4))),TREND($D41:$E41,$D$8:$E$8,Q$8))</f>
        <v>0</v>
      </c>
      <c r="R41">
        <f>IF($F41="s-curve",$D41+($E41-$D41)*$I$2/(1+EXP($I$3*(COUNT($H$8:R$8)+$I$4))),TREND($D41:$E41,$D$8:$E$8,R$8))</f>
        <v>0</v>
      </c>
      <c r="S41">
        <f>IF($F41="s-curve",$D41+($E41-$D41)*$I$2/(1+EXP($I$3*(COUNT($H$8:S$8)+$I$4))),TREND($D41:$E41,$D$8:$E$8,S$8))</f>
        <v>0</v>
      </c>
      <c r="T41">
        <f>IF($F41="s-curve",$D41+($E41-$D41)*$I$2/(1+EXP($I$3*(COUNT($H$8:T$8)+$I$4))),TREND($D41:$E41,$D$8:$E$8,T$8))</f>
        <v>0</v>
      </c>
      <c r="U41">
        <f>IF($F41="s-curve",$D41+($E41-$D41)*$I$2/(1+EXP($I$3*(COUNT($H$8:U$8)+$I$4))),TREND($D41:$E41,$D$8:$E$8,U$8))</f>
        <v>0</v>
      </c>
      <c r="V41">
        <f>IF($F41="s-curve",$D41+($E41-$D41)*$I$2/(1+EXP($I$3*(COUNT($H$8:V$8)+$I$4))),TREND($D41:$E41,$D$8:$E$8,V$8))</f>
        <v>0</v>
      </c>
      <c r="W41">
        <f>IF($F41="s-curve",$D41+($E41-$D41)*$I$2/(1+EXP($I$3*(COUNT($H$8:W$8)+$I$4))),TREND($D41:$E41,$D$8:$E$8,W$8))</f>
        <v>0</v>
      </c>
      <c r="X41">
        <f>IF($F41="s-curve",$D41+($E41-$D41)*$I$2/(1+EXP($I$3*(COUNT($H$8:X$8)+$I$4))),TREND($D41:$E41,$D$8:$E$8,X$8))</f>
        <v>0</v>
      </c>
      <c r="Y41">
        <f>IF($F41="s-curve",$D41+($E41-$D41)*$I$2/(1+EXP($I$3*(COUNT($H$8:Y$8)+$I$4))),TREND($D41:$E41,$D$8:$E$8,Y$8))</f>
        <v>0</v>
      </c>
      <c r="Z41">
        <f>IF($F41="s-curve",$D41+($E41-$D41)*$I$2/(1+EXP($I$3*(COUNT($H$8:Z$8)+$I$4))),TREND($D41:$E41,$D$8:$E$8,Z$8))</f>
        <v>0</v>
      </c>
      <c r="AA41">
        <f>IF($F41="s-curve",$D41+($E41-$D41)*$I$2/(1+EXP($I$3*(COUNT($H$8:AA$8)+$I$4))),TREND($D41:$E41,$D$8:$E$8,AA$8))</f>
        <v>0</v>
      </c>
      <c r="AB41">
        <f>IF($F41="s-curve",$D41+($E41-$D41)*$I$2/(1+EXP($I$3*(COUNT($H$8:AB$8)+$I$4))),TREND($D41:$E41,$D$8:$E$8,AB$8))</f>
        <v>0</v>
      </c>
      <c r="AC41">
        <f>IF($F41="s-curve",$D41+($E41-$D41)*$I$2/(1+EXP($I$3*(COUNT($H$8:AC$8)+$I$4))),TREND($D41:$E41,$D$8:$E$8,AC$8))</f>
        <v>0</v>
      </c>
      <c r="AD41">
        <f>IF($F41="s-curve",$D41+($E41-$D41)*$I$2/(1+EXP($I$3*(COUNT($H$8:AD$8)+$I$4))),TREND($D41:$E41,$D$8:$E$8,AD$8))</f>
        <v>0</v>
      </c>
      <c r="AE41">
        <f>IF($F41="s-curve",$D41+($E41-$D41)*$I$2/(1+EXP($I$3*(COUNT($H$8:AE$8)+$I$4))),TREND($D41:$E41,$D$8:$E$8,AE$8))</f>
        <v>0</v>
      </c>
      <c r="AF41">
        <f>IF($F41="s-curve",$D41+($E41-$D41)*$I$2/(1+EXP($I$3*(COUNT($H$8:AF$8)+$I$4))),TREND($D41:$E41,$D$8:$E$8,AF$8))</f>
        <v>0</v>
      </c>
      <c r="AG41">
        <f>IF($F41="s-curve",$D41+($E41-$D41)*$I$2/(1+EXP($I$3*(COUNT($H$8:AG$8)+$I$4))),TREND($D41:$E41,$D$8:$E$8,AG$8))</f>
        <v>0</v>
      </c>
      <c r="AH41">
        <f>IF($F41="s-curve",$D41+($E41-$D41)*$I$2/(1+EXP($I$3*(COUNT($H$8:AH$8)+$I$4))),TREND($D41:$E41,$D$8:$E$8,AH$8))</f>
        <v>0</v>
      </c>
      <c r="AI41">
        <f>IF($F41="s-curve",$D41+($E41-$D41)*$I$2/(1+EXP($I$3*(COUNT($H$8:AI$8)+$I$4))),TREND($D41:$E41,$D$8:$E$8,AI$8))</f>
        <v>0</v>
      </c>
      <c r="AJ41">
        <f>IF($F41="s-curve",$D41+($E41-$D41)*$I$2/(1+EXP($I$3*(COUNT($H$8:AJ$8)+$I$4))),TREND($D41:$E41,$D$8:$E$8,AJ$8))</f>
        <v>0</v>
      </c>
      <c r="AK41">
        <f>IF($F41="s-curve",$D41+($E41-$D41)*$I$2/(1+EXP($I$3*(COUNT($H$8:AK$8)+$I$4))),TREND($D41:$E41,$D$8:$E$8,AK$8))</f>
        <v>0</v>
      </c>
      <c r="AL41">
        <f>IF($F41="s-curve",$D41+($E41-$D41)*$I$2/(1+EXP($I$3*(COUNT($H$8:AL$8)+$I$4))),TREND($D41:$E41,$D$8:$E$8,AL$8))</f>
        <v>0</v>
      </c>
      <c r="AM41">
        <f>IF($F41="s-curve",$D41+($E41-$D41)*$I$2/(1+EXP($I$3*(COUNT($H$8:AM$8)+$I$4))),TREND($D41:$E41,$D$8:$E$8,AM$8))</f>
        <v>0</v>
      </c>
      <c r="AN41">
        <f>IF($F41="s-curve",$D41+($E41-$D41)*$I$2/(1+EXP($I$3*(COUNT($H$8:AN$8)+$I$4))),TREND($D41:$E41,$D$8:$E$8,AN$8))</f>
        <v>0</v>
      </c>
      <c r="AO41">
        <f>IF($F41="s-curve",$D41+($E41-$D41)*$I$2/(1+EXP($I$3*(COUNT($H$8:AO$8)+$I$4))),TREND($D41:$E41,$D$8:$E$8,AO$8))</f>
        <v>0</v>
      </c>
      <c r="AP41">
        <f>IF($F41="s-curve",$D41+($E41-$D41)*$I$2/(1+EXP($I$3*(COUNT($H$8:AP$8)+$I$4))),TREND($D41:$E41,$D$8:$E$8,AP$8))</f>
        <v>0</v>
      </c>
      <c r="AQ41">
        <f>IF($F41="s-curve",$D41+($E41-$D41)*$I$2/(1+EXP($I$3*(COUNT($H$8:AQ$8)+$I$4))),TREND($D41:$E41,$D$8:$E$8,AQ$8))</f>
        <v>0</v>
      </c>
      <c r="AR41">
        <f>IF($F41="s-curve",$D41+($E41-$D41)*$I$2/(1+EXP($I$3*(COUNT($H$8:AR$8)+$I$4))),TREND($D41:$E41,$D$8:$E$8,AR$8))</f>
        <v>0</v>
      </c>
      <c r="AS41">
        <f>IF($F41="s-curve",$D41+($E41-$D41)*$I$2/(1+EXP($I$3*(COUNT($H$8:AS$8)+$I$4))),TREND($D41:$E41,$D$8:$E$8,AS$8))</f>
        <v>0</v>
      </c>
      <c r="AT41">
        <f>IF($F41="s-curve",$D41+($E41-$D41)*$I$2/(1+EXP($I$3*(COUNT($H$8:AT$8)+$I$4))),TREND($D41:$E41,$D$8:$E$8,AT$8))</f>
        <v>0</v>
      </c>
      <c r="AU41">
        <f>IF($F41="s-curve",$D41+($E41-$D41)*$I$2/(1+EXP($I$3*(COUNT($H$8:AU$8)+$I$4))),TREND($D41:$E41,$D$8:$E$8,AU$8))</f>
        <v>0</v>
      </c>
      <c r="AV41">
        <f>IF($F41="s-curve",$D41+($E41-$D41)*$I$2/(1+EXP($I$3*(COUNT($H$8:AV$8)+$I$4))),TREND($D41:$E41,$D$8:$E$8,AV$8))</f>
        <v>0</v>
      </c>
    </row>
    <row r="42" spans="1:48" x14ac:dyDescent="0.15">
      <c r="C42" t="s">
        <v>125</v>
      </c>
      <c r="D42">
        <v>0</v>
      </c>
      <c r="E42">
        <v>0</v>
      </c>
      <c r="F42" s="7" t="str">
        <f>IF(D42=E42,"n/a",IF(OR(C42="battery electric vehicle",C42="natural gas vehicle",C42="plugin hybrid vehicle",C42="hydrogen vehicle"),"s-curve","linear"))</f>
        <v>n/a</v>
      </c>
      <c r="H42" s="22">
        <f t="shared" si="23"/>
        <v>0</v>
      </c>
      <c r="I42">
        <f>IF($F42="s-curve",$D42+($E42-$D42)*$I$2/(1+EXP($I$3*(COUNT($H$8:I$8)+$I$4))),TREND($D42:$E42,$D$8:$E$8,I$8))</f>
        <v>0</v>
      </c>
      <c r="J42">
        <f>IF($F42="s-curve",$D42+($E42-$D42)*$I$2/(1+EXP($I$3*(COUNT($H$8:J$8)+$I$4))),TREND($D42:$E42,$D$8:$E$8,J$8))</f>
        <v>0</v>
      </c>
      <c r="K42">
        <f>IF($F42="s-curve",$D42+($E42-$D42)*$I$2/(1+EXP($I$3*(COUNT($H$8:K$8)+$I$4))),TREND($D42:$E42,$D$8:$E$8,K$8))</f>
        <v>0</v>
      </c>
      <c r="L42">
        <f>IF($F42="s-curve",$D42+($E42-$D42)*$I$2/(1+EXP($I$3*(COUNT($H$8:L$8)+$I$4))),TREND($D42:$E42,$D$8:$E$8,L$8))</f>
        <v>0</v>
      </c>
      <c r="M42">
        <f>IF($F42="s-curve",$D42+($E42-$D42)*$I$2/(1+EXP($I$3*(COUNT($H$8:M$8)+$I$4))),TREND($D42:$E42,$D$8:$E$8,M$8))</f>
        <v>0</v>
      </c>
      <c r="N42">
        <f>IF($F42="s-curve",$D42+($E42-$D42)*$I$2/(1+EXP($I$3*(COUNT($H$8:N$8)+$I$4))),TREND($D42:$E42,$D$8:$E$8,N$8))</f>
        <v>0</v>
      </c>
      <c r="O42">
        <f>IF($F42="s-curve",$D42+($E42-$D42)*$I$2/(1+EXP($I$3*(COUNT($H$8:O$8)+$I$4))),TREND($D42:$E42,$D$8:$E$8,O$8))</f>
        <v>0</v>
      </c>
      <c r="P42">
        <f>IF($F42="s-curve",$D42+($E42-$D42)*$I$2/(1+EXP($I$3*(COUNT($H$8:P$8)+$I$4))),TREND($D42:$E42,$D$8:$E$8,P$8))</f>
        <v>0</v>
      </c>
      <c r="Q42">
        <f>IF($F42="s-curve",$D42+($E42-$D42)*$I$2/(1+EXP($I$3*(COUNT($H$8:Q$8)+$I$4))),TREND($D42:$E42,$D$8:$E$8,Q$8))</f>
        <v>0</v>
      </c>
      <c r="R42">
        <f>IF($F42="s-curve",$D42+($E42-$D42)*$I$2/(1+EXP($I$3*(COUNT($H$8:R$8)+$I$4))),TREND($D42:$E42,$D$8:$E$8,R$8))</f>
        <v>0</v>
      </c>
      <c r="S42">
        <f>IF($F42="s-curve",$D42+($E42-$D42)*$I$2/(1+EXP($I$3*(COUNT($H$8:S$8)+$I$4))),TREND($D42:$E42,$D$8:$E$8,S$8))</f>
        <v>0</v>
      </c>
      <c r="T42">
        <f>IF($F42="s-curve",$D42+($E42-$D42)*$I$2/(1+EXP($I$3*(COUNT($H$8:T$8)+$I$4))),TREND($D42:$E42,$D$8:$E$8,T$8))</f>
        <v>0</v>
      </c>
      <c r="U42">
        <f>IF($F42="s-curve",$D42+($E42-$D42)*$I$2/(1+EXP($I$3*(COUNT($H$8:U$8)+$I$4))),TREND($D42:$E42,$D$8:$E$8,U$8))</f>
        <v>0</v>
      </c>
      <c r="V42">
        <f>IF($F42="s-curve",$D42+($E42-$D42)*$I$2/(1+EXP($I$3*(COUNT($H$8:V$8)+$I$4))),TREND($D42:$E42,$D$8:$E$8,V$8))</f>
        <v>0</v>
      </c>
      <c r="W42">
        <f>IF($F42="s-curve",$D42+($E42-$D42)*$I$2/(1+EXP($I$3*(COUNT($H$8:W$8)+$I$4))),TREND($D42:$E42,$D$8:$E$8,W$8))</f>
        <v>0</v>
      </c>
      <c r="X42">
        <f>IF($F42="s-curve",$D42+($E42-$D42)*$I$2/(1+EXP($I$3*(COUNT($H$8:X$8)+$I$4))),TREND($D42:$E42,$D$8:$E$8,X$8))</f>
        <v>0</v>
      </c>
      <c r="Y42">
        <f>IF($F42="s-curve",$D42+($E42-$D42)*$I$2/(1+EXP($I$3*(COUNT($H$8:Y$8)+$I$4))),TREND($D42:$E42,$D$8:$E$8,Y$8))</f>
        <v>0</v>
      </c>
      <c r="Z42">
        <f>IF($F42="s-curve",$D42+($E42-$D42)*$I$2/(1+EXP($I$3*(COUNT($H$8:Z$8)+$I$4))),TREND($D42:$E42,$D$8:$E$8,Z$8))</f>
        <v>0</v>
      </c>
      <c r="AA42">
        <f>IF($F42="s-curve",$D42+($E42-$D42)*$I$2/(1+EXP($I$3*(COUNT($H$8:AA$8)+$I$4))),TREND($D42:$E42,$D$8:$E$8,AA$8))</f>
        <v>0</v>
      </c>
      <c r="AB42">
        <f>IF($F42="s-curve",$D42+($E42-$D42)*$I$2/(1+EXP($I$3*(COUNT($H$8:AB$8)+$I$4))),TREND($D42:$E42,$D$8:$E$8,AB$8))</f>
        <v>0</v>
      </c>
      <c r="AC42">
        <f>IF($F42="s-curve",$D42+($E42-$D42)*$I$2/(1+EXP($I$3*(COUNT($H$8:AC$8)+$I$4))),TREND($D42:$E42,$D$8:$E$8,AC$8))</f>
        <v>0</v>
      </c>
      <c r="AD42">
        <f>IF($F42="s-curve",$D42+($E42-$D42)*$I$2/(1+EXP($I$3*(COUNT($H$8:AD$8)+$I$4))),TREND($D42:$E42,$D$8:$E$8,AD$8))</f>
        <v>0</v>
      </c>
      <c r="AE42">
        <f>IF($F42="s-curve",$D42+($E42-$D42)*$I$2/(1+EXP($I$3*(COUNT($H$8:AE$8)+$I$4))),TREND($D42:$E42,$D$8:$E$8,AE$8))</f>
        <v>0</v>
      </c>
      <c r="AF42">
        <f>IF($F42="s-curve",$D42+($E42-$D42)*$I$2/(1+EXP($I$3*(COUNT($H$8:AF$8)+$I$4))),TREND($D42:$E42,$D$8:$E$8,AF$8))</f>
        <v>0</v>
      </c>
      <c r="AG42">
        <f>IF($F42="s-curve",$D42+($E42-$D42)*$I$2/(1+EXP($I$3*(COUNT($H$8:AG$8)+$I$4))),TREND($D42:$E42,$D$8:$E$8,AG$8))</f>
        <v>0</v>
      </c>
      <c r="AH42">
        <f>IF($F42="s-curve",$D42+($E42-$D42)*$I$2/(1+EXP($I$3*(COUNT($H$8:AH$8)+$I$4))),TREND($D42:$E42,$D$8:$E$8,AH$8))</f>
        <v>0</v>
      </c>
      <c r="AI42">
        <f>IF($F42="s-curve",$D42+($E42-$D42)*$I$2/(1+EXP($I$3*(COUNT($H$8:AI$8)+$I$4))),TREND($D42:$E42,$D$8:$E$8,AI$8))</f>
        <v>0</v>
      </c>
      <c r="AJ42">
        <f>IF($F42="s-curve",$D42+($E42-$D42)*$I$2/(1+EXP($I$3*(COUNT($H$8:AJ$8)+$I$4))),TREND($D42:$E42,$D$8:$E$8,AJ$8))</f>
        <v>0</v>
      </c>
      <c r="AK42">
        <f>IF($F42="s-curve",$D42+($E42-$D42)*$I$2/(1+EXP($I$3*(COUNT($H$8:AK$8)+$I$4))),TREND($D42:$E42,$D$8:$E$8,AK$8))</f>
        <v>0</v>
      </c>
      <c r="AL42">
        <f>IF($F42="s-curve",$D42+($E42-$D42)*$I$2/(1+EXP($I$3*(COUNT($H$8:AL$8)+$I$4))),TREND($D42:$E42,$D$8:$E$8,AL$8))</f>
        <v>0</v>
      </c>
      <c r="AM42">
        <f>IF($F42="s-curve",$D42+($E42-$D42)*$I$2/(1+EXP($I$3*(COUNT($H$8:AM$8)+$I$4))),TREND($D42:$E42,$D$8:$E$8,AM$8))</f>
        <v>0</v>
      </c>
      <c r="AN42">
        <f>IF($F42="s-curve",$D42+($E42-$D42)*$I$2/(1+EXP($I$3*(COUNT($H$8:AN$8)+$I$4))),TREND($D42:$E42,$D$8:$E$8,AN$8))</f>
        <v>0</v>
      </c>
      <c r="AO42">
        <f>IF($F42="s-curve",$D42+($E42-$D42)*$I$2/(1+EXP($I$3*(COUNT($H$8:AO$8)+$I$4))),TREND($D42:$E42,$D$8:$E$8,AO$8))</f>
        <v>0</v>
      </c>
      <c r="AP42">
        <f>IF($F42="s-curve",$D42+($E42-$D42)*$I$2/(1+EXP($I$3*(COUNT($H$8:AP$8)+$I$4))),TREND($D42:$E42,$D$8:$E$8,AP$8))</f>
        <v>0</v>
      </c>
      <c r="AQ42">
        <f>IF($F42="s-curve",$D42+($E42-$D42)*$I$2/(1+EXP($I$3*(COUNT($H$8:AQ$8)+$I$4))),TREND($D42:$E42,$D$8:$E$8,AQ$8))</f>
        <v>0</v>
      </c>
      <c r="AR42">
        <f>IF($F42="s-curve",$D42+($E42-$D42)*$I$2/(1+EXP($I$3*(COUNT($H$8:AR$8)+$I$4))),TREND($D42:$E42,$D$8:$E$8,AR$8))</f>
        <v>0</v>
      </c>
      <c r="AS42">
        <f>IF($F42="s-curve",$D42+($E42-$D42)*$I$2/(1+EXP($I$3*(COUNT($H$8:AS$8)+$I$4))),TREND($D42:$E42,$D$8:$E$8,AS$8))</f>
        <v>0</v>
      </c>
      <c r="AT42">
        <f>IF($F42="s-curve",$D42+($E42-$D42)*$I$2/(1+EXP($I$3*(COUNT($H$8:AT$8)+$I$4))),TREND($D42:$E42,$D$8:$E$8,AT$8))</f>
        <v>0</v>
      </c>
      <c r="AU42">
        <f>IF($F42="s-curve",$D42+($E42-$D42)*$I$2/(1+EXP($I$3*(COUNT($H$8:AU$8)+$I$4))),TREND($D42:$E42,$D$8:$E$8,AU$8))</f>
        <v>0</v>
      </c>
      <c r="AV42">
        <f>IF($F42="s-curve",$D42+($E42-$D42)*$I$2/(1+EXP($I$3*(COUNT($H$8:AV$8)+$I$4))),TREND($D42:$E42,$D$8:$E$8,AV$8))</f>
        <v>0</v>
      </c>
    </row>
    <row r="43" spans="1:48" ht="13.6" thickBot="1" x14ac:dyDescent="0.2">
      <c r="A43" s="23"/>
      <c r="B43" s="23"/>
      <c r="C43" s="23" t="s">
        <v>126</v>
      </c>
      <c r="D43" s="23">
        <v>0</v>
      </c>
      <c r="E43" s="23">
        <v>0.2</v>
      </c>
      <c r="F43" s="8" t="str">
        <f>IF(D43=E43,"n/a",IF(OR(C43="battery electric vehicle",C43="natural gas vehicle",C43="plugin hybrid vehicle",C43="hydrogen vehicle"),"s-curve","linear"))</f>
        <v>s-curve</v>
      </c>
      <c r="H43" s="22">
        <f t="shared" si="23"/>
        <v>0</v>
      </c>
      <c r="I43">
        <f>IF($F43="s-curve",$D43+($E43-$D43)*$I$2/(1+EXP($I$3*(COUNT($H$8:I$8)+$I$4))),TREND($D43:$E43,$D$8:$E$8,I$8))</f>
        <v>2.9548063386546112E-3</v>
      </c>
      <c r="J43">
        <f>IF($F43="s-curve",$D43+($E43-$D43)*$I$2/(1+EXP($I$3*(COUNT($H$8:J$8)+$I$4))),TREND($D43:$E43,$D$8:$E$8,J$8))</f>
        <v>3.9680611468155018E-3</v>
      </c>
      <c r="K43">
        <f>IF($F43="s-curve",$D43+($E43-$D43)*$I$2/(1+EXP($I$3*(COUNT($H$8:K$8)+$I$4))),TREND($D43:$E43,$D$8:$E$8,K$8))</f>
        <v>5.3193987153731734E-3</v>
      </c>
      <c r="L43">
        <f>IF($F43="s-curve",$D43+($E43-$D43)*$I$2/(1+EXP($I$3*(COUNT($H$8:L$8)+$I$4))),TREND($D43:$E43,$D$8:$E$8,L$8))</f>
        <v>7.1142378545272361E-3</v>
      </c>
      <c r="M43">
        <f>IF($F43="s-curve",$D43+($E43-$D43)*$I$2/(1+EXP($I$3*(COUNT($H$8:M$8)+$I$4))),TREND($D43:$E43,$D$8:$E$8,M$8))</f>
        <v>9.4851746355133562E-3</v>
      </c>
      <c r="N43">
        <f>IF($F43="s-curve",$D43+($E43-$D43)*$I$2/(1+EXP($I$3*(COUNT($H$8:N$8)+$I$4))),TREND($D43:$E43,$D$8:$E$8,N$8))</f>
        <v>1.2594671211399303E-2</v>
      </c>
      <c r="O43">
        <f>IF($F43="s-curve",$D43+($E43-$D43)*$I$2/(1+EXP($I$3*(COUNT($H$8:O$8)+$I$4))),TREND($D43:$E43,$D$8:$E$8,O$8))</f>
        <v>1.6634539298784477E-2</v>
      </c>
      <c r="P43">
        <f>IF($F43="s-curve",$D43+($E43-$D43)*$I$2/(1+EXP($I$3*(COUNT($H$8:P$8)+$I$4))),TREND($D43:$E43,$D$8:$E$8,P$8))</f>
        <v>2.1819364239122584E-2</v>
      </c>
      <c r="Q43">
        <f>IF($F43="s-curve",$D43+($E43-$D43)*$I$2/(1+EXP($I$3*(COUNT($H$8:Q$8)+$I$4))),TREND($D43:$E43,$D$8:$E$8,Q$8))</f>
        <v>2.8370212980097564E-2</v>
      </c>
      <c r="R43">
        <f>IF($F43="s-curve",$D43+($E43-$D43)*$I$2/(1+EXP($I$3*(COUNT($H$8:R$8)+$I$4))),TREND($D43:$E43,$D$8:$E$8,R$8))</f>
        <v>3.6485104761271273E-2</v>
      </c>
      <c r="S43">
        <f>IF($F43="s-curve",$D43+($E43-$D43)*$I$2/(1+EXP($I$3*(COUNT($H$8:S$8)+$I$4))),TREND($D43:$E43,$D$8:$E$8,S$8))</f>
        <v>4.629504330019648E-2</v>
      </c>
      <c r="T43">
        <f>IF($F43="s-curve",$D43+($E43-$D43)*$I$2/(1+EXP($I$3*(COUNT($H$8:T$8)+$I$4))),TREND($D43:$E43,$D$8:$E$8,T$8))</f>
        <v>5.7810099474999217E-2</v>
      </c>
      <c r="U43">
        <f>IF($F43="s-curve",$D43+($E43-$D43)*$I$2/(1+EXP($I$3*(COUNT($H$8:U$8)+$I$4))),TREND($D43:$E43,$D$8:$E$8,U$8))</f>
        <v>7.0868738754840913E-2</v>
      </c>
      <c r="V43">
        <f>IF($F43="s-curve",$D43+($E43-$D43)*$I$2/(1+EXP($I$3*(COUNT($H$8:V$8)+$I$4))),TREND($D43:$E43,$D$8:$E$8,V$8))</f>
        <v>8.5111496637668205E-2</v>
      </c>
      <c r="W43">
        <f>IF($F43="s-curve",$D43+($E43-$D43)*$I$2/(1+EXP($I$3*(COUNT($H$8:W$8)+$I$4))),TREND($D43:$E43,$D$8:$E$8,W$8))</f>
        <v>0.1</v>
      </c>
      <c r="X43">
        <f>IF($F43="s-curve",$D43+($E43-$D43)*$I$2/(1+EXP($I$3*(COUNT($H$8:X$8)+$I$4))),TREND($D43:$E43,$D$8:$E$8,X$8))</f>
        <v>0.11488850336233181</v>
      </c>
      <c r="Y43">
        <f>IF($F43="s-curve",$D43+($E43-$D43)*$I$2/(1+EXP($I$3*(COUNT($H$8:Y$8)+$I$4))),TREND($D43:$E43,$D$8:$E$8,Y$8))</f>
        <v>0.12913126124515908</v>
      </c>
      <c r="Z43">
        <f>IF($F43="s-curve",$D43+($E43-$D43)*$I$2/(1+EXP($I$3*(COUNT($H$8:Z$8)+$I$4))),TREND($D43:$E43,$D$8:$E$8,Z$8))</f>
        <v>0.1421899005250008</v>
      </c>
      <c r="AA43">
        <f>IF($F43="s-curve",$D43+($E43-$D43)*$I$2/(1+EXP($I$3*(COUNT($H$8:AA$8)+$I$4))),TREND($D43:$E43,$D$8:$E$8,AA$8))</f>
        <v>0.15370495669980352</v>
      </c>
      <c r="AB43">
        <f>IF($F43="s-curve",$D43+($E43-$D43)*$I$2/(1+EXP($I$3*(COUNT($H$8:AB$8)+$I$4))),TREND($D43:$E43,$D$8:$E$8,AB$8))</f>
        <v>0.16351489523872872</v>
      </c>
      <c r="AC43">
        <f>IF($F43="s-curve",$D43+($E43-$D43)*$I$2/(1+EXP($I$3*(COUNT($H$8:AC$8)+$I$4))),TREND($D43:$E43,$D$8:$E$8,AC$8))</f>
        <v>0.17162978701990247</v>
      </c>
      <c r="AD43">
        <f>IF($F43="s-curve",$D43+($E43-$D43)*$I$2/(1+EXP($I$3*(COUNT($H$8:AD$8)+$I$4))),TREND($D43:$E43,$D$8:$E$8,AD$8))</f>
        <v>0.17818063576087742</v>
      </c>
      <c r="AE43">
        <f>IF($F43="s-curve",$D43+($E43-$D43)*$I$2/(1+EXP($I$3*(COUNT($H$8:AE$8)+$I$4))),TREND($D43:$E43,$D$8:$E$8,AE$8))</f>
        <v>0.18336546070121554</v>
      </c>
      <c r="AF43">
        <f>IF($F43="s-curve",$D43+($E43-$D43)*$I$2/(1+EXP($I$3*(COUNT($H$8:AF$8)+$I$4))),TREND($D43:$E43,$D$8:$E$8,AF$8))</f>
        <v>0.18740532878860072</v>
      </c>
      <c r="AG43">
        <f>IF($F43="s-curve",$D43+($E43-$D43)*$I$2/(1+EXP($I$3*(COUNT($H$8:AG$8)+$I$4))),TREND($D43:$E43,$D$8:$E$8,AG$8))</f>
        <v>0.19051482536448666</v>
      </c>
      <c r="AH43">
        <f>IF($F43="s-curve",$D43+($E43-$D43)*$I$2/(1+EXP($I$3*(COUNT($H$8:AH$8)+$I$4))),TREND($D43:$E43,$D$8:$E$8,AH$8))</f>
        <v>0.19288576214547279</v>
      </c>
      <c r="AI43">
        <f>IF($F43="s-curve",$D43+($E43-$D43)*$I$2/(1+EXP($I$3*(COUNT($H$8:AI$8)+$I$4))),TREND($D43:$E43,$D$8:$E$8,AI$8))</f>
        <v>0.19468060128462683</v>
      </c>
      <c r="AJ43">
        <f>IF($F43="s-curve",$D43+($E43-$D43)*$I$2/(1+EXP($I$3*(COUNT($H$8:AJ$8)+$I$4))),TREND($D43:$E43,$D$8:$E$8,AJ$8))</f>
        <v>0.19603193885318451</v>
      </c>
      <c r="AK43">
        <f>IF($F43="s-curve",$D43+($E43-$D43)*$I$2/(1+EXP($I$3*(COUNT($H$8:AK$8)+$I$4))),TREND($D43:$E43,$D$8:$E$8,AK$8))</f>
        <v>0.1970451936613454</v>
      </c>
      <c r="AL43">
        <f>IF($F43="s-curve",$D43+($E43-$D43)*$I$2/(1+EXP($I$3*(COUNT($H$8:AL$8)+$I$4))),TREND($D43:$E43,$D$8:$E$8,AL$8))</f>
        <v>0.1978026114738814</v>
      </c>
      <c r="AM43">
        <f>IF($F43="s-curve",$D43+($E43-$D43)*$I$2/(1+EXP($I$3*(COUNT($H$8:AM$8)+$I$4))),TREND($D43:$E43,$D$8:$E$8,AM$8))</f>
        <v>0.19836748576936802</v>
      </c>
      <c r="AN43">
        <f>IF($F43="s-curve",$D43+($E43-$D43)*$I$2/(1+EXP($I$3*(COUNT($H$8:AN$8)+$I$4))),TREND($D43:$E43,$D$8:$E$8,AN$8))</f>
        <v>0.19878803970168316</v>
      </c>
      <c r="AO43">
        <f>IF($F43="s-curve",$D43+($E43-$D43)*$I$2/(1+EXP($I$3*(COUNT($H$8:AO$8)+$I$4))),TREND($D43:$E43,$D$8:$E$8,AO$8))</f>
        <v>0.19910074536781178</v>
      </c>
      <c r="AP43">
        <f>IF($F43="s-curve",$D43+($E43-$D43)*$I$2/(1+EXP($I$3*(COUNT($H$8:AP$8)+$I$4))),TREND($D43:$E43,$D$8:$E$8,AP$8))</f>
        <v>0.19933303853851736</v>
      </c>
      <c r="AQ43">
        <f>IF($F43="s-curve",$D43+($E43-$D43)*$I$2/(1+EXP($I$3*(COUNT($H$8:AQ$8)+$I$4))),TREND($D43:$E43,$D$8:$E$8,AQ$8))</f>
        <v>0.19950547536867308</v>
      </c>
      <c r="AR43">
        <f>IF($F43="s-curve",$D43+($E43-$D43)*$I$2/(1+EXP($I$3*(COUNT($H$8:AR$8)+$I$4))),TREND($D43:$E43,$D$8:$E$8,AR$8))</f>
        <v>0.19963341221150147</v>
      </c>
      <c r="AS43">
        <f>IF($F43="s-curve",$D43+($E43-$D43)*$I$2/(1+EXP($I$3*(COUNT($H$8:AS$8)+$I$4))),TREND($D43:$E43,$D$8:$E$8,AS$8))</f>
        <v>0.19972829600991424</v>
      </c>
      <c r="AT43">
        <f>IF($F43="s-curve",$D43+($E43-$D43)*$I$2/(1+EXP($I$3*(COUNT($H$8:AT$8)+$I$4))),TREND($D43:$E43,$D$8:$E$8,AT$8))</f>
        <v>0.19979864583598289</v>
      </c>
      <c r="AU43">
        <f>IF($F43="s-curve",$D43+($E43-$D43)*$I$2/(1+EXP($I$3*(COUNT($H$8:AU$8)+$I$4))),TREND($D43:$E43,$D$8:$E$8,AU$8))</f>
        <v>0.19985079423323268</v>
      </c>
      <c r="AV43">
        <f>IF($F43="s-curve",$D43+($E43-$D43)*$I$2/(1+EXP($I$3*(COUNT($H$8:AV$8)+$I$4))),TREND($D43:$E43,$D$8:$E$8,AV$8))</f>
        <v>0.19988944427261529</v>
      </c>
    </row>
    <row r="44" spans="1:48" x14ac:dyDescent="0.15">
      <c r="A44" t="s">
        <v>14</v>
      </c>
      <c r="B44" t="s">
        <v>18</v>
      </c>
      <c r="C44" t="s">
        <v>1</v>
      </c>
      <c r="D44">
        <v>0</v>
      </c>
      <c r="E44">
        <v>0.2</v>
      </c>
      <c r="F44" s="7" t="str">
        <f>IF(D44=E44,"n/a",IF(OR(C44="battery electric vehicle",C44="natural gas vehicle",C44="plugin hybrid vehicle"),"s-curve","linear"))</f>
        <v>s-curve</v>
      </c>
      <c r="H44" s="22">
        <f t="shared" si="23"/>
        <v>0</v>
      </c>
      <c r="I44">
        <f>IF($F44="s-curve",$D44+($E44-$D44)*$I$2/(1+EXP($I$3*(COUNT($H$8:I$8)+$I$4))),TREND($D44:$E44,$D$8:$E$8,I$8))</f>
        <v>2.9548063386546112E-3</v>
      </c>
      <c r="J44">
        <f>IF($F44="s-curve",$D44+($E44-$D44)*$I$2/(1+EXP($I$3*(COUNT($H$8:J$8)+$I$4))),TREND($D44:$E44,$D$8:$E$8,J$8))</f>
        <v>3.9680611468155018E-3</v>
      </c>
      <c r="K44">
        <f>IF($F44="s-curve",$D44+($E44-$D44)*$I$2/(1+EXP($I$3*(COUNT($H$8:K$8)+$I$4))),TREND($D44:$E44,$D$8:$E$8,K$8))</f>
        <v>5.3193987153731734E-3</v>
      </c>
      <c r="L44">
        <f>IF($F44="s-curve",$D44+($E44-$D44)*$I$2/(1+EXP($I$3*(COUNT($H$8:L$8)+$I$4))),TREND($D44:$E44,$D$8:$E$8,L$8))</f>
        <v>7.1142378545272361E-3</v>
      </c>
      <c r="M44">
        <f>IF($F44="s-curve",$D44+($E44-$D44)*$I$2/(1+EXP($I$3*(COUNT($H$8:M$8)+$I$4))),TREND($D44:$E44,$D$8:$E$8,M$8))</f>
        <v>9.4851746355133562E-3</v>
      </c>
      <c r="N44">
        <f>IF($F44="s-curve",$D44+($E44-$D44)*$I$2/(1+EXP($I$3*(COUNT($H$8:N$8)+$I$4))),TREND($D44:$E44,$D$8:$E$8,N$8))</f>
        <v>1.2594671211399303E-2</v>
      </c>
      <c r="O44">
        <f>IF($F44="s-curve",$D44+($E44-$D44)*$I$2/(1+EXP($I$3*(COUNT($H$8:O$8)+$I$4))),TREND($D44:$E44,$D$8:$E$8,O$8))</f>
        <v>1.6634539298784477E-2</v>
      </c>
      <c r="P44">
        <f>IF($F44="s-curve",$D44+($E44-$D44)*$I$2/(1+EXP($I$3*(COUNT($H$8:P$8)+$I$4))),TREND($D44:$E44,$D$8:$E$8,P$8))</f>
        <v>2.1819364239122584E-2</v>
      </c>
      <c r="Q44">
        <f>IF($F44="s-curve",$D44+($E44-$D44)*$I$2/(1+EXP($I$3*(COUNT($H$8:Q$8)+$I$4))),TREND($D44:$E44,$D$8:$E$8,Q$8))</f>
        <v>2.8370212980097564E-2</v>
      </c>
      <c r="R44">
        <f>IF($F44="s-curve",$D44+($E44-$D44)*$I$2/(1+EXP($I$3*(COUNT($H$8:R$8)+$I$4))),TREND($D44:$E44,$D$8:$E$8,R$8))</f>
        <v>3.6485104761271273E-2</v>
      </c>
      <c r="S44">
        <f>IF($F44="s-curve",$D44+($E44-$D44)*$I$2/(1+EXP($I$3*(COUNT($H$8:S$8)+$I$4))),TREND($D44:$E44,$D$8:$E$8,S$8))</f>
        <v>4.629504330019648E-2</v>
      </c>
      <c r="T44">
        <f>IF($F44="s-curve",$D44+($E44-$D44)*$I$2/(1+EXP($I$3*(COUNT($H$8:T$8)+$I$4))),TREND($D44:$E44,$D$8:$E$8,T$8))</f>
        <v>5.7810099474999217E-2</v>
      </c>
      <c r="U44">
        <f>IF($F44="s-curve",$D44+($E44-$D44)*$I$2/(1+EXP($I$3*(COUNT($H$8:U$8)+$I$4))),TREND($D44:$E44,$D$8:$E$8,U$8))</f>
        <v>7.0868738754840913E-2</v>
      </c>
      <c r="V44">
        <f>IF($F44="s-curve",$D44+($E44-$D44)*$I$2/(1+EXP($I$3*(COUNT($H$8:V$8)+$I$4))),TREND($D44:$E44,$D$8:$E$8,V$8))</f>
        <v>8.5111496637668205E-2</v>
      </c>
      <c r="W44">
        <f>IF($F44="s-curve",$D44+($E44-$D44)*$I$2/(1+EXP($I$3*(COUNT($H$8:W$8)+$I$4))),TREND($D44:$E44,$D$8:$E$8,W$8))</f>
        <v>0.1</v>
      </c>
      <c r="X44">
        <f>IF($F44="s-curve",$D44+($E44-$D44)*$I$2/(1+EXP($I$3*(COUNT($H$8:X$8)+$I$4))),TREND($D44:$E44,$D$8:$E$8,X$8))</f>
        <v>0.11488850336233181</v>
      </c>
      <c r="Y44">
        <f>IF($F44="s-curve",$D44+($E44-$D44)*$I$2/(1+EXP($I$3*(COUNT($H$8:Y$8)+$I$4))),TREND($D44:$E44,$D$8:$E$8,Y$8))</f>
        <v>0.12913126124515908</v>
      </c>
      <c r="Z44">
        <f>IF($F44="s-curve",$D44+($E44-$D44)*$I$2/(1+EXP($I$3*(COUNT($H$8:Z$8)+$I$4))),TREND($D44:$E44,$D$8:$E$8,Z$8))</f>
        <v>0.1421899005250008</v>
      </c>
      <c r="AA44">
        <f>IF($F44="s-curve",$D44+($E44-$D44)*$I$2/(1+EXP($I$3*(COUNT($H$8:AA$8)+$I$4))),TREND($D44:$E44,$D$8:$E$8,AA$8))</f>
        <v>0.15370495669980352</v>
      </c>
      <c r="AB44">
        <f>IF($F44="s-curve",$D44+($E44-$D44)*$I$2/(1+EXP($I$3*(COUNT($H$8:AB$8)+$I$4))),TREND($D44:$E44,$D$8:$E$8,AB$8))</f>
        <v>0.16351489523872872</v>
      </c>
      <c r="AC44">
        <f>IF($F44="s-curve",$D44+($E44-$D44)*$I$2/(1+EXP($I$3*(COUNT($H$8:AC$8)+$I$4))),TREND($D44:$E44,$D$8:$E$8,AC$8))</f>
        <v>0.17162978701990247</v>
      </c>
      <c r="AD44">
        <f>IF($F44="s-curve",$D44+($E44-$D44)*$I$2/(1+EXP($I$3*(COUNT($H$8:AD$8)+$I$4))),TREND($D44:$E44,$D$8:$E$8,AD$8))</f>
        <v>0.17818063576087742</v>
      </c>
      <c r="AE44">
        <f>IF($F44="s-curve",$D44+($E44-$D44)*$I$2/(1+EXP($I$3*(COUNT($H$8:AE$8)+$I$4))),TREND($D44:$E44,$D$8:$E$8,AE$8))</f>
        <v>0.18336546070121554</v>
      </c>
      <c r="AF44">
        <f>IF($F44="s-curve",$D44+($E44-$D44)*$I$2/(1+EXP($I$3*(COUNT($H$8:AF$8)+$I$4))),TREND($D44:$E44,$D$8:$E$8,AF$8))</f>
        <v>0.18740532878860072</v>
      </c>
      <c r="AG44">
        <f>IF($F44="s-curve",$D44+($E44-$D44)*$I$2/(1+EXP($I$3*(COUNT($H$8:AG$8)+$I$4))),TREND($D44:$E44,$D$8:$E$8,AG$8))</f>
        <v>0.19051482536448666</v>
      </c>
      <c r="AH44">
        <f>IF($F44="s-curve",$D44+($E44-$D44)*$I$2/(1+EXP($I$3*(COUNT($H$8:AH$8)+$I$4))),TREND($D44:$E44,$D$8:$E$8,AH$8))</f>
        <v>0.19288576214547279</v>
      </c>
      <c r="AI44">
        <f>IF($F44="s-curve",$D44+($E44-$D44)*$I$2/(1+EXP($I$3*(COUNT($H$8:AI$8)+$I$4))),TREND($D44:$E44,$D$8:$E$8,AI$8))</f>
        <v>0.19468060128462683</v>
      </c>
      <c r="AJ44">
        <f>IF($F44="s-curve",$D44+($E44-$D44)*$I$2/(1+EXP($I$3*(COUNT($H$8:AJ$8)+$I$4))),TREND($D44:$E44,$D$8:$E$8,AJ$8))</f>
        <v>0.19603193885318451</v>
      </c>
      <c r="AK44">
        <f>IF($F44="s-curve",$D44+($E44-$D44)*$I$2/(1+EXP($I$3*(COUNT($H$8:AK$8)+$I$4))),TREND($D44:$E44,$D$8:$E$8,AK$8))</f>
        <v>0.1970451936613454</v>
      </c>
      <c r="AL44">
        <f>IF($F44="s-curve",$D44+($E44-$D44)*$I$2/(1+EXP($I$3*(COUNT($H$8:AL$8)+$I$4))),TREND($D44:$E44,$D$8:$E$8,AL$8))</f>
        <v>0.1978026114738814</v>
      </c>
      <c r="AM44">
        <f>IF($F44="s-curve",$D44+($E44-$D44)*$I$2/(1+EXP($I$3*(COUNT($H$8:AM$8)+$I$4))),TREND($D44:$E44,$D$8:$E$8,AM$8))</f>
        <v>0.19836748576936802</v>
      </c>
      <c r="AN44">
        <f>IF($F44="s-curve",$D44+($E44-$D44)*$I$2/(1+EXP($I$3*(COUNT($H$8:AN$8)+$I$4))),TREND($D44:$E44,$D$8:$E$8,AN$8))</f>
        <v>0.19878803970168316</v>
      </c>
      <c r="AO44">
        <f>IF($F44="s-curve",$D44+($E44-$D44)*$I$2/(1+EXP($I$3*(COUNT($H$8:AO$8)+$I$4))),TREND($D44:$E44,$D$8:$E$8,AO$8))</f>
        <v>0.19910074536781178</v>
      </c>
      <c r="AP44">
        <f>IF($F44="s-curve",$D44+($E44-$D44)*$I$2/(1+EXP($I$3*(COUNT($H$8:AP$8)+$I$4))),TREND($D44:$E44,$D$8:$E$8,AP$8))</f>
        <v>0.19933303853851736</v>
      </c>
      <c r="AQ44">
        <f>IF($F44="s-curve",$D44+($E44-$D44)*$I$2/(1+EXP($I$3*(COUNT($H$8:AQ$8)+$I$4))),TREND($D44:$E44,$D$8:$E$8,AQ$8))</f>
        <v>0.19950547536867308</v>
      </c>
      <c r="AR44">
        <f>IF($F44="s-curve",$D44+($E44-$D44)*$I$2/(1+EXP($I$3*(COUNT($H$8:AR$8)+$I$4))),TREND($D44:$E44,$D$8:$E$8,AR$8))</f>
        <v>0.19963341221150147</v>
      </c>
      <c r="AS44">
        <f>IF($F44="s-curve",$D44+($E44-$D44)*$I$2/(1+EXP($I$3*(COUNT($H$8:AS$8)+$I$4))),TREND($D44:$E44,$D$8:$E$8,AS$8))</f>
        <v>0.19972829600991424</v>
      </c>
      <c r="AT44">
        <f>IF($F44="s-curve",$D44+($E44-$D44)*$I$2/(1+EXP($I$3*(COUNT($H$8:AT$8)+$I$4))),TREND($D44:$E44,$D$8:$E$8,AT$8))</f>
        <v>0.19979864583598289</v>
      </c>
      <c r="AU44">
        <f>IF($F44="s-curve",$D44+($E44-$D44)*$I$2/(1+EXP($I$3*(COUNT($H$8:AU$8)+$I$4))),TREND($D44:$E44,$D$8:$E$8,AU$8))</f>
        <v>0.19985079423323268</v>
      </c>
      <c r="AV44">
        <f>IF($F44="s-curve",$D44+($E44-$D44)*$I$2/(1+EXP($I$3*(COUNT($H$8:AV$8)+$I$4))),TREND($D44:$E44,$D$8:$E$8,AV$8))</f>
        <v>0.19988944427261529</v>
      </c>
    </row>
    <row r="45" spans="1:48" x14ac:dyDescent="0.15">
      <c r="C45" t="s">
        <v>2</v>
      </c>
      <c r="D45">
        <v>0</v>
      </c>
      <c r="E45">
        <v>0</v>
      </c>
      <c r="F45" s="7" t="str">
        <f>IF(D45=E45,"n/a",IF(OR(C45="battery electric vehicle",C45="natural gas vehicle",C45="plugin hybrid vehicle"),"s-curve","linear"))</f>
        <v>n/a</v>
      </c>
      <c r="H45" s="22">
        <f t="shared" si="23"/>
        <v>0</v>
      </c>
      <c r="I45">
        <f>IF($F45="s-curve",$D45+($E45-$D45)*$I$2/(1+EXP($I$3*(COUNT($H$8:I$8)+$I$4))),TREND($D45:$E45,$D$8:$E$8,I$8))</f>
        <v>0</v>
      </c>
      <c r="J45">
        <f>IF($F45="s-curve",$D45+($E45-$D45)*$I$2/(1+EXP($I$3*(COUNT($H$8:J$8)+$I$4))),TREND($D45:$E45,$D$8:$E$8,J$8))</f>
        <v>0</v>
      </c>
      <c r="K45">
        <f>IF($F45="s-curve",$D45+($E45-$D45)*$I$2/(1+EXP($I$3*(COUNT($H$8:K$8)+$I$4))),TREND($D45:$E45,$D$8:$E$8,K$8))</f>
        <v>0</v>
      </c>
      <c r="L45">
        <f>IF($F45="s-curve",$D45+($E45-$D45)*$I$2/(1+EXP($I$3*(COUNT($H$8:L$8)+$I$4))),TREND($D45:$E45,$D$8:$E$8,L$8))</f>
        <v>0</v>
      </c>
      <c r="M45">
        <f>IF($F45="s-curve",$D45+($E45-$D45)*$I$2/(1+EXP($I$3*(COUNT($H$8:M$8)+$I$4))),TREND($D45:$E45,$D$8:$E$8,M$8))</f>
        <v>0</v>
      </c>
      <c r="N45">
        <f>IF($F45="s-curve",$D45+($E45-$D45)*$I$2/(1+EXP($I$3*(COUNT($H$8:N$8)+$I$4))),TREND($D45:$E45,$D$8:$E$8,N$8))</f>
        <v>0</v>
      </c>
      <c r="O45">
        <f>IF($F45="s-curve",$D45+($E45-$D45)*$I$2/(1+EXP($I$3*(COUNT($H$8:O$8)+$I$4))),TREND($D45:$E45,$D$8:$E$8,O$8))</f>
        <v>0</v>
      </c>
      <c r="P45">
        <f>IF($F45="s-curve",$D45+($E45-$D45)*$I$2/(1+EXP($I$3*(COUNT($H$8:P$8)+$I$4))),TREND($D45:$E45,$D$8:$E$8,P$8))</f>
        <v>0</v>
      </c>
      <c r="Q45">
        <f>IF($F45="s-curve",$D45+($E45-$D45)*$I$2/(1+EXP($I$3*(COUNT($H$8:Q$8)+$I$4))),TREND($D45:$E45,$D$8:$E$8,Q$8))</f>
        <v>0</v>
      </c>
      <c r="R45">
        <f>IF($F45="s-curve",$D45+($E45-$D45)*$I$2/(1+EXP($I$3*(COUNT($H$8:R$8)+$I$4))),TREND($D45:$E45,$D$8:$E$8,R$8))</f>
        <v>0</v>
      </c>
      <c r="S45">
        <f>IF($F45="s-curve",$D45+($E45-$D45)*$I$2/(1+EXP($I$3*(COUNT($H$8:S$8)+$I$4))),TREND($D45:$E45,$D$8:$E$8,S$8))</f>
        <v>0</v>
      </c>
      <c r="T45">
        <f>IF($F45="s-curve",$D45+($E45-$D45)*$I$2/(1+EXP($I$3*(COUNT($H$8:T$8)+$I$4))),TREND($D45:$E45,$D$8:$E$8,T$8))</f>
        <v>0</v>
      </c>
      <c r="U45">
        <f>IF($F45="s-curve",$D45+($E45-$D45)*$I$2/(1+EXP($I$3*(COUNT($H$8:U$8)+$I$4))),TREND($D45:$E45,$D$8:$E$8,U$8))</f>
        <v>0</v>
      </c>
      <c r="V45">
        <f>IF($F45="s-curve",$D45+($E45-$D45)*$I$2/(1+EXP($I$3*(COUNT($H$8:V$8)+$I$4))),TREND($D45:$E45,$D$8:$E$8,V$8))</f>
        <v>0</v>
      </c>
      <c r="W45">
        <f>IF($F45="s-curve",$D45+($E45-$D45)*$I$2/(1+EXP($I$3*(COUNT($H$8:W$8)+$I$4))),TREND($D45:$E45,$D$8:$E$8,W$8))</f>
        <v>0</v>
      </c>
      <c r="X45">
        <f>IF($F45="s-curve",$D45+($E45-$D45)*$I$2/(1+EXP($I$3*(COUNT($H$8:X$8)+$I$4))),TREND($D45:$E45,$D$8:$E$8,X$8))</f>
        <v>0</v>
      </c>
      <c r="Y45">
        <f>IF($F45="s-curve",$D45+($E45-$D45)*$I$2/(1+EXP($I$3*(COUNT($H$8:Y$8)+$I$4))),TREND($D45:$E45,$D$8:$E$8,Y$8))</f>
        <v>0</v>
      </c>
      <c r="Z45">
        <f>IF($F45="s-curve",$D45+($E45-$D45)*$I$2/(1+EXP($I$3*(COUNT($H$8:Z$8)+$I$4))),TREND($D45:$E45,$D$8:$E$8,Z$8))</f>
        <v>0</v>
      </c>
      <c r="AA45">
        <f>IF($F45="s-curve",$D45+($E45-$D45)*$I$2/(1+EXP($I$3*(COUNT($H$8:AA$8)+$I$4))),TREND($D45:$E45,$D$8:$E$8,AA$8))</f>
        <v>0</v>
      </c>
      <c r="AB45">
        <f>IF($F45="s-curve",$D45+($E45-$D45)*$I$2/(1+EXP($I$3*(COUNT($H$8:AB$8)+$I$4))),TREND($D45:$E45,$D$8:$E$8,AB$8))</f>
        <v>0</v>
      </c>
      <c r="AC45">
        <f>IF($F45="s-curve",$D45+($E45-$D45)*$I$2/(1+EXP($I$3*(COUNT($H$8:AC$8)+$I$4))),TREND($D45:$E45,$D$8:$E$8,AC$8))</f>
        <v>0</v>
      </c>
      <c r="AD45">
        <f>IF($F45="s-curve",$D45+($E45-$D45)*$I$2/(1+EXP($I$3*(COUNT($H$8:AD$8)+$I$4))),TREND($D45:$E45,$D$8:$E$8,AD$8))</f>
        <v>0</v>
      </c>
      <c r="AE45">
        <f>IF($F45="s-curve",$D45+($E45-$D45)*$I$2/(1+EXP($I$3*(COUNT($H$8:AE$8)+$I$4))),TREND($D45:$E45,$D$8:$E$8,AE$8))</f>
        <v>0</v>
      </c>
      <c r="AF45">
        <f>IF($F45="s-curve",$D45+($E45-$D45)*$I$2/(1+EXP($I$3*(COUNT($H$8:AF$8)+$I$4))),TREND($D45:$E45,$D$8:$E$8,AF$8))</f>
        <v>0</v>
      </c>
      <c r="AG45">
        <f>IF($F45="s-curve",$D45+($E45-$D45)*$I$2/(1+EXP($I$3*(COUNT($H$8:AG$8)+$I$4))),TREND($D45:$E45,$D$8:$E$8,AG$8))</f>
        <v>0</v>
      </c>
      <c r="AH45">
        <f>IF($F45="s-curve",$D45+($E45-$D45)*$I$2/(1+EXP($I$3*(COUNT($H$8:AH$8)+$I$4))),TREND($D45:$E45,$D$8:$E$8,AH$8))</f>
        <v>0</v>
      </c>
      <c r="AI45">
        <f>IF($F45="s-curve",$D45+($E45-$D45)*$I$2/(1+EXP($I$3*(COUNT($H$8:AI$8)+$I$4))),TREND($D45:$E45,$D$8:$E$8,AI$8))</f>
        <v>0</v>
      </c>
      <c r="AJ45">
        <f>IF($F45="s-curve",$D45+($E45-$D45)*$I$2/(1+EXP($I$3*(COUNT($H$8:AJ$8)+$I$4))),TREND($D45:$E45,$D$8:$E$8,AJ$8))</f>
        <v>0</v>
      </c>
      <c r="AK45">
        <f>IF($F45="s-curve",$D45+($E45-$D45)*$I$2/(1+EXP($I$3*(COUNT($H$8:AK$8)+$I$4))),TREND($D45:$E45,$D$8:$E$8,AK$8))</f>
        <v>0</v>
      </c>
      <c r="AL45">
        <f>IF($F45="s-curve",$D45+($E45-$D45)*$I$2/(1+EXP($I$3*(COUNT($H$8:AL$8)+$I$4))),TREND($D45:$E45,$D$8:$E$8,AL$8))</f>
        <v>0</v>
      </c>
      <c r="AM45">
        <f>IF($F45="s-curve",$D45+($E45-$D45)*$I$2/(1+EXP($I$3*(COUNT($H$8:AM$8)+$I$4))),TREND($D45:$E45,$D$8:$E$8,AM$8))</f>
        <v>0</v>
      </c>
      <c r="AN45">
        <f>IF($F45="s-curve",$D45+($E45-$D45)*$I$2/(1+EXP($I$3*(COUNT($H$8:AN$8)+$I$4))),TREND($D45:$E45,$D$8:$E$8,AN$8))</f>
        <v>0</v>
      </c>
      <c r="AO45">
        <f>IF($F45="s-curve",$D45+($E45-$D45)*$I$2/(1+EXP($I$3*(COUNT($H$8:AO$8)+$I$4))),TREND($D45:$E45,$D$8:$E$8,AO$8))</f>
        <v>0</v>
      </c>
      <c r="AP45">
        <f>IF($F45="s-curve",$D45+($E45-$D45)*$I$2/(1+EXP($I$3*(COUNT($H$8:AP$8)+$I$4))),TREND($D45:$E45,$D$8:$E$8,AP$8))</f>
        <v>0</v>
      </c>
      <c r="AQ45">
        <f>IF($F45="s-curve",$D45+($E45-$D45)*$I$2/(1+EXP($I$3*(COUNT($H$8:AQ$8)+$I$4))),TREND($D45:$E45,$D$8:$E$8,AQ$8))</f>
        <v>0</v>
      </c>
      <c r="AR45">
        <f>IF($F45="s-curve",$D45+($E45-$D45)*$I$2/(1+EXP($I$3*(COUNT($H$8:AR$8)+$I$4))),TREND($D45:$E45,$D$8:$E$8,AR$8))</f>
        <v>0</v>
      </c>
      <c r="AS45">
        <f>IF($F45="s-curve",$D45+($E45-$D45)*$I$2/(1+EXP($I$3*(COUNT($H$8:AS$8)+$I$4))),TREND($D45:$E45,$D$8:$E$8,AS$8))</f>
        <v>0</v>
      </c>
      <c r="AT45">
        <f>IF($F45="s-curve",$D45+($E45-$D45)*$I$2/(1+EXP($I$3*(COUNT($H$8:AT$8)+$I$4))),TREND($D45:$E45,$D$8:$E$8,AT$8))</f>
        <v>0</v>
      </c>
      <c r="AU45">
        <f>IF($F45="s-curve",$D45+($E45-$D45)*$I$2/(1+EXP($I$3*(COUNT($H$8:AU$8)+$I$4))),TREND($D45:$E45,$D$8:$E$8,AU$8))</f>
        <v>0</v>
      </c>
      <c r="AV45">
        <f>IF($F45="s-curve",$D45+($E45-$D45)*$I$2/(1+EXP($I$3*(COUNT($H$8:AV$8)+$I$4))),TREND($D45:$E45,$D$8:$E$8,AV$8))</f>
        <v>0</v>
      </c>
    </row>
    <row r="46" spans="1:48" x14ac:dyDescent="0.15">
      <c r="C46" t="s">
        <v>3</v>
      </c>
      <c r="D46">
        <v>0</v>
      </c>
      <c r="E46">
        <v>0</v>
      </c>
      <c r="F46" s="7" t="str">
        <f>IF(D46=E46,"n/a",IF(OR(C46="battery electric vehicle",C46="natural gas vehicle",C46="plugin hybrid vehicle"),"s-curve","linear"))</f>
        <v>n/a</v>
      </c>
      <c r="H46" s="22">
        <f t="shared" si="23"/>
        <v>0</v>
      </c>
      <c r="I46">
        <f>IF($F46="s-curve",$D46+($E46-$D46)*$I$2/(1+EXP($I$3*(COUNT($H$8:I$8)+$I$4))),TREND($D46:$E46,$D$8:$E$8,I$8))</f>
        <v>0</v>
      </c>
      <c r="J46">
        <f>IF($F46="s-curve",$D46+($E46-$D46)*$I$2/(1+EXP($I$3*(COUNT($H$8:J$8)+$I$4))),TREND($D46:$E46,$D$8:$E$8,J$8))</f>
        <v>0</v>
      </c>
      <c r="K46">
        <f>IF($F46="s-curve",$D46+($E46-$D46)*$I$2/(1+EXP($I$3*(COUNT($H$8:K$8)+$I$4))),TREND($D46:$E46,$D$8:$E$8,K$8))</f>
        <v>0</v>
      </c>
      <c r="L46">
        <f>IF($F46="s-curve",$D46+($E46-$D46)*$I$2/(1+EXP($I$3*(COUNT($H$8:L$8)+$I$4))),TREND($D46:$E46,$D$8:$E$8,L$8))</f>
        <v>0</v>
      </c>
      <c r="M46">
        <f>IF($F46="s-curve",$D46+($E46-$D46)*$I$2/(1+EXP($I$3*(COUNT($H$8:M$8)+$I$4))),TREND($D46:$E46,$D$8:$E$8,M$8))</f>
        <v>0</v>
      </c>
      <c r="N46">
        <f>IF($F46="s-curve",$D46+($E46-$D46)*$I$2/(1+EXP($I$3*(COUNT($H$8:N$8)+$I$4))),TREND($D46:$E46,$D$8:$E$8,N$8))</f>
        <v>0</v>
      </c>
      <c r="O46">
        <f>IF($F46="s-curve",$D46+($E46-$D46)*$I$2/(1+EXP($I$3*(COUNT($H$8:O$8)+$I$4))),TREND($D46:$E46,$D$8:$E$8,O$8))</f>
        <v>0</v>
      </c>
      <c r="P46">
        <f>IF($F46="s-curve",$D46+($E46-$D46)*$I$2/(1+EXP($I$3*(COUNT($H$8:P$8)+$I$4))),TREND($D46:$E46,$D$8:$E$8,P$8))</f>
        <v>0</v>
      </c>
      <c r="Q46">
        <f>IF($F46="s-curve",$D46+($E46-$D46)*$I$2/(1+EXP($I$3*(COUNT($H$8:Q$8)+$I$4))),TREND($D46:$E46,$D$8:$E$8,Q$8))</f>
        <v>0</v>
      </c>
      <c r="R46">
        <f>IF($F46="s-curve",$D46+($E46-$D46)*$I$2/(1+EXP($I$3*(COUNT($H$8:R$8)+$I$4))),TREND($D46:$E46,$D$8:$E$8,R$8))</f>
        <v>0</v>
      </c>
      <c r="S46">
        <f>IF($F46="s-curve",$D46+($E46-$D46)*$I$2/(1+EXP($I$3*(COUNT($H$8:S$8)+$I$4))),TREND($D46:$E46,$D$8:$E$8,S$8))</f>
        <v>0</v>
      </c>
      <c r="T46">
        <f>IF($F46="s-curve",$D46+($E46-$D46)*$I$2/(1+EXP($I$3*(COUNT($H$8:T$8)+$I$4))),TREND($D46:$E46,$D$8:$E$8,T$8))</f>
        <v>0</v>
      </c>
      <c r="U46">
        <f>IF($F46="s-curve",$D46+($E46-$D46)*$I$2/(1+EXP($I$3*(COUNT($H$8:U$8)+$I$4))),TREND($D46:$E46,$D$8:$E$8,U$8))</f>
        <v>0</v>
      </c>
      <c r="V46">
        <f>IF($F46="s-curve",$D46+($E46-$D46)*$I$2/(1+EXP($I$3*(COUNT($H$8:V$8)+$I$4))),TREND($D46:$E46,$D$8:$E$8,V$8))</f>
        <v>0</v>
      </c>
      <c r="W46">
        <f>IF($F46="s-curve",$D46+($E46-$D46)*$I$2/(1+EXP($I$3*(COUNT($H$8:W$8)+$I$4))),TREND($D46:$E46,$D$8:$E$8,W$8))</f>
        <v>0</v>
      </c>
      <c r="X46">
        <f>IF($F46="s-curve",$D46+($E46-$D46)*$I$2/(1+EXP($I$3*(COUNT($H$8:X$8)+$I$4))),TREND($D46:$E46,$D$8:$E$8,X$8))</f>
        <v>0</v>
      </c>
      <c r="Y46">
        <f>IF($F46="s-curve",$D46+($E46-$D46)*$I$2/(1+EXP($I$3*(COUNT($H$8:Y$8)+$I$4))),TREND($D46:$E46,$D$8:$E$8,Y$8))</f>
        <v>0</v>
      </c>
      <c r="Z46">
        <f>IF($F46="s-curve",$D46+($E46-$D46)*$I$2/(1+EXP($I$3*(COUNT($H$8:Z$8)+$I$4))),TREND($D46:$E46,$D$8:$E$8,Z$8))</f>
        <v>0</v>
      </c>
      <c r="AA46">
        <f>IF($F46="s-curve",$D46+($E46-$D46)*$I$2/(1+EXP($I$3*(COUNT($H$8:AA$8)+$I$4))),TREND($D46:$E46,$D$8:$E$8,AA$8))</f>
        <v>0</v>
      </c>
      <c r="AB46">
        <f>IF($F46="s-curve",$D46+($E46-$D46)*$I$2/(1+EXP($I$3*(COUNT($H$8:AB$8)+$I$4))),TREND($D46:$E46,$D$8:$E$8,AB$8))</f>
        <v>0</v>
      </c>
      <c r="AC46">
        <f>IF($F46="s-curve",$D46+($E46-$D46)*$I$2/(1+EXP($I$3*(COUNT($H$8:AC$8)+$I$4))),TREND($D46:$E46,$D$8:$E$8,AC$8))</f>
        <v>0</v>
      </c>
      <c r="AD46">
        <f>IF($F46="s-curve",$D46+($E46-$D46)*$I$2/(1+EXP($I$3*(COUNT($H$8:AD$8)+$I$4))),TREND($D46:$E46,$D$8:$E$8,AD$8))</f>
        <v>0</v>
      </c>
      <c r="AE46">
        <f>IF($F46="s-curve",$D46+($E46-$D46)*$I$2/(1+EXP($I$3*(COUNT($H$8:AE$8)+$I$4))),TREND($D46:$E46,$D$8:$E$8,AE$8))</f>
        <v>0</v>
      </c>
      <c r="AF46">
        <f>IF($F46="s-curve",$D46+($E46-$D46)*$I$2/(1+EXP($I$3*(COUNT($H$8:AF$8)+$I$4))),TREND($D46:$E46,$D$8:$E$8,AF$8))</f>
        <v>0</v>
      </c>
      <c r="AG46">
        <f>IF($F46="s-curve",$D46+($E46-$D46)*$I$2/(1+EXP($I$3*(COUNT($H$8:AG$8)+$I$4))),TREND($D46:$E46,$D$8:$E$8,AG$8))</f>
        <v>0</v>
      </c>
      <c r="AH46">
        <f>IF($F46="s-curve",$D46+($E46-$D46)*$I$2/(1+EXP($I$3*(COUNT($H$8:AH$8)+$I$4))),TREND($D46:$E46,$D$8:$E$8,AH$8))</f>
        <v>0</v>
      </c>
      <c r="AI46">
        <f>IF($F46="s-curve",$D46+($E46-$D46)*$I$2/(1+EXP($I$3*(COUNT($H$8:AI$8)+$I$4))),TREND($D46:$E46,$D$8:$E$8,AI$8))</f>
        <v>0</v>
      </c>
      <c r="AJ46">
        <f>IF($F46="s-curve",$D46+($E46-$D46)*$I$2/(1+EXP($I$3*(COUNT($H$8:AJ$8)+$I$4))),TREND($D46:$E46,$D$8:$E$8,AJ$8))</f>
        <v>0</v>
      </c>
      <c r="AK46">
        <f>IF($F46="s-curve",$D46+($E46-$D46)*$I$2/(1+EXP($I$3*(COUNT($H$8:AK$8)+$I$4))),TREND($D46:$E46,$D$8:$E$8,AK$8))</f>
        <v>0</v>
      </c>
      <c r="AL46">
        <f>IF($F46="s-curve",$D46+($E46-$D46)*$I$2/(1+EXP($I$3*(COUNT($H$8:AL$8)+$I$4))),TREND($D46:$E46,$D$8:$E$8,AL$8))</f>
        <v>0</v>
      </c>
      <c r="AM46">
        <f>IF($F46="s-curve",$D46+($E46-$D46)*$I$2/(1+EXP($I$3*(COUNT($H$8:AM$8)+$I$4))),TREND($D46:$E46,$D$8:$E$8,AM$8))</f>
        <v>0</v>
      </c>
      <c r="AN46">
        <f>IF($F46="s-curve",$D46+($E46-$D46)*$I$2/(1+EXP($I$3*(COUNT($H$8:AN$8)+$I$4))),TREND($D46:$E46,$D$8:$E$8,AN$8))</f>
        <v>0</v>
      </c>
      <c r="AO46">
        <f>IF($F46="s-curve",$D46+($E46-$D46)*$I$2/(1+EXP($I$3*(COUNT($H$8:AO$8)+$I$4))),TREND($D46:$E46,$D$8:$E$8,AO$8))</f>
        <v>0</v>
      </c>
      <c r="AP46">
        <f>IF($F46="s-curve",$D46+($E46-$D46)*$I$2/(1+EXP($I$3*(COUNT($H$8:AP$8)+$I$4))),TREND($D46:$E46,$D$8:$E$8,AP$8))</f>
        <v>0</v>
      </c>
      <c r="AQ46">
        <f>IF($F46="s-curve",$D46+($E46-$D46)*$I$2/(1+EXP($I$3*(COUNT($H$8:AQ$8)+$I$4))),TREND($D46:$E46,$D$8:$E$8,AQ$8))</f>
        <v>0</v>
      </c>
      <c r="AR46">
        <f>IF($F46="s-curve",$D46+($E46-$D46)*$I$2/(1+EXP($I$3*(COUNT($H$8:AR$8)+$I$4))),TREND($D46:$E46,$D$8:$E$8,AR$8))</f>
        <v>0</v>
      </c>
      <c r="AS46">
        <f>IF($F46="s-curve",$D46+($E46-$D46)*$I$2/(1+EXP($I$3*(COUNT($H$8:AS$8)+$I$4))),TREND($D46:$E46,$D$8:$E$8,AS$8))</f>
        <v>0</v>
      </c>
      <c r="AT46">
        <f>IF($F46="s-curve",$D46+($E46-$D46)*$I$2/(1+EXP($I$3*(COUNT($H$8:AT$8)+$I$4))),TREND($D46:$E46,$D$8:$E$8,AT$8))</f>
        <v>0</v>
      </c>
      <c r="AU46">
        <f>IF($F46="s-curve",$D46+($E46-$D46)*$I$2/(1+EXP($I$3*(COUNT($H$8:AU$8)+$I$4))),TREND($D46:$E46,$D$8:$E$8,AU$8))</f>
        <v>0</v>
      </c>
      <c r="AV46">
        <f>IF($F46="s-curve",$D46+($E46-$D46)*$I$2/(1+EXP($I$3*(COUNT($H$8:AV$8)+$I$4))),TREND($D46:$E46,$D$8:$E$8,AV$8))</f>
        <v>0</v>
      </c>
    </row>
    <row r="47" spans="1:48" x14ac:dyDescent="0.15">
      <c r="C47" t="s">
        <v>4</v>
      </c>
      <c r="D47">
        <v>1</v>
      </c>
      <c r="E47">
        <v>1</v>
      </c>
      <c r="F47" s="7" t="str">
        <f>IF(D47=E47,"n/a",IF(OR(C47="battery electric vehicle",C47="natural gas vehicle",C47="plugin hybrid vehicle"),"s-curve","linear"))</f>
        <v>n/a</v>
      </c>
      <c r="H47" s="22">
        <f t="shared" si="23"/>
        <v>1</v>
      </c>
      <c r="I47">
        <f>IF($F47="s-curve",$D47+($E47-$D47)*$I$2/(1+EXP($I$3*(COUNT($H$8:I$8)+$I$4))),TREND($D47:$E47,$D$8:$E$8,I$8))</f>
        <v>1</v>
      </c>
      <c r="J47">
        <f>IF($F47="s-curve",$D47+($E47-$D47)*$I$2/(1+EXP($I$3*(COUNT($H$8:J$8)+$I$4))),TREND($D47:$E47,$D$8:$E$8,J$8))</f>
        <v>1</v>
      </c>
      <c r="K47">
        <f>IF($F47="s-curve",$D47+($E47-$D47)*$I$2/(1+EXP($I$3*(COUNT($H$8:K$8)+$I$4))),TREND($D47:$E47,$D$8:$E$8,K$8))</f>
        <v>1</v>
      </c>
      <c r="L47">
        <f>IF($F47="s-curve",$D47+($E47-$D47)*$I$2/(1+EXP($I$3*(COUNT($H$8:L$8)+$I$4))),TREND($D47:$E47,$D$8:$E$8,L$8))</f>
        <v>1</v>
      </c>
      <c r="M47">
        <f>IF($F47="s-curve",$D47+($E47-$D47)*$I$2/(1+EXP($I$3*(COUNT($H$8:M$8)+$I$4))),TREND($D47:$E47,$D$8:$E$8,M$8))</f>
        <v>1</v>
      </c>
      <c r="N47">
        <f>IF($F47="s-curve",$D47+($E47-$D47)*$I$2/(1+EXP($I$3*(COUNT($H$8:N$8)+$I$4))),TREND($D47:$E47,$D$8:$E$8,N$8))</f>
        <v>1</v>
      </c>
      <c r="O47">
        <f>IF($F47="s-curve",$D47+($E47-$D47)*$I$2/(1+EXP($I$3*(COUNT($H$8:O$8)+$I$4))),TREND($D47:$E47,$D$8:$E$8,O$8))</f>
        <v>1</v>
      </c>
      <c r="P47">
        <f>IF($F47="s-curve",$D47+($E47-$D47)*$I$2/(1+EXP($I$3*(COUNT($H$8:P$8)+$I$4))),TREND($D47:$E47,$D$8:$E$8,P$8))</f>
        <v>1</v>
      </c>
      <c r="Q47">
        <f>IF($F47="s-curve",$D47+($E47-$D47)*$I$2/(1+EXP($I$3*(COUNT($H$8:Q$8)+$I$4))),TREND($D47:$E47,$D$8:$E$8,Q$8))</f>
        <v>1</v>
      </c>
      <c r="R47">
        <f>IF($F47="s-curve",$D47+($E47-$D47)*$I$2/(1+EXP($I$3*(COUNT($H$8:R$8)+$I$4))),TREND($D47:$E47,$D$8:$E$8,R$8))</f>
        <v>1</v>
      </c>
      <c r="S47">
        <f>IF($F47="s-curve",$D47+($E47-$D47)*$I$2/(1+EXP($I$3*(COUNT($H$8:S$8)+$I$4))),TREND($D47:$E47,$D$8:$E$8,S$8))</f>
        <v>1</v>
      </c>
      <c r="T47">
        <f>IF($F47="s-curve",$D47+($E47-$D47)*$I$2/(1+EXP($I$3*(COUNT($H$8:T$8)+$I$4))),TREND($D47:$E47,$D$8:$E$8,T$8))</f>
        <v>1</v>
      </c>
      <c r="U47">
        <f>IF($F47="s-curve",$D47+($E47-$D47)*$I$2/(1+EXP($I$3*(COUNT($H$8:U$8)+$I$4))),TREND($D47:$E47,$D$8:$E$8,U$8))</f>
        <v>1</v>
      </c>
      <c r="V47">
        <f>IF($F47="s-curve",$D47+($E47-$D47)*$I$2/(1+EXP($I$3*(COUNT($H$8:V$8)+$I$4))),TREND($D47:$E47,$D$8:$E$8,V$8))</f>
        <v>1</v>
      </c>
      <c r="W47">
        <f>IF($F47="s-curve",$D47+($E47-$D47)*$I$2/(1+EXP($I$3*(COUNT($H$8:W$8)+$I$4))),TREND($D47:$E47,$D$8:$E$8,W$8))</f>
        <v>1</v>
      </c>
      <c r="X47">
        <f>IF($F47="s-curve",$D47+($E47-$D47)*$I$2/(1+EXP($I$3*(COUNT($H$8:X$8)+$I$4))),TREND($D47:$E47,$D$8:$E$8,X$8))</f>
        <v>1</v>
      </c>
      <c r="Y47">
        <f>IF($F47="s-curve",$D47+($E47-$D47)*$I$2/(1+EXP($I$3*(COUNT($H$8:Y$8)+$I$4))),TREND($D47:$E47,$D$8:$E$8,Y$8))</f>
        <v>1</v>
      </c>
      <c r="Z47">
        <f>IF($F47="s-curve",$D47+($E47-$D47)*$I$2/(1+EXP($I$3*(COUNT($H$8:Z$8)+$I$4))),TREND($D47:$E47,$D$8:$E$8,Z$8))</f>
        <v>1</v>
      </c>
      <c r="AA47">
        <f>IF($F47="s-curve",$D47+($E47-$D47)*$I$2/(1+EXP($I$3*(COUNT($H$8:AA$8)+$I$4))),TREND($D47:$E47,$D$8:$E$8,AA$8))</f>
        <v>1</v>
      </c>
      <c r="AB47">
        <f>IF($F47="s-curve",$D47+($E47-$D47)*$I$2/(1+EXP($I$3*(COUNT($H$8:AB$8)+$I$4))),TREND($D47:$E47,$D$8:$E$8,AB$8))</f>
        <v>1</v>
      </c>
      <c r="AC47">
        <f>IF($F47="s-curve",$D47+($E47-$D47)*$I$2/(1+EXP($I$3*(COUNT($H$8:AC$8)+$I$4))),TREND($D47:$E47,$D$8:$E$8,AC$8))</f>
        <v>1</v>
      </c>
      <c r="AD47">
        <f>IF($F47="s-curve",$D47+($E47-$D47)*$I$2/(1+EXP($I$3*(COUNT($H$8:AD$8)+$I$4))),TREND($D47:$E47,$D$8:$E$8,AD$8))</f>
        <v>1</v>
      </c>
      <c r="AE47">
        <f>IF($F47="s-curve",$D47+($E47-$D47)*$I$2/(1+EXP($I$3*(COUNT($H$8:AE$8)+$I$4))),TREND($D47:$E47,$D$8:$E$8,AE$8))</f>
        <v>1</v>
      </c>
      <c r="AF47">
        <f>IF($F47="s-curve",$D47+($E47-$D47)*$I$2/(1+EXP($I$3*(COUNT($H$8:AF$8)+$I$4))),TREND($D47:$E47,$D$8:$E$8,AF$8))</f>
        <v>1</v>
      </c>
      <c r="AG47">
        <f>IF($F47="s-curve",$D47+($E47-$D47)*$I$2/(1+EXP($I$3*(COUNT($H$8:AG$8)+$I$4))),TREND($D47:$E47,$D$8:$E$8,AG$8))</f>
        <v>1</v>
      </c>
      <c r="AH47">
        <f>IF($F47="s-curve",$D47+($E47-$D47)*$I$2/(1+EXP($I$3*(COUNT($H$8:AH$8)+$I$4))),TREND($D47:$E47,$D$8:$E$8,AH$8))</f>
        <v>1</v>
      </c>
      <c r="AI47">
        <f>IF($F47="s-curve",$D47+($E47-$D47)*$I$2/(1+EXP($I$3*(COUNT($H$8:AI$8)+$I$4))),TREND($D47:$E47,$D$8:$E$8,AI$8))</f>
        <v>1</v>
      </c>
      <c r="AJ47">
        <f>IF($F47="s-curve",$D47+($E47-$D47)*$I$2/(1+EXP($I$3*(COUNT($H$8:AJ$8)+$I$4))),TREND($D47:$E47,$D$8:$E$8,AJ$8))</f>
        <v>1</v>
      </c>
      <c r="AK47">
        <f>IF($F47="s-curve",$D47+($E47-$D47)*$I$2/(1+EXP($I$3*(COUNT($H$8:AK$8)+$I$4))),TREND($D47:$E47,$D$8:$E$8,AK$8))</f>
        <v>1</v>
      </c>
      <c r="AL47">
        <f>IF($F47="s-curve",$D47+($E47-$D47)*$I$2/(1+EXP($I$3*(COUNT($H$8:AL$8)+$I$4))),TREND($D47:$E47,$D$8:$E$8,AL$8))</f>
        <v>1</v>
      </c>
      <c r="AM47">
        <f>IF($F47="s-curve",$D47+($E47-$D47)*$I$2/(1+EXP($I$3*(COUNT($H$8:AM$8)+$I$4))),TREND($D47:$E47,$D$8:$E$8,AM$8))</f>
        <v>1</v>
      </c>
      <c r="AN47">
        <f>IF($F47="s-curve",$D47+($E47-$D47)*$I$2/(1+EXP($I$3*(COUNT($H$8:AN$8)+$I$4))),TREND($D47:$E47,$D$8:$E$8,AN$8))</f>
        <v>1</v>
      </c>
      <c r="AO47">
        <f>IF($F47="s-curve",$D47+($E47-$D47)*$I$2/(1+EXP($I$3*(COUNT($H$8:AO$8)+$I$4))),TREND($D47:$E47,$D$8:$E$8,AO$8))</f>
        <v>1</v>
      </c>
      <c r="AP47">
        <f>IF($F47="s-curve",$D47+($E47-$D47)*$I$2/(1+EXP($I$3*(COUNT($H$8:AP$8)+$I$4))),TREND($D47:$E47,$D$8:$E$8,AP$8))</f>
        <v>1</v>
      </c>
      <c r="AQ47">
        <f>IF($F47="s-curve",$D47+($E47-$D47)*$I$2/(1+EXP($I$3*(COUNT($H$8:AQ$8)+$I$4))),TREND($D47:$E47,$D$8:$E$8,AQ$8))</f>
        <v>1</v>
      </c>
      <c r="AR47">
        <f>IF($F47="s-curve",$D47+($E47-$D47)*$I$2/(1+EXP($I$3*(COUNT($H$8:AR$8)+$I$4))),TREND($D47:$E47,$D$8:$E$8,AR$8))</f>
        <v>1</v>
      </c>
      <c r="AS47">
        <f>IF($F47="s-curve",$D47+($E47-$D47)*$I$2/(1+EXP($I$3*(COUNT($H$8:AS$8)+$I$4))),TREND($D47:$E47,$D$8:$E$8,AS$8))</f>
        <v>1</v>
      </c>
      <c r="AT47">
        <f>IF($F47="s-curve",$D47+($E47-$D47)*$I$2/(1+EXP($I$3*(COUNT($H$8:AT$8)+$I$4))),TREND($D47:$E47,$D$8:$E$8,AT$8))</f>
        <v>1</v>
      </c>
      <c r="AU47">
        <f>IF($F47="s-curve",$D47+($E47-$D47)*$I$2/(1+EXP($I$3*(COUNT($H$8:AU$8)+$I$4))),TREND($D47:$E47,$D$8:$E$8,AU$8))</f>
        <v>1</v>
      </c>
      <c r="AV47">
        <f>IF($F47="s-curve",$D47+($E47-$D47)*$I$2/(1+EXP($I$3*(COUNT($H$8:AV$8)+$I$4))),TREND($D47:$E47,$D$8:$E$8,AV$8))</f>
        <v>1</v>
      </c>
    </row>
    <row r="48" spans="1:48" x14ac:dyDescent="0.15">
      <c r="C48" t="s">
        <v>5</v>
      </c>
      <c r="D48">
        <v>0</v>
      </c>
      <c r="E48">
        <v>0</v>
      </c>
      <c r="F48" s="7" t="str">
        <f>IF(D48=E48,"n/a",IF(OR(C48="battery electric vehicle",C48="natural gas vehicle",C48="plugin hybrid vehicle"),"s-curve","linear"))</f>
        <v>n/a</v>
      </c>
      <c r="H48" s="22">
        <f t="shared" si="23"/>
        <v>0</v>
      </c>
      <c r="I48">
        <f>IF($F48="s-curve",$D48+($E48-$D48)*$I$2/(1+EXP($I$3*(COUNT($H$8:I$8)+$I$4))),TREND($D48:$E48,$D$8:$E$8,I$8))</f>
        <v>0</v>
      </c>
      <c r="J48">
        <f>IF($F48="s-curve",$D48+($E48-$D48)*$I$2/(1+EXP($I$3*(COUNT($H$8:J$8)+$I$4))),TREND($D48:$E48,$D$8:$E$8,J$8))</f>
        <v>0</v>
      </c>
      <c r="K48">
        <f>IF($F48="s-curve",$D48+($E48-$D48)*$I$2/(1+EXP($I$3*(COUNT($H$8:K$8)+$I$4))),TREND($D48:$E48,$D$8:$E$8,K$8))</f>
        <v>0</v>
      </c>
      <c r="L48">
        <f>IF($F48="s-curve",$D48+($E48-$D48)*$I$2/(1+EXP($I$3*(COUNT($H$8:L$8)+$I$4))),TREND($D48:$E48,$D$8:$E$8,L$8))</f>
        <v>0</v>
      </c>
      <c r="M48">
        <f>IF($F48="s-curve",$D48+($E48-$D48)*$I$2/(1+EXP($I$3*(COUNT($H$8:M$8)+$I$4))),TREND($D48:$E48,$D$8:$E$8,M$8))</f>
        <v>0</v>
      </c>
      <c r="N48">
        <f>IF($F48="s-curve",$D48+($E48-$D48)*$I$2/(1+EXP($I$3*(COUNT($H$8:N$8)+$I$4))),TREND($D48:$E48,$D$8:$E$8,N$8))</f>
        <v>0</v>
      </c>
      <c r="O48">
        <f>IF($F48="s-curve",$D48+($E48-$D48)*$I$2/(1+EXP($I$3*(COUNT($H$8:O$8)+$I$4))),TREND($D48:$E48,$D$8:$E$8,O$8))</f>
        <v>0</v>
      </c>
      <c r="P48">
        <f>IF($F48="s-curve",$D48+($E48-$D48)*$I$2/(1+EXP($I$3*(COUNT($H$8:P$8)+$I$4))),TREND($D48:$E48,$D$8:$E$8,P$8))</f>
        <v>0</v>
      </c>
      <c r="Q48">
        <f>IF($F48="s-curve",$D48+($E48-$D48)*$I$2/(1+EXP($I$3*(COUNT($H$8:Q$8)+$I$4))),TREND($D48:$E48,$D$8:$E$8,Q$8))</f>
        <v>0</v>
      </c>
      <c r="R48">
        <f>IF($F48="s-curve",$D48+($E48-$D48)*$I$2/(1+EXP($I$3*(COUNT($H$8:R$8)+$I$4))),TREND($D48:$E48,$D$8:$E$8,R$8))</f>
        <v>0</v>
      </c>
      <c r="S48">
        <f>IF($F48="s-curve",$D48+($E48-$D48)*$I$2/(1+EXP($I$3*(COUNT($H$8:S$8)+$I$4))),TREND($D48:$E48,$D$8:$E$8,S$8))</f>
        <v>0</v>
      </c>
      <c r="T48">
        <f>IF($F48="s-curve",$D48+($E48-$D48)*$I$2/(1+EXP($I$3*(COUNT($H$8:T$8)+$I$4))),TREND($D48:$E48,$D$8:$E$8,T$8))</f>
        <v>0</v>
      </c>
      <c r="U48">
        <f>IF($F48="s-curve",$D48+($E48-$D48)*$I$2/(1+EXP($I$3*(COUNT($H$8:U$8)+$I$4))),TREND($D48:$E48,$D$8:$E$8,U$8))</f>
        <v>0</v>
      </c>
      <c r="V48">
        <f>IF($F48="s-curve",$D48+($E48-$D48)*$I$2/(1+EXP($I$3*(COUNT($H$8:V$8)+$I$4))),TREND($D48:$E48,$D$8:$E$8,V$8))</f>
        <v>0</v>
      </c>
      <c r="W48">
        <f>IF($F48="s-curve",$D48+($E48-$D48)*$I$2/(1+EXP($I$3*(COUNT($H$8:W$8)+$I$4))),TREND($D48:$E48,$D$8:$E$8,W$8))</f>
        <v>0</v>
      </c>
      <c r="X48">
        <f>IF($F48="s-curve",$D48+($E48-$D48)*$I$2/(1+EXP($I$3*(COUNT($H$8:X$8)+$I$4))),TREND($D48:$E48,$D$8:$E$8,X$8))</f>
        <v>0</v>
      </c>
      <c r="Y48">
        <f>IF($F48="s-curve",$D48+($E48-$D48)*$I$2/(1+EXP($I$3*(COUNT($H$8:Y$8)+$I$4))),TREND($D48:$E48,$D$8:$E$8,Y$8))</f>
        <v>0</v>
      </c>
      <c r="Z48">
        <f>IF($F48="s-curve",$D48+($E48-$D48)*$I$2/(1+EXP($I$3*(COUNT($H$8:Z$8)+$I$4))),TREND($D48:$E48,$D$8:$E$8,Z$8))</f>
        <v>0</v>
      </c>
      <c r="AA48">
        <f>IF($F48="s-curve",$D48+($E48-$D48)*$I$2/(1+EXP($I$3*(COUNT($H$8:AA$8)+$I$4))),TREND($D48:$E48,$D$8:$E$8,AA$8))</f>
        <v>0</v>
      </c>
      <c r="AB48">
        <f>IF($F48="s-curve",$D48+($E48-$D48)*$I$2/(1+EXP($I$3*(COUNT($H$8:AB$8)+$I$4))),TREND($D48:$E48,$D$8:$E$8,AB$8))</f>
        <v>0</v>
      </c>
      <c r="AC48">
        <f>IF($F48="s-curve",$D48+($E48-$D48)*$I$2/(1+EXP($I$3*(COUNT($H$8:AC$8)+$I$4))),TREND($D48:$E48,$D$8:$E$8,AC$8))</f>
        <v>0</v>
      </c>
      <c r="AD48">
        <f>IF($F48="s-curve",$D48+($E48-$D48)*$I$2/(1+EXP($I$3*(COUNT($H$8:AD$8)+$I$4))),TREND($D48:$E48,$D$8:$E$8,AD$8))</f>
        <v>0</v>
      </c>
      <c r="AE48">
        <f>IF($F48="s-curve",$D48+($E48-$D48)*$I$2/(1+EXP($I$3*(COUNT($H$8:AE$8)+$I$4))),TREND($D48:$E48,$D$8:$E$8,AE$8))</f>
        <v>0</v>
      </c>
      <c r="AF48">
        <f>IF($F48="s-curve",$D48+($E48-$D48)*$I$2/(1+EXP($I$3*(COUNT($H$8:AF$8)+$I$4))),TREND($D48:$E48,$D$8:$E$8,AF$8))</f>
        <v>0</v>
      </c>
      <c r="AG48">
        <f>IF($F48="s-curve",$D48+($E48-$D48)*$I$2/(1+EXP($I$3*(COUNT($H$8:AG$8)+$I$4))),TREND($D48:$E48,$D$8:$E$8,AG$8))</f>
        <v>0</v>
      </c>
      <c r="AH48">
        <f>IF($F48="s-curve",$D48+($E48-$D48)*$I$2/(1+EXP($I$3*(COUNT($H$8:AH$8)+$I$4))),TREND($D48:$E48,$D$8:$E$8,AH$8))</f>
        <v>0</v>
      </c>
      <c r="AI48">
        <f>IF($F48="s-curve",$D48+($E48-$D48)*$I$2/(1+EXP($I$3*(COUNT($H$8:AI$8)+$I$4))),TREND($D48:$E48,$D$8:$E$8,AI$8))</f>
        <v>0</v>
      </c>
      <c r="AJ48">
        <f>IF($F48="s-curve",$D48+($E48-$D48)*$I$2/(1+EXP($I$3*(COUNT($H$8:AJ$8)+$I$4))),TREND($D48:$E48,$D$8:$E$8,AJ$8))</f>
        <v>0</v>
      </c>
      <c r="AK48">
        <f>IF($F48="s-curve",$D48+($E48-$D48)*$I$2/(1+EXP($I$3*(COUNT($H$8:AK$8)+$I$4))),TREND($D48:$E48,$D$8:$E$8,AK$8))</f>
        <v>0</v>
      </c>
      <c r="AL48">
        <f>IF($F48="s-curve",$D48+($E48-$D48)*$I$2/(1+EXP($I$3*(COUNT($H$8:AL$8)+$I$4))),TREND($D48:$E48,$D$8:$E$8,AL$8))</f>
        <v>0</v>
      </c>
      <c r="AM48">
        <f>IF($F48="s-curve",$D48+($E48-$D48)*$I$2/(1+EXP($I$3*(COUNT($H$8:AM$8)+$I$4))),TREND($D48:$E48,$D$8:$E$8,AM$8))</f>
        <v>0</v>
      </c>
      <c r="AN48">
        <f>IF($F48="s-curve",$D48+($E48-$D48)*$I$2/(1+EXP($I$3*(COUNT($H$8:AN$8)+$I$4))),TREND($D48:$E48,$D$8:$E$8,AN$8))</f>
        <v>0</v>
      </c>
      <c r="AO48">
        <f>IF($F48="s-curve",$D48+($E48-$D48)*$I$2/(1+EXP($I$3*(COUNT($H$8:AO$8)+$I$4))),TREND($D48:$E48,$D$8:$E$8,AO$8))</f>
        <v>0</v>
      </c>
      <c r="AP48">
        <f>IF($F48="s-curve",$D48+($E48-$D48)*$I$2/(1+EXP($I$3*(COUNT($H$8:AP$8)+$I$4))),TREND($D48:$E48,$D$8:$E$8,AP$8))</f>
        <v>0</v>
      </c>
      <c r="AQ48">
        <f>IF($F48="s-curve",$D48+($E48-$D48)*$I$2/(1+EXP($I$3*(COUNT($H$8:AQ$8)+$I$4))),TREND($D48:$E48,$D$8:$E$8,AQ$8))</f>
        <v>0</v>
      </c>
      <c r="AR48">
        <f>IF($F48="s-curve",$D48+($E48-$D48)*$I$2/(1+EXP($I$3*(COUNT($H$8:AR$8)+$I$4))),TREND($D48:$E48,$D$8:$E$8,AR$8))</f>
        <v>0</v>
      </c>
      <c r="AS48">
        <f>IF($F48="s-curve",$D48+($E48-$D48)*$I$2/(1+EXP($I$3*(COUNT($H$8:AS$8)+$I$4))),TREND($D48:$E48,$D$8:$E$8,AS$8))</f>
        <v>0</v>
      </c>
      <c r="AT48">
        <f>IF($F48="s-curve",$D48+($E48-$D48)*$I$2/(1+EXP($I$3*(COUNT($H$8:AT$8)+$I$4))),TREND($D48:$E48,$D$8:$E$8,AT$8))</f>
        <v>0</v>
      </c>
      <c r="AU48">
        <f>IF($F48="s-curve",$D48+($E48-$D48)*$I$2/(1+EXP($I$3*(COUNT($H$8:AU$8)+$I$4))),TREND($D48:$E48,$D$8:$E$8,AU$8))</f>
        <v>0</v>
      </c>
      <c r="AV48">
        <f>IF($F48="s-curve",$D48+($E48-$D48)*$I$2/(1+EXP($I$3*(COUNT($H$8:AV$8)+$I$4))),TREND($D48:$E48,$D$8:$E$8,AV$8))</f>
        <v>0</v>
      </c>
    </row>
    <row r="49" spans="1:48" x14ac:dyDescent="0.15">
      <c r="C49" t="s">
        <v>125</v>
      </c>
      <c r="D49">
        <v>0</v>
      </c>
      <c r="E49">
        <v>0</v>
      </c>
      <c r="F49" s="7" t="str">
        <f>IF(D49=E49,"n/a",IF(OR(C49="battery electric vehicle",C49="natural gas vehicle",C49="plugin hybrid vehicle",C49="hydrogen vehicle"),"s-curve","linear"))</f>
        <v>n/a</v>
      </c>
      <c r="H49" s="22">
        <f t="shared" si="23"/>
        <v>0</v>
      </c>
      <c r="I49">
        <f>IF($F49="s-curve",$D49+($E49-$D49)*$I$2/(1+EXP($I$3*(COUNT($H$8:I$8)+$I$4))),TREND($D49:$E49,$D$8:$E$8,I$8))</f>
        <v>0</v>
      </c>
      <c r="J49">
        <f>IF($F49="s-curve",$D49+($E49-$D49)*$I$2/(1+EXP($I$3*(COUNT($H$8:J$8)+$I$4))),TREND($D49:$E49,$D$8:$E$8,J$8))</f>
        <v>0</v>
      </c>
      <c r="K49">
        <f>IF($F49="s-curve",$D49+($E49-$D49)*$I$2/(1+EXP($I$3*(COUNT($H$8:K$8)+$I$4))),TREND($D49:$E49,$D$8:$E$8,K$8))</f>
        <v>0</v>
      </c>
      <c r="L49">
        <f>IF($F49="s-curve",$D49+($E49-$D49)*$I$2/(1+EXP($I$3*(COUNT($H$8:L$8)+$I$4))),TREND($D49:$E49,$D$8:$E$8,L$8))</f>
        <v>0</v>
      </c>
      <c r="M49">
        <f>IF($F49="s-curve",$D49+($E49-$D49)*$I$2/(1+EXP($I$3*(COUNT($H$8:M$8)+$I$4))),TREND($D49:$E49,$D$8:$E$8,M$8))</f>
        <v>0</v>
      </c>
      <c r="N49">
        <f>IF($F49="s-curve",$D49+($E49-$D49)*$I$2/(1+EXP($I$3*(COUNT($H$8:N$8)+$I$4))),TREND($D49:$E49,$D$8:$E$8,N$8))</f>
        <v>0</v>
      </c>
      <c r="O49">
        <f>IF($F49="s-curve",$D49+($E49-$D49)*$I$2/(1+EXP($I$3*(COUNT($H$8:O$8)+$I$4))),TREND($D49:$E49,$D$8:$E$8,O$8))</f>
        <v>0</v>
      </c>
      <c r="P49">
        <f>IF($F49="s-curve",$D49+($E49-$D49)*$I$2/(1+EXP($I$3*(COUNT($H$8:P$8)+$I$4))),TREND($D49:$E49,$D$8:$E$8,P$8))</f>
        <v>0</v>
      </c>
      <c r="Q49">
        <f>IF($F49="s-curve",$D49+($E49-$D49)*$I$2/(1+EXP($I$3*(COUNT($H$8:Q$8)+$I$4))),TREND($D49:$E49,$D$8:$E$8,Q$8))</f>
        <v>0</v>
      </c>
      <c r="R49">
        <f>IF($F49="s-curve",$D49+($E49-$D49)*$I$2/(1+EXP($I$3*(COUNT($H$8:R$8)+$I$4))),TREND($D49:$E49,$D$8:$E$8,R$8))</f>
        <v>0</v>
      </c>
      <c r="S49">
        <f>IF($F49="s-curve",$D49+($E49-$D49)*$I$2/(1+EXP($I$3*(COUNT($H$8:S$8)+$I$4))),TREND($D49:$E49,$D$8:$E$8,S$8))</f>
        <v>0</v>
      </c>
      <c r="T49">
        <f>IF($F49="s-curve",$D49+($E49-$D49)*$I$2/(1+EXP($I$3*(COUNT($H$8:T$8)+$I$4))),TREND($D49:$E49,$D$8:$E$8,T$8))</f>
        <v>0</v>
      </c>
      <c r="U49">
        <f>IF($F49="s-curve",$D49+($E49-$D49)*$I$2/(1+EXP($I$3*(COUNT($H$8:U$8)+$I$4))),TREND($D49:$E49,$D$8:$E$8,U$8))</f>
        <v>0</v>
      </c>
      <c r="V49">
        <f>IF($F49="s-curve",$D49+($E49-$D49)*$I$2/(1+EXP($I$3*(COUNT($H$8:V$8)+$I$4))),TREND($D49:$E49,$D$8:$E$8,V$8))</f>
        <v>0</v>
      </c>
      <c r="W49">
        <f>IF($F49="s-curve",$D49+($E49-$D49)*$I$2/(1+EXP($I$3*(COUNT($H$8:W$8)+$I$4))),TREND($D49:$E49,$D$8:$E$8,W$8))</f>
        <v>0</v>
      </c>
      <c r="X49">
        <f>IF($F49="s-curve",$D49+($E49-$D49)*$I$2/(1+EXP($I$3*(COUNT($H$8:X$8)+$I$4))),TREND($D49:$E49,$D$8:$E$8,X$8))</f>
        <v>0</v>
      </c>
      <c r="Y49">
        <f>IF($F49="s-curve",$D49+($E49-$D49)*$I$2/(1+EXP($I$3*(COUNT($H$8:Y$8)+$I$4))),TREND($D49:$E49,$D$8:$E$8,Y$8))</f>
        <v>0</v>
      </c>
      <c r="Z49">
        <f>IF($F49="s-curve",$D49+($E49-$D49)*$I$2/(1+EXP($I$3*(COUNT($H$8:Z$8)+$I$4))),TREND($D49:$E49,$D$8:$E$8,Z$8))</f>
        <v>0</v>
      </c>
      <c r="AA49">
        <f>IF($F49="s-curve",$D49+($E49-$D49)*$I$2/(1+EXP($I$3*(COUNT($H$8:AA$8)+$I$4))),TREND($D49:$E49,$D$8:$E$8,AA$8))</f>
        <v>0</v>
      </c>
      <c r="AB49">
        <f>IF($F49="s-curve",$D49+($E49-$D49)*$I$2/(1+EXP($I$3*(COUNT($H$8:AB$8)+$I$4))),TREND($D49:$E49,$D$8:$E$8,AB$8))</f>
        <v>0</v>
      </c>
      <c r="AC49">
        <f>IF($F49="s-curve",$D49+($E49-$D49)*$I$2/(1+EXP($I$3*(COUNT($H$8:AC$8)+$I$4))),TREND($D49:$E49,$D$8:$E$8,AC$8))</f>
        <v>0</v>
      </c>
      <c r="AD49">
        <f>IF($F49="s-curve",$D49+($E49-$D49)*$I$2/(1+EXP($I$3*(COUNT($H$8:AD$8)+$I$4))),TREND($D49:$E49,$D$8:$E$8,AD$8))</f>
        <v>0</v>
      </c>
      <c r="AE49">
        <f>IF($F49="s-curve",$D49+($E49-$D49)*$I$2/(1+EXP($I$3*(COUNT($H$8:AE$8)+$I$4))),TREND($D49:$E49,$D$8:$E$8,AE$8))</f>
        <v>0</v>
      </c>
      <c r="AF49">
        <f>IF($F49="s-curve",$D49+($E49-$D49)*$I$2/(1+EXP($I$3*(COUNT($H$8:AF$8)+$I$4))),TREND($D49:$E49,$D$8:$E$8,AF$8))</f>
        <v>0</v>
      </c>
      <c r="AG49">
        <f>IF($F49="s-curve",$D49+($E49-$D49)*$I$2/(1+EXP($I$3*(COUNT($H$8:AG$8)+$I$4))),TREND($D49:$E49,$D$8:$E$8,AG$8))</f>
        <v>0</v>
      </c>
      <c r="AH49">
        <f>IF($F49="s-curve",$D49+($E49-$D49)*$I$2/(1+EXP($I$3*(COUNT($H$8:AH$8)+$I$4))),TREND($D49:$E49,$D$8:$E$8,AH$8))</f>
        <v>0</v>
      </c>
      <c r="AI49">
        <f>IF($F49="s-curve",$D49+($E49-$D49)*$I$2/(1+EXP($I$3*(COUNT($H$8:AI$8)+$I$4))),TREND($D49:$E49,$D$8:$E$8,AI$8))</f>
        <v>0</v>
      </c>
      <c r="AJ49">
        <f>IF($F49="s-curve",$D49+($E49-$D49)*$I$2/(1+EXP($I$3*(COUNT($H$8:AJ$8)+$I$4))),TREND($D49:$E49,$D$8:$E$8,AJ$8))</f>
        <v>0</v>
      </c>
      <c r="AK49">
        <f>IF($F49="s-curve",$D49+($E49-$D49)*$I$2/(1+EXP($I$3*(COUNT($H$8:AK$8)+$I$4))),TREND($D49:$E49,$D$8:$E$8,AK$8))</f>
        <v>0</v>
      </c>
      <c r="AL49">
        <f>IF($F49="s-curve",$D49+($E49-$D49)*$I$2/(1+EXP($I$3*(COUNT($H$8:AL$8)+$I$4))),TREND($D49:$E49,$D$8:$E$8,AL$8))</f>
        <v>0</v>
      </c>
      <c r="AM49">
        <f>IF($F49="s-curve",$D49+($E49-$D49)*$I$2/(1+EXP($I$3*(COUNT($H$8:AM$8)+$I$4))),TREND($D49:$E49,$D$8:$E$8,AM$8))</f>
        <v>0</v>
      </c>
      <c r="AN49">
        <f>IF($F49="s-curve",$D49+($E49-$D49)*$I$2/(1+EXP($I$3*(COUNT($H$8:AN$8)+$I$4))),TREND($D49:$E49,$D$8:$E$8,AN$8))</f>
        <v>0</v>
      </c>
      <c r="AO49">
        <f>IF($F49="s-curve",$D49+($E49-$D49)*$I$2/(1+EXP($I$3*(COUNT($H$8:AO$8)+$I$4))),TREND($D49:$E49,$D$8:$E$8,AO$8))</f>
        <v>0</v>
      </c>
      <c r="AP49">
        <f>IF($F49="s-curve",$D49+($E49-$D49)*$I$2/(1+EXP($I$3*(COUNT($H$8:AP$8)+$I$4))),TREND($D49:$E49,$D$8:$E$8,AP$8))</f>
        <v>0</v>
      </c>
      <c r="AQ49">
        <f>IF($F49="s-curve",$D49+($E49-$D49)*$I$2/(1+EXP($I$3*(COUNT($H$8:AQ$8)+$I$4))),TREND($D49:$E49,$D$8:$E$8,AQ$8))</f>
        <v>0</v>
      </c>
      <c r="AR49">
        <f>IF($F49="s-curve",$D49+($E49-$D49)*$I$2/(1+EXP($I$3*(COUNT($H$8:AR$8)+$I$4))),TREND($D49:$E49,$D$8:$E$8,AR$8))</f>
        <v>0</v>
      </c>
      <c r="AS49">
        <f>IF($F49="s-curve",$D49+($E49-$D49)*$I$2/(1+EXP($I$3*(COUNT($H$8:AS$8)+$I$4))),TREND($D49:$E49,$D$8:$E$8,AS$8))</f>
        <v>0</v>
      </c>
      <c r="AT49">
        <f>IF($F49="s-curve",$D49+($E49-$D49)*$I$2/(1+EXP($I$3*(COUNT($H$8:AT$8)+$I$4))),TREND($D49:$E49,$D$8:$E$8,AT$8))</f>
        <v>0</v>
      </c>
      <c r="AU49">
        <f>IF($F49="s-curve",$D49+($E49-$D49)*$I$2/(1+EXP($I$3*(COUNT($H$8:AU$8)+$I$4))),TREND($D49:$E49,$D$8:$E$8,AU$8))</f>
        <v>0</v>
      </c>
      <c r="AV49">
        <f>IF($F49="s-curve",$D49+($E49-$D49)*$I$2/(1+EXP($I$3*(COUNT($H$8:AV$8)+$I$4))),TREND($D49:$E49,$D$8:$E$8,AV$8))</f>
        <v>0</v>
      </c>
    </row>
    <row r="50" spans="1:48" ht="13.6" thickBot="1" x14ac:dyDescent="0.2">
      <c r="A50" s="23"/>
      <c r="B50" s="23"/>
      <c r="C50" s="23" t="s">
        <v>126</v>
      </c>
      <c r="D50" s="23">
        <v>0</v>
      </c>
      <c r="E50" s="23">
        <v>0.2</v>
      </c>
      <c r="F50" s="8" t="str">
        <f>IF(D50=E50,"n/a",IF(OR(C50="battery electric vehicle",C50="natural gas vehicle",C50="plugin hybrid vehicle",C50="hydrogen vehicle"),"s-curve","linear"))</f>
        <v>s-curve</v>
      </c>
      <c r="H50" s="22">
        <f t="shared" si="23"/>
        <v>0</v>
      </c>
      <c r="I50">
        <f>IF($F50="s-curve",$D50+($E50-$D50)*$I$2/(1+EXP($I$3*(COUNT($H$8:I$8)+$I$4))),TREND($D50:$E50,$D$8:$E$8,I$8))</f>
        <v>2.9548063386546112E-3</v>
      </c>
      <c r="J50">
        <f>IF($F50="s-curve",$D50+($E50-$D50)*$I$2/(1+EXP($I$3*(COUNT($H$8:J$8)+$I$4))),TREND($D50:$E50,$D$8:$E$8,J$8))</f>
        <v>3.9680611468155018E-3</v>
      </c>
      <c r="K50">
        <f>IF($F50="s-curve",$D50+($E50-$D50)*$I$2/(1+EXP($I$3*(COUNT($H$8:K$8)+$I$4))),TREND($D50:$E50,$D$8:$E$8,K$8))</f>
        <v>5.3193987153731734E-3</v>
      </c>
      <c r="L50">
        <f>IF($F50="s-curve",$D50+($E50-$D50)*$I$2/(1+EXP($I$3*(COUNT($H$8:L$8)+$I$4))),TREND($D50:$E50,$D$8:$E$8,L$8))</f>
        <v>7.1142378545272361E-3</v>
      </c>
      <c r="M50">
        <f>IF($F50="s-curve",$D50+($E50-$D50)*$I$2/(1+EXP($I$3*(COUNT($H$8:M$8)+$I$4))),TREND($D50:$E50,$D$8:$E$8,M$8))</f>
        <v>9.4851746355133562E-3</v>
      </c>
      <c r="N50">
        <f>IF($F50="s-curve",$D50+($E50-$D50)*$I$2/(1+EXP($I$3*(COUNT($H$8:N$8)+$I$4))),TREND($D50:$E50,$D$8:$E$8,N$8))</f>
        <v>1.2594671211399303E-2</v>
      </c>
      <c r="O50">
        <f>IF($F50="s-curve",$D50+($E50-$D50)*$I$2/(1+EXP($I$3*(COUNT($H$8:O$8)+$I$4))),TREND($D50:$E50,$D$8:$E$8,O$8))</f>
        <v>1.6634539298784477E-2</v>
      </c>
      <c r="P50">
        <f>IF($F50="s-curve",$D50+($E50-$D50)*$I$2/(1+EXP($I$3*(COUNT($H$8:P$8)+$I$4))),TREND($D50:$E50,$D$8:$E$8,P$8))</f>
        <v>2.1819364239122584E-2</v>
      </c>
      <c r="Q50">
        <f>IF($F50="s-curve",$D50+($E50-$D50)*$I$2/(1+EXP($I$3*(COUNT($H$8:Q$8)+$I$4))),TREND($D50:$E50,$D$8:$E$8,Q$8))</f>
        <v>2.8370212980097564E-2</v>
      </c>
      <c r="R50">
        <f>IF($F50="s-curve",$D50+($E50-$D50)*$I$2/(1+EXP($I$3*(COUNT($H$8:R$8)+$I$4))),TREND($D50:$E50,$D$8:$E$8,R$8))</f>
        <v>3.6485104761271273E-2</v>
      </c>
      <c r="S50">
        <f>IF($F50="s-curve",$D50+($E50-$D50)*$I$2/(1+EXP($I$3*(COUNT($H$8:S$8)+$I$4))),TREND($D50:$E50,$D$8:$E$8,S$8))</f>
        <v>4.629504330019648E-2</v>
      </c>
      <c r="T50">
        <f>IF($F50="s-curve",$D50+($E50-$D50)*$I$2/(1+EXP($I$3*(COUNT($H$8:T$8)+$I$4))),TREND($D50:$E50,$D$8:$E$8,T$8))</f>
        <v>5.7810099474999217E-2</v>
      </c>
      <c r="U50">
        <f>IF($F50="s-curve",$D50+($E50-$D50)*$I$2/(1+EXP($I$3*(COUNT($H$8:U$8)+$I$4))),TREND($D50:$E50,$D$8:$E$8,U$8))</f>
        <v>7.0868738754840913E-2</v>
      </c>
      <c r="V50">
        <f>IF($F50="s-curve",$D50+($E50-$D50)*$I$2/(1+EXP($I$3*(COUNT($H$8:V$8)+$I$4))),TREND($D50:$E50,$D$8:$E$8,V$8))</f>
        <v>8.5111496637668205E-2</v>
      </c>
      <c r="W50">
        <f>IF($F50="s-curve",$D50+($E50-$D50)*$I$2/(1+EXP($I$3*(COUNT($H$8:W$8)+$I$4))),TREND($D50:$E50,$D$8:$E$8,W$8))</f>
        <v>0.1</v>
      </c>
      <c r="X50">
        <f>IF($F50="s-curve",$D50+($E50-$D50)*$I$2/(1+EXP($I$3*(COUNT($H$8:X$8)+$I$4))),TREND($D50:$E50,$D$8:$E$8,X$8))</f>
        <v>0.11488850336233181</v>
      </c>
      <c r="Y50">
        <f>IF($F50="s-curve",$D50+($E50-$D50)*$I$2/(1+EXP($I$3*(COUNT($H$8:Y$8)+$I$4))),TREND($D50:$E50,$D$8:$E$8,Y$8))</f>
        <v>0.12913126124515908</v>
      </c>
      <c r="Z50">
        <f>IF($F50="s-curve",$D50+($E50-$D50)*$I$2/(1+EXP($I$3*(COUNT($H$8:Z$8)+$I$4))),TREND($D50:$E50,$D$8:$E$8,Z$8))</f>
        <v>0.1421899005250008</v>
      </c>
      <c r="AA50">
        <f>IF($F50="s-curve",$D50+($E50-$D50)*$I$2/(1+EXP($I$3*(COUNT($H$8:AA$8)+$I$4))),TREND($D50:$E50,$D$8:$E$8,AA$8))</f>
        <v>0.15370495669980352</v>
      </c>
      <c r="AB50">
        <f>IF($F50="s-curve",$D50+($E50-$D50)*$I$2/(1+EXP($I$3*(COUNT($H$8:AB$8)+$I$4))),TREND($D50:$E50,$D$8:$E$8,AB$8))</f>
        <v>0.16351489523872872</v>
      </c>
      <c r="AC50">
        <f>IF($F50="s-curve",$D50+($E50-$D50)*$I$2/(1+EXP($I$3*(COUNT($H$8:AC$8)+$I$4))),TREND($D50:$E50,$D$8:$E$8,AC$8))</f>
        <v>0.17162978701990247</v>
      </c>
      <c r="AD50">
        <f>IF($F50="s-curve",$D50+($E50-$D50)*$I$2/(1+EXP($I$3*(COUNT($H$8:AD$8)+$I$4))),TREND($D50:$E50,$D$8:$E$8,AD$8))</f>
        <v>0.17818063576087742</v>
      </c>
      <c r="AE50">
        <f>IF($F50="s-curve",$D50+($E50-$D50)*$I$2/(1+EXP($I$3*(COUNT($H$8:AE$8)+$I$4))),TREND($D50:$E50,$D$8:$E$8,AE$8))</f>
        <v>0.18336546070121554</v>
      </c>
      <c r="AF50">
        <f>IF($F50="s-curve",$D50+($E50-$D50)*$I$2/(1+EXP($I$3*(COUNT($H$8:AF$8)+$I$4))),TREND($D50:$E50,$D$8:$E$8,AF$8))</f>
        <v>0.18740532878860072</v>
      </c>
      <c r="AG50">
        <f>IF($F50="s-curve",$D50+($E50-$D50)*$I$2/(1+EXP($I$3*(COUNT($H$8:AG$8)+$I$4))),TREND($D50:$E50,$D$8:$E$8,AG$8))</f>
        <v>0.19051482536448666</v>
      </c>
      <c r="AH50">
        <f>IF($F50="s-curve",$D50+($E50-$D50)*$I$2/(1+EXP($I$3*(COUNT($H$8:AH$8)+$I$4))),TREND($D50:$E50,$D$8:$E$8,AH$8))</f>
        <v>0.19288576214547279</v>
      </c>
      <c r="AI50">
        <f>IF($F50="s-curve",$D50+($E50-$D50)*$I$2/(1+EXP($I$3*(COUNT($H$8:AI$8)+$I$4))),TREND($D50:$E50,$D$8:$E$8,AI$8))</f>
        <v>0.19468060128462683</v>
      </c>
      <c r="AJ50">
        <f>IF($F50="s-curve",$D50+($E50-$D50)*$I$2/(1+EXP($I$3*(COUNT($H$8:AJ$8)+$I$4))),TREND($D50:$E50,$D$8:$E$8,AJ$8))</f>
        <v>0.19603193885318451</v>
      </c>
      <c r="AK50">
        <f>IF($F50="s-curve",$D50+($E50-$D50)*$I$2/(1+EXP($I$3*(COUNT($H$8:AK$8)+$I$4))),TREND($D50:$E50,$D$8:$E$8,AK$8))</f>
        <v>0.1970451936613454</v>
      </c>
      <c r="AL50">
        <f>IF($F50="s-curve",$D50+($E50-$D50)*$I$2/(1+EXP($I$3*(COUNT($H$8:AL$8)+$I$4))),TREND($D50:$E50,$D$8:$E$8,AL$8))</f>
        <v>0.1978026114738814</v>
      </c>
      <c r="AM50">
        <f>IF($F50="s-curve",$D50+($E50-$D50)*$I$2/(1+EXP($I$3*(COUNT($H$8:AM$8)+$I$4))),TREND($D50:$E50,$D$8:$E$8,AM$8))</f>
        <v>0.19836748576936802</v>
      </c>
      <c r="AN50">
        <f>IF($F50="s-curve",$D50+($E50-$D50)*$I$2/(1+EXP($I$3*(COUNT($H$8:AN$8)+$I$4))),TREND($D50:$E50,$D$8:$E$8,AN$8))</f>
        <v>0.19878803970168316</v>
      </c>
      <c r="AO50">
        <f>IF($F50="s-curve",$D50+($E50-$D50)*$I$2/(1+EXP($I$3*(COUNT($H$8:AO$8)+$I$4))),TREND($D50:$E50,$D$8:$E$8,AO$8))</f>
        <v>0.19910074536781178</v>
      </c>
      <c r="AP50">
        <f>IF($F50="s-curve",$D50+($E50-$D50)*$I$2/(1+EXP($I$3*(COUNT($H$8:AP$8)+$I$4))),TREND($D50:$E50,$D$8:$E$8,AP$8))</f>
        <v>0.19933303853851736</v>
      </c>
      <c r="AQ50">
        <f>IF($F50="s-curve",$D50+($E50-$D50)*$I$2/(1+EXP($I$3*(COUNT($H$8:AQ$8)+$I$4))),TREND($D50:$E50,$D$8:$E$8,AQ$8))</f>
        <v>0.19950547536867308</v>
      </c>
      <c r="AR50">
        <f>IF($F50="s-curve",$D50+($E50-$D50)*$I$2/(1+EXP($I$3*(COUNT($H$8:AR$8)+$I$4))),TREND($D50:$E50,$D$8:$E$8,AR$8))</f>
        <v>0.19963341221150147</v>
      </c>
      <c r="AS50">
        <f>IF($F50="s-curve",$D50+($E50-$D50)*$I$2/(1+EXP($I$3*(COUNT($H$8:AS$8)+$I$4))),TREND($D50:$E50,$D$8:$E$8,AS$8))</f>
        <v>0.19972829600991424</v>
      </c>
      <c r="AT50">
        <f>IF($F50="s-curve",$D50+($E50-$D50)*$I$2/(1+EXP($I$3*(COUNT($H$8:AT$8)+$I$4))),TREND($D50:$E50,$D$8:$E$8,AT$8))</f>
        <v>0.19979864583598289</v>
      </c>
      <c r="AU50">
        <f>IF($F50="s-curve",$D50+($E50-$D50)*$I$2/(1+EXP($I$3*(COUNT($H$8:AU$8)+$I$4))),TREND($D50:$E50,$D$8:$E$8,AU$8))</f>
        <v>0.19985079423323268</v>
      </c>
      <c r="AV50">
        <f>IF($F50="s-curve",$D50+($E50-$D50)*$I$2/(1+EXP($I$3*(COUNT($H$8:AV$8)+$I$4))),TREND($D50:$E50,$D$8:$E$8,AV$8))</f>
        <v>0.19988944427261529</v>
      </c>
    </row>
    <row r="51" spans="1:48" x14ac:dyDescent="0.15">
      <c r="A51" t="s">
        <v>15</v>
      </c>
      <c r="B51" t="s">
        <v>19</v>
      </c>
      <c r="C51" t="s">
        <v>1</v>
      </c>
      <c r="D51" s="22">
        <f>'TTS-rail-psgr'!F2</f>
        <v>0.75876083070322697</v>
      </c>
      <c r="E51">
        <v>1</v>
      </c>
      <c r="F51" s="7" t="str">
        <f>IF(D51=E51,"n/a",IF(OR(C51="battery electric vehicle",C51="natural gas vehicle",C51="plugin hybrid vehicle"),"s-curve","linear"))</f>
        <v>s-curve</v>
      </c>
      <c r="H51" s="22">
        <f t="shared" si="23"/>
        <v>0.75876083070322697</v>
      </c>
      <c r="I51">
        <f>IF($F51="s-curve",$D51+($E51-$D51)*$I$2/(1+EXP($I$3*(COUNT($H$8:I$8)+$I$4))),TREND($D51:$E51,$D$8:$E$8,I$8))</f>
        <v>0.76232490583607637</v>
      </c>
      <c r="J51">
        <f>IF($F51="s-curve",$D51+($E51-$D51)*$I$2/(1+EXP($I$3*(COUNT($H$8:J$8)+$I$4))),TREND($D51:$E51,$D$8:$E$8,J$8))</f>
        <v>0.76354708957710982</v>
      </c>
      <c r="K51">
        <f>IF($F51="s-curve",$D51+($E51-$D51)*$I$2/(1+EXP($I$3*(COUNT($H$8:K$8)+$I$4))),TREND($D51:$E51,$D$8:$E$8,K$8))</f>
        <v>0.76517706733950175</v>
      </c>
      <c r="L51">
        <f>IF($F51="s-curve",$D51+($E51-$D51)*$I$2/(1+EXP($I$3*(COUNT($H$8:L$8)+$I$4))),TREND($D51:$E51,$D$8:$E$8,L$8))</f>
        <v>0.76734199485425603</v>
      </c>
      <c r="M51">
        <f>IF($F51="s-curve",$D51+($E51-$D51)*$I$2/(1+EXP($I$3*(COUNT($H$8:M$8)+$I$4))),TREND($D51:$E51,$D$8:$E$8,M$8))</f>
        <v>0.77020180895175727</v>
      </c>
      <c r="N51">
        <f>IF($F51="s-curve",$D51+($E51-$D51)*$I$2/(1+EXP($I$3*(COUNT($H$8:N$8)+$I$4))),TREND($D51:$E51,$D$8:$E$8,N$8))</f>
        <v>0.77395247080624674</v>
      </c>
      <c r="O51">
        <f>IF($F51="s-curve",$D51+($E51-$D51)*$I$2/(1+EXP($I$3*(COUNT($H$8:O$8)+$I$4))),TREND($D51:$E51,$D$8:$E$8,O$8))</f>
        <v>0.7788253429135934</v>
      </c>
      <c r="P51">
        <f>IF($F51="s-curve",$D51+($E51-$D51)*$I$2/(1+EXP($I$3*(COUNT($H$8:P$8)+$I$4))),TREND($D51:$E51,$D$8:$E$8,P$8))</f>
        <v>0.78507925722137517</v>
      </c>
      <c r="Q51">
        <f>IF($F51="s-curve",$D51+($E51-$D51)*$I$2/(1+EXP($I$3*(COUNT($H$8:Q$8)+$I$4))),TREND($D51:$E51,$D$8:$E$8,Q$8))</f>
        <v>0.79298086376368326</v>
      </c>
      <c r="R51">
        <f>IF($F51="s-curve",$D51+($E51-$D51)*$I$2/(1+EXP($I$3*(COUNT($H$8:R$8)+$I$4))),TREND($D51:$E51,$D$8:$E$8,R$8))</f>
        <v>0.80276901252480104</v>
      </c>
      <c r="S51">
        <f>IF($F51="s-curve",$D51+($E51-$D51)*$I$2/(1+EXP($I$3*(COUNT($H$8:S$8)+$I$4))),TREND($D51:$E51,$D$8:$E$8,S$8))</f>
        <v>0.81460171964471462</v>
      </c>
      <c r="T51">
        <f>IF($F51="s-curve",$D51+($E51-$D51)*$I$2/(1+EXP($I$3*(COUNT($H$8:T$8)+$I$4))),TREND($D51:$E51,$D$8:$E$8,T$8))</f>
        <v>0.82849113257479012</v>
      </c>
      <c r="U51">
        <f>IF($F51="s-curve",$D51+($E51-$D51)*$I$2/(1+EXP($I$3*(COUNT($H$8:U$8)+$I$4))),TREND($D51:$E51,$D$8:$E$8,U$8))</f>
        <v>0.84424240903486614</v>
      </c>
      <c r="V51">
        <f>IF($F51="s-curve",$D51+($E51-$D51)*$I$2/(1+EXP($I$3*(COUNT($H$8:V$8)+$I$4))),TREND($D51:$E51,$D$8:$E$8,V$8))</f>
        <v>0.86142196443560781</v>
      </c>
      <c r="W51">
        <f>IF($F51="s-curve",$D51+($E51-$D51)*$I$2/(1+EXP($I$3*(COUNT($H$8:W$8)+$I$4))),TREND($D51:$E51,$D$8:$E$8,W$8))</f>
        <v>0.87938041535161349</v>
      </c>
      <c r="X51">
        <f>IF($F51="s-curve",$D51+($E51-$D51)*$I$2/(1+EXP($I$3*(COUNT($H$8:X$8)+$I$4))),TREND($D51:$E51,$D$8:$E$8,X$8))</f>
        <v>0.89733886626761916</v>
      </c>
      <c r="Y51">
        <f>IF($F51="s-curve",$D51+($E51-$D51)*$I$2/(1+EXP($I$3*(COUNT($H$8:Y$8)+$I$4))),TREND($D51:$E51,$D$8:$E$8,Y$8))</f>
        <v>0.91451842166836073</v>
      </c>
      <c r="Z51">
        <f>IF($F51="s-curve",$D51+($E51-$D51)*$I$2/(1+EXP($I$3*(COUNT($H$8:Z$8)+$I$4))),TREND($D51:$E51,$D$8:$E$8,Z$8))</f>
        <v>0.93026969812843685</v>
      </c>
      <c r="AA51">
        <f>IF($F51="s-curve",$D51+($E51-$D51)*$I$2/(1+EXP($I$3*(COUNT($H$8:AA$8)+$I$4))),TREND($D51:$E51,$D$8:$E$8,AA$8))</f>
        <v>0.94415911105851236</v>
      </c>
      <c r="AB51">
        <f>IF($F51="s-curve",$D51+($E51-$D51)*$I$2/(1+EXP($I$3*(COUNT($H$8:AB$8)+$I$4))),TREND($D51:$E51,$D$8:$E$8,AB$8))</f>
        <v>0.95599181817842593</v>
      </c>
      <c r="AC51">
        <f>IF($F51="s-curve",$D51+($E51-$D51)*$I$2/(1+EXP($I$3*(COUNT($H$8:AC$8)+$I$4))),TREND($D51:$E51,$D$8:$E$8,AC$8))</f>
        <v>0.96577996693954371</v>
      </c>
      <c r="AD51">
        <f>IF($F51="s-curve",$D51+($E51-$D51)*$I$2/(1+EXP($I$3*(COUNT($H$8:AD$8)+$I$4))),TREND($D51:$E51,$D$8:$E$8,AD$8))</f>
        <v>0.9736815734818518</v>
      </c>
      <c r="AE51">
        <f>IF($F51="s-curve",$D51+($E51-$D51)*$I$2/(1+EXP($I$3*(COUNT($H$8:AE$8)+$I$4))),TREND($D51:$E51,$D$8:$E$8,AE$8))</f>
        <v>0.97993548778963357</v>
      </c>
      <c r="AF51">
        <f>IF($F51="s-curve",$D51+($E51-$D51)*$I$2/(1+EXP($I$3*(COUNT($H$8:AF$8)+$I$4))),TREND($D51:$E51,$D$8:$E$8,AF$8))</f>
        <v>0.98480835989698023</v>
      </c>
      <c r="AG51">
        <f>IF($F51="s-curve",$D51+($E51-$D51)*$I$2/(1+EXP($I$3*(COUNT($H$8:AG$8)+$I$4))),TREND($D51:$E51,$D$8:$E$8,AG$8))</f>
        <v>0.9885590217514697</v>
      </c>
      <c r="AH51">
        <f>IF($F51="s-curve",$D51+($E51-$D51)*$I$2/(1+EXP($I$3*(COUNT($H$8:AH$8)+$I$4))),TREND($D51:$E51,$D$8:$E$8,AH$8))</f>
        <v>0.99141883584897095</v>
      </c>
      <c r="AI51">
        <f>IF($F51="s-curve",$D51+($E51-$D51)*$I$2/(1+EXP($I$3*(COUNT($H$8:AI$8)+$I$4))),TREND($D51:$E51,$D$8:$E$8,AI$8))</f>
        <v>0.99358376336372523</v>
      </c>
      <c r="AJ51">
        <f>IF($F51="s-curve",$D51+($E51-$D51)*$I$2/(1+EXP($I$3*(COUNT($H$8:AJ$8)+$I$4))),TREND($D51:$E51,$D$8:$E$8,AJ$8))</f>
        <v>0.99521374112611716</v>
      </c>
      <c r="AK51">
        <f>IF($F51="s-curve",$D51+($E51-$D51)*$I$2/(1+EXP($I$3*(COUNT($H$8:AK$8)+$I$4))),TREND($D51:$E51,$D$8:$E$8,AK$8))</f>
        <v>0.9964359248671506</v>
      </c>
      <c r="AL51">
        <f>IF($F51="s-curve",$D51+($E51-$D51)*$I$2/(1+EXP($I$3*(COUNT($H$8:AL$8)+$I$4))),TREND($D51:$E51,$D$8:$E$8,AL$8))</f>
        <v>0.99734951908668434</v>
      </c>
      <c r="AM51">
        <f>IF($F51="s-curve",$D51+($E51-$D51)*$I$2/(1+EXP($I$3*(COUNT($H$8:AM$8)+$I$4))),TREND($D51:$E51,$D$8:$E$8,AM$8))</f>
        <v>0.99803086811568587</v>
      </c>
      <c r="AN51">
        <f>IF($F51="s-curve",$D51+($E51-$D51)*$I$2/(1+EXP($I$3*(COUNT($H$8:AN$8)+$I$4))),TREND($D51:$E51,$D$8:$E$8,AN$8))</f>
        <v>0.99853813852206685</v>
      </c>
      <c r="AO51">
        <f>IF($F51="s-curve",$D51+($E51-$D51)*$I$2/(1+EXP($I$3*(COUNT($H$8:AO$8)+$I$4))),TREND($D51:$E51,$D$8:$E$8,AO$8))</f>
        <v>0.99891532279772322</v>
      </c>
      <c r="AP51">
        <f>IF($F51="s-curve",$D51+($E51-$D51)*$I$2/(1+EXP($I$3*(COUNT($H$8:AP$8)+$I$4))),TREND($D51:$E51,$D$8:$E$8,AP$8))</f>
        <v>0.99919551385539485</v>
      </c>
      <c r="AQ51">
        <f>IF($F51="s-curve",$D51+($E51-$D51)*$I$2/(1+EXP($I$3*(COUNT($H$8:AQ$8)+$I$4))),TREND($D51:$E51,$D$8:$E$8,AQ$8))</f>
        <v>0.99940350644370946</v>
      </c>
      <c r="AR51">
        <f>IF($F51="s-curve",$D51+($E51-$D51)*$I$2/(1+EXP($I$3*(COUNT($H$8:AR$8)+$I$4))),TREND($D51:$E51,$D$8:$E$8,AR$8))</f>
        <v>0.99955782333214138</v>
      </c>
      <c r="AS51">
        <f>IF($F51="s-curve",$D51+($E51-$D51)*$I$2/(1+EXP($I$3*(COUNT($H$8:AS$8)+$I$4))),TREND($D51:$E51,$D$8:$E$8,AS$8))</f>
        <v>0.99967227177568541</v>
      </c>
      <c r="AT51">
        <f>IF($F51="s-curve",$D51+($E51-$D51)*$I$2/(1+EXP($I$3*(COUNT($H$8:AT$8)+$I$4))),TREND($D51:$E51,$D$8:$E$8,AT$8))</f>
        <v>0.99975712744369027</v>
      </c>
      <c r="AU51">
        <f>IF($F51="s-curve",$D51+($E51-$D51)*$I$2/(1+EXP($I$3*(COUNT($H$8:AU$8)+$I$4))),TREND($D51:$E51,$D$8:$E$8,AU$8))</f>
        <v>0.99982002862385377</v>
      </c>
      <c r="AV51">
        <f>IF($F51="s-curve",$D51+($E51-$D51)*$I$2/(1+EXP($I$3*(COUNT($H$8:AV$8)+$I$4))),TREND($D51:$E51,$D$8:$E$8,AV$8))</f>
        <v>0.9998666481408236</v>
      </c>
    </row>
    <row r="52" spans="1:48" x14ac:dyDescent="0.15">
      <c r="C52" t="s">
        <v>2</v>
      </c>
      <c r="D52">
        <v>0</v>
      </c>
      <c r="E52">
        <v>0</v>
      </c>
      <c r="F52" s="7" t="str">
        <f>IF(D52=E52,"n/a",IF(OR(C52="battery electric vehicle",C52="natural gas vehicle",C52="plugin hybrid vehicle"),"s-curve","linear"))</f>
        <v>n/a</v>
      </c>
      <c r="H52" s="22">
        <f t="shared" si="23"/>
        <v>0</v>
      </c>
      <c r="I52">
        <f>IF($F52="s-curve",$D52+($E52-$D52)*$I$2/(1+EXP($I$3*(COUNT($H$8:I$8)+$I$4))),TREND($D52:$E52,$D$8:$E$8,I$8))</f>
        <v>0</v>
      </c>
      <c r="J52">
        <f>IF($F52="s-curve",$D52+($E52-$D52)*$I$2/(1+EXP($I$3*(COUNT($H$8:J$8)+$I$4))),TREND($D52:$E52,$D$8:$E$8,J$8))</f>
        <v>0</v>
      </c>
      <c r="K52">
        <f>IF($F52="s-curve",$D52+($E52-$D52)*$I$2/(1+EXP($I$3*(COUNT($H$8:K$8)+$I$4))),TREND($D52:$E52,$D$8:$E$8,K$8))</f>
        <v>0</v>
      </c>
      <c r="L52">
        <f>IF($F52="s-curve",$D52+($E52-$D52)*$I$2/(1+EXP($I$3*(COUNT($H$8:L$8)+$I$4))),TREND($D52:$E52,$D$8:$E$8,L$8))</f>
        <v>0</v>
      </c>
      <c r="M52">
        <f>IF($F52="s-curve",$D52+($E52-$D52)*$I$2/(1+EXP($I$3*(COUNT($H$8:M$8)+$I$4))),TREND($D52:$E52,$D$8:$E$8,M$8))</f>
        <v>0</v>
      </c>
      <c r="N52">
        <f>IF($F52="s-curve",$D52+($E52-$D52)*$I$2/(1+EXP($I$3*(COUNT($H$8:N$8)+$I$4))),TREND($D52:$E52,$D$8:$E$8,N$8))</f>
        <v>0</v>
      </c>
      <c r="O52">
        <f>IF($F52="s-curve",$D52+($E52-$D52)*$I$2/(1+EXP($I$3*(COUNT($H$8:O$8)+$I$4))),TREND($D52:$E52,$D$8:$E$8,O$8))</f>
        <v>0</v>
      </c>
      <c r="P52">
        <f>IF($F52="s-curve",$D52+($E52-$D52)*$I$2/(1+EXP($I$3*(COUNT($H$8:P$8)+$I$4))),TREND($D52:$E52,$D$8:$E$8,P$8))</f>
        <v>0</v>
      </c>
      <c r="Q52">
        <f>IF($F52="s-curve",$D52+($E52-$D52)*$I$2/(1+EXP($I$3*(COUNT($H$8:Q$8)+$I$4))),TREND($D52:$E52,$D$8:$E$8,Q$8))</f>
        <v>0</v>
      </c>
      <c r="R52">
        <f>IF($F52="s-curve",$D52+($E52-$D52)*$I$2/(1+EXP($I$3*(COUNT($H$8:R$8)+$I$4))),TREND($D52:$E52,$D$8:$E$8,R$8))</f>
        <v>0</v>
      </c>
      <c r="S52">
        <f>IF($F52="s-curve",$D52+($E52-$D52)*$I$2/(1+EXP($I$3*(COUNT($H$8:S$8)+$I$4))),TREND($D52:$E52,$D$8:$E$8,S$8))</f>
        <v>0</v>
      </c>
      <c r="T52">
        <f>IF($F52="s-curve",$D52+($E52-$D52)*$I$2/(1+EXP($I$3*(COUNT($H$8:T$8)+$I$4))),TREND($D52:$E52,$D$8:$E$8,T$8))</f>
        <v>0</v>
      </c>
      <c r="U52">
        <f>IF($F52="s-curve",$D52+($E52-$D52)*$I$2/(1+EXP($I$3*(COUNT($H$8:U$8)+$I$4))),TREND($D52:$E52,$D$8:$E$8,U$8))</f>
        <v>0</v>
      </c>
      <c r="V52">
        <f>IF($F52="s-curve",$D52+($E52-$D52)*$I$2/(1+EXP($I$3*(COUNT($H$8:V$8)+$I$4))),TREND($D52:$E52,$D$8:$E$8,V$8))</f>
        <v>0</v>
      </c>
      <c r="W52">
        <f>IF($F52="s-curve",$D52+($E52-$D52)*$I$2/(1+EXP($I$3*(COUNT($H$8:W$8)+$I$4))),TREND($D52:$E52,$D$8:$E$8,W$8))</f>
        <v>0</v>
      </c>
      <c r="X52">
        <f>IF($F52="s-curve",$D52+($E52-$D52)*$I$2/(1+EXP($I$3*(COUNT($H$8:X$8)+$I$4))),TREND($D52:$E52,$D$8:$E$8,X$8))</f>
        <v>0</v>
      </c>
      <c r="Y52">
        <f>IF($F52="s-curve",$D52+($E52-$D52)*$I$2/(1+EXP($I$3*(COUNT($H$8:Y$8)+$I$4))),TREND($D52:$E52,$D$8:$E$8,Y$8))</f>
        <v>0</v>
      </c>
      <c r="Z52">
        <f>IF($F52="s-curve",$D52+($E52-$D52)*$I$2/(1+EXP($I$3*(COUNT($H$8:Z$8)+$I$4))),TREND($D52:$E52,$D$8:$E$8,Z$8))</f>
        <v>0</v>
      </c>
      <c r="AA52">
        <f>IF($F52="s-curve",$D52+($E52-$D52)*$I$2/(1+EXP($I$3*(COUNT($H$8:AA$8)+$I$4))),TREND($D52:$E52,$D$8:$E$8,AA$8))</f>
        <v>0</v>
      </c>
      <c r="AB52">
        <f>IF($F52="s-curve",$D52+($E52-$D52)*$I$2/(1+EXP($I$3*(COUNT($H$8:AB$8)+$I$4))),TREND($D52:$E52,$D$8:$E$8,AB$8))</f>
        <v>0</v>
      </c>
      <c r="AC52">
        <f>IF($F52="s-curve",$D52+($E52-$D52)*$I$2/(1+EXP($I$3*(COUNT($H$8:AC$8)+$I$4))),TREND($D52:$E52,$D$8:$E$8,AC$8))</f>
        <v>0</v>
      </c>
      <c r="AD52">
        <f>IF($F52="s-curve",$D52+($E52-$D52)*$I$2/(1+EXP($I$3*(COUNT($H$8:AD$8)+$I$4))),TREND($D52:$E52,$D$8:$E$8,AD$8))</f>
        <v>0</v>
      </c>
      <c r="AE52">
        <f>IF($F52="s-curve",$D52+($E52-$D52)*$I$2/(1+EXP($I$3*(COUNT($H$8:AE$8)+$I$4))),TREND($D52:$E52,$D$8:$E$8,AE$8))</f>
        <v>0</v>
      </c>
      <c r="AF52">
        <f>IF($F52="s-curve",$D52+($E52-$D52)*$I$2/(1+EXP($I$3*(COUNT($H$8:AF$8)+$I$4))),TREND($D52:$E52,$D$8:$E$8,AF$8))</f>
        <v>0</v>
      </c>
      <c r="AG52">
        <f>IF($F52="s-curve",$D52+($E52-$D52)*$I$2/(1+EXP($I$3*(COUNT($H$8:AG$8)+$I$4))),TREND($D52:$E52,$D$8:$E$8,AG$8))</f>
        <v>0</v>
      </c>
      <c r="AH52">
        <f>IF($F52="s-curve",$D52+($E52-$D52)*$I$2/(1+EXP($I$3*(COUNT($H$8:AH$8)+$I$4))),TREND($D52:$E52,$D$8:$E$8,AH$8))</f>
        <v>0</v>
      </c>
      <c r="AI52">
        <f>IF($F52="s-curve",$D52+($E52-$D52)*$I$2/(1+EXP($I$3*(COUNT($H$8:AI$8)+$I$4))),TREND($D52:$E52,$D$8:$E$8,AI$8))</f>
        <v>0</v>
      </c>
      <c r="AJ52">
        <f>IF($F52="s-curve",$D52+($E52-$D52)*$I$2/(1+EXP($I$3*(COUNT($H$8:AJ$8)+$I$4))),TREND($D52:$E52,$D$8:$E$8,AJ$8))</f>
        <v>0</v>
      </c>
      <c r="AK52">
        <f>IF($F52="s-curve",$D52+($E52-$D52)*$I$2/(1+EXP($I$3*(COUNT($H$8:AK$8)+$I$4))),TREND($D52:$E52,$D$8:$E$8,AK$8))</f>
        <v>0</v>
      </c>
      <c r="AL52">
        <f>IF($F52="s-curve",$D52+($E52-$D52)*$I$2/(1+EXP($I$3*(COUNT($H$8:AL$8)+$I$4))),TREND($D52:$E52,$D$8:$E$8,AL$8))</f>
        <v>0</v>
      </c>
      <c r="AM52">
        <f>IF($F52="s-curve",$D52+($E52-$D52)*$I$2/(1+EXP($I$3*(COUNT($H$8:AM$8)+$I$4))),TREND($D52:$E52,$D$8:$E$8,AM$8))</f>
        <v>0</v>
      </c>
      <c r="AN52">
        <f>IF($F52="s-curve",$D52+($E52-$D52)*$I$2/(1+EXP($I$3*(COUNT($H$8:AN$8)+$I$4))),TREND($D52:$E52,$D$8:$E$8,AN$8))</f>
        <v>0</v>
      </c>
      <c r="AO52">
        <f>IF($F52="s-curve",$D52+($E52-$D52)*$I$2/(1+EXP($I$3*(COUNT($H$8:AO$8)+$I$4))),TREND($D52:$E52,$D$8:$E$8,AO$8))</f>
        <v>0</v>
      </c>
      <c r="AP52">
        <f>IF($F52="s-curve",$D52+($E52-$D52)*$I$2/(1+EXP($I$3*(COUNT($H$8:AP$8)+$I$4))),TREND($D52:$E52,$D$8:$E$8,AP$8))</f>
        <v>0</v>
      </c>
      <c r="AQ52">
        <f>IF($F52="s-curve",$D52+($E52-$D52)*$I$2/(1+EXP($I$3*(COUNT($H$8:AQ$8)+$I$4))),TREND($D52:$E52,$D$8:$E$8,AQ$8))</f>
        <v>0</v>
      </c>
      <c r="AR52">
        <f>IF($F52="s-curve",$D52+($E52-$D52)*$I$2/(1+EXP($I$3*(COUNT($H$8:AR$8)+$I$4))),TREND($D52:$E52,$D$8:$E$8,AR$8))</f>
        <v>0</v>
      </c>
      <c r="AS52">
        <f>IF($F52="s-curve",$D52+($E52-$D52)*$I$2/(1+EXP($I$3*(COUNT($H$8:AS$8)+$I$4))),TREND($D52:$E52,$D$8:$E$8,AS$8))</f>
        <v>0</v>
      </c>
      <c r="AT52">
        <f>IF($F52="s-curve",$D52+($E52-$D52)*$I$2/(1+EXP($I$3*(COUNT($H$8:AT$8)+$I$4))),TREND($D52:$E52,$D$8:$E$8,AT$8))</f>
        <v>0</v>
      </c>
      <c r="AU52">
        <f>IF($F52="s-curve",$D52+($E52-$D52)*$I$2/(1+EXP($I$3*(COUNT($H$8:AU$8)+$I$4))),TREND($D52:$E52,$D$8:$E$8,AU$8))</f>
        <v>0</v>
      </c>
      <c r="AV52">
        <f>IF($F52="s-curve",$D52+($E52-$D52)*$I$2/(1+EXP($I$3*(COUNT($H$8:AV$8)+$I$4))),TREND($D52:$E52,$D$8:$E$8,AV$8))</f>
        <v>0</v>
      </c>
    </row>
    <row r="53" spans="1:48" x14ac:dyDescent="0.15">
      <c r="C53" t="s">
        <v>3</v>
      </c>
      <c r="D53">
        <v>0</v>
      </c>
      <c r="E53">
        <v>0</v>
      </c>
      <c r="F53" s="7" t="str">
        <f>IF(D53=E53,"n/a",IF(OR(C53="battery electric vehicle",C53="natural gas vehicle",C53="plugin hybrid vehicle"),"s-curve","linear"))</f>
        <v>n/a</v>
      </c>
      <c r="H53" s="22">
        <f t="shared" si="23"/>
        <v>0</v>
      </c>
      <c r="I53">
        <f>IF($F53="s-curve",$D53+($E53-$D53)*$I$2/(1+EXP($I$3*(COUNT($H$8:I$8)+$I$4))),TREND($D53:$E53,$D$8:$E$8,I$8))</f>
        <v>0</v>
      </c>
      <c r="J53">
        <f>IF($F53="s-curve",$D53+($E53-$D53)*$I$2/(1+EXP($I$3*(COUNT($H$8:J$8)+$I$4))),TREND($D53:$E53,$D$8:$E$8,J$8))</f>
        <v>0</v>
      </c>
      <c r="K53">
        <f>IF($F53="s-curve",$D53+($E53-$D53)*$I$2/(1+EXP($I$3*(COUNT($H$8:K$8)+$I$4))),TREND($D53:$E53,$D$8:$E$8,K$8))</f>
        <v>0</v>
      </c>
      <c r="L53">
        <f>IF($F53="s-curve",$D53+($E53-$D53)*$I$2/(1+EXP($I$3*(COUNT($H$8:L$8)+$I$4))),TREND($D53:$E53,$D$8:$E$8,L$8))</f>
        <v>0</v>
      </c>
      <c r="M53">
        <f>IF($F53="s-curve",$D53+($E53-$D53)*$I$2/(1+EXP($I$3*(COUNT($H$8:M$8)+$I$4))),TREND($D53:$E53,$D$8:$E$8,M$8))</f>
        <v>0</v>
      </c>
      <c r="N53">
        <f>IF($F53="s-curve",$D53+($E53-$D53)*$I$2/(1+EXP($I$3*(COUNT($H$8:N$8)+$I$4))),TREND($D53:$E53,$D$8:$E$8,N$8))</f>
        <v>0</v>
      </c>
      <c r="O53">
        <f>IF($F53="s-curve",$D53+($E53-$D53)*$I$2/(1+EXP($I$3*(COUNT($H$8:O$8)+$I$4))),TREND($D53:$E53,$D$8:$E$8,O$8))</f>
        <v>0</v>
      </c>
      <c r="P53">
        <f>IF($F53="s-curve",$D53+($E53-$D53)*$I$2/(1+EXP($I$3*(COUNT($H$8:P$8)+$I$4))),TREND($D53:$E53,$D$8:$E$8,P$8))</f>
        <v>0</v>
      </c>
      <c r="Q53">
        <f>IF($F53="s-curve",$D53+($E53-$D53)*$I$2/(1+EXP($I$3*(COUNT($H$8:Q$8)+$I$4))),TREND($D53:$E53,$D$8:$E$8,Q$8))</f>
        <v>0</v>
      </c>
      <c r="R53">
        <f>IF($F53="s-curve",$D53+($E53-$D53)*$I$2/(1+EXP($I$3*(COUNT($H$8:R$8)+$I$4))),TREND($D53:$E53,$D$8:$E$8,R$8))</f>
        <v>0</v>
      </c>
      <c r="S53">
        <f>IF($F53="s-curve",$D53+($E53-$D53)*$I$2/(1+EXP($I$3*(COUNT($H$8:S$8)+$I$4))),TREND($D53:$E53,$D$8:$E$8,S$8))</f>
        <v>0</v>
      </c>
      <c r="T53">
        <f>IF($F53="s-curve",$D53+($E53-$D53)*$I$2/(1+EXP($I$3*(COUNT($H$8:T$8)+$I$4))),TREND($D53:$E53,$D$8:$E$8,T$8))</f>
        <v>0</v>
      </c>
      <c r="U53">
        <f>IF($F53="s-curve",$D53+($E53-$D53)*$I$2/(1+EXP($I$3*(COUNT($H$8:U$8)+$I$4))),TREND($D53:$E53,$D$8:$E$8,U$8))</f>
        <v>0</v>
      </c>
      <c r="V53">
        <f>IF($F53="s-curve",$D53+($E53-$D53)*$I$2/(1+EXP($I$3*(COUNT($H$8:V$8)+$I$4))),TREND($D53:$E53,$D$8:$E$8,V$8))</f>
        <v>0</v>
      </c>
      <c r="W53">
        <f>IF($F53="s-curve",$D53+($E53-$D53)*$I$2/(1+EXP($I$3*(COUNT($H$8:W$8)+$I$4))),TREND($D53:$E53,$D$8:$E$8,W$8))</f>
        <v>0</v>
      </c>
      <c r="X53">
        <f>IF($F53="s-curve",$D53+($E53-$D53)*$I$2/(1+EXP($I$3*(COUNT($H$8:X$8)+$I$4))),TREND($D53:$E53,$D$8:$E$8,X$8))</f>
        <v>0</v>
      </c>
      <c r="Y53">
        <f>IF($F53="s-curve",$D53+($E53-$D53)*$I$2/(1+EXP($I$3*(COUNT($H$8:Y$8)+$I$4))),TREND($D53:$E53,$D$8:$E$8,Y$8))</f>
        <v>0</v>
      </c>
      <c r="Z53">
        <f>IF($F53="s-curve",$D53+($E53-$D53)*$I$2/(1+EXP($I$3*(COUNT($H$8:Z$8)+$I$4))),TREND($D53:$E53,$D$8:$E$8,Z$8))</f>
        <v>0</v>
      </c>
      <c r="AA53">
        <f>IF($F53="s-curve",$D53+($E53-$D53)*$I$2/(1+EXP($I$3*(COUNT($H$8:AA$8)+$I$4))),TREND($D53:$E53,$D$8:$E$8,AA$8))</f>
        <v>0</v>
      </c>
      <c r="AB53">
        <f>IF($F53="s-curve",$D53+($E53-$D53)*$I$2/(1+EXP($I$3*(COUNT($H$8:AB$8)+$I$4))),TREND($D53:$E53,$D$8:$E$8,AB$8))</f>
        <v>0</v>
      </c>
      <c r="AC53">
        <f>IF($F53="s-curve",$D53+($E53-$D53)*$I$2/(1+EXP($I$3*(COUNT($H$8:AC$8)+$I$4))),TREND($D53:$E53,$D$8:$E$8,AC$8))</f>
        <v>0</v>
      </c>
      <c r="AD53">
        <f>IF($F53="s-curve",$D53+($E53-$D53)*$I$2/(1+EXP($I$3*(COUNT($H$8:AD$8)+$I$4))),TREND($D53:$E53,$D$8:$E$8,AD$8))</f>
        <v>0</v>
      </c>
      <c r="AE53">
        <f>IF($F53="s-curve",$D53+($E53-$D53)*$I$2/(1+EXP($I$3*(COUNT($H$8:AE$8)+$I$4))),TREND($D53:$E53,$D$8:$E$8,AE$8))</f>
        <v>0</v>
      </c>
      <c r="AF53">
        <f>IF($F53="s-curve",$D53+($E53-$D53)*$I$2/(1+EXP($I$3*(COUNT($H$8:AF$8)+$I$4))),TREND($D53:$E53,$D$8:$E$8,AF$8))</f>
        <v>0</v>
      </c>
      <c r="AG53">
        <f>IF($F53="s-curve",$D53+($E53-$D53)*$I$2/(1+EXP($I$3*(COUNT($H$8:AG$8)+$I$4))),TREND($D53:$E53,$D$8:$E$8,AG$8))</f>
        <v>0</v>
      </c>
      <c r="AH53">
        <f>IF($F53="s-curve",$D53+($E53-$D53)*$I$2/(1+EXP($I$3*(COUNT($H$8:AH$8)+$I$4))),TREND($D53:$E53,$D$8:$E$8,AH$8))</f>
        <v>0</v>
      </c>
      <c r="AI53">
        <f>IF($F53="s-curve",$D53+($E53-$D53)*$I$2/(1+EXP($I$3*(COUNT($H$8:AI$8)+$I$4))),TREND($D53:$E53,$D$8:$E$8,AI$8))</f>
        <v>0</v>
      </c>
      <c r="AJ53">
        <f>IF($F53="s-curve",$D53+($E53-$D53)*$I$2/(1+EXP($I$3*(COUNT($H$8:AJ$8)+$I$4))),TREND($D53:$E53,$D$8:$E$8,AJ$8))</f>
        <v>0</v>
      </c>
      <c r="AK53">
        <f>IF($F53="s-curve",$D53+($E53-$D53)*$I$2/(1+EXP($I$3*(COUNT($H$8:AK$8)+$I$4))),TREND($D53:$E53,$D$8:$E$8,AK$8))</f>
        <v>0</v>
      </c>
      <c r="AL53">
        <f>IF($F53="s-curve",$D53+($E53-$D53)*$I$2/(1+EXP($I$3*(COUNT($H$8:AL$8)+$I$4))),TREND($D53:$E53,$D$8:$E$8,AL$8))</f>
        <v>0</v>
      </c>
      <c r="AM53">
        <f>IF($F53="s-curve",$D53+($E53-$D53)*$I$2/(1+EXP($I$3*(COUNT($H$8:AM$8)+$I$4))),TREND($D53:$E53,$D$8:$E$8,AM$8))</f>
        <v>0</v>
      </c>
      <c r="AN53">
        <f>IF($F53="s-curve",$D53+($E53-$D53)*$I$2/(1+EXP($I$3*(COUNT($H$8:AN$8)+$I$4))),TREND($D53:$E53,$D$8:$E$8,AN$8))</f>
        <v>0</v>
      </c>
      <c r="AO53">
        <f>IF($F53="s-curve",$D53+($E53-$D53)*$I$2/(1+EXP($I$3*(COUNT($H$8:AO$8)+$I$4))),TREND($D53:$E53,$D$8:$E$8,AO$8))</f>
        <v>0</v>
      </c>
      <c r="AP53">
        <f>IF($F53="s-curve",$D53+($E53-$D53)*$I$2/(1+EXP($I$3*(COUNT($H$8:AP$8)+$I$4))),TREND($D53:$E53,$D$8:$E$8,AP$8))</f>
        <v>0</v>
      </c>
      <c r="AQ53">
        <f>IF($F53="s-curve",$D53+($E53-$D53)*$I$2/(1+EXP($I$3*(COUNT($H$8:AQ$8)+$I$4))),TREND($D53:$E53,$D$8:$E$8,AQ$8))</f>
        <v>0</v>
      </c>
      <c r="AR53">
        <f>IF($F53="s-curve",$D53+($E53-$D53)*$I$2/(1+EXP($I$3*(COUNT($H$8:AR$8)+$I$4))),TREND($D53:$E53,$D$8:$E$8,AR$8))</f>
        <v>0</v>
      </c>
      <c r="AS53">
        <f>IF($F53="s-curve",$D53+($E53-$D53)*$I$2/(1+EXP($I$3*(COUNT($H$8:AS$8)+$I$4))),TREND($D53:$E53,$D$8:$E$8,AS$8))</f>
        <v>0</v>
      </c>
      <c r="AT53">
        <f>IF($F53="s-curve",$D53+($E53-$D53)*$I$2/(1+EXP($I$3*(COUNT($H$8:AT$8)+$I$4))),TREND($D53:$E53,$D$8:$E$8,AT$8))</f>
        <v>0</v>
      </c>
      <c r="AU53">
        <f>IF($F53="s-curve",$D53+($E53-$D53)*$I$2/(1+EXP($I$3*(COUNT($H$8:AU$8)+$I$4))),TREND($D53:$E53,$D$8:$E$8,AU$8))</f>
        <v>0</v>
      </c>
      <c r="AV53">
        <f>IF($F53="s-curve",$D53+($E53-$D53)*$I$2/(1+EXP($I$3*(COUNT($H$8:AV$8)+$I$4))),TREND($D53:$E53,$D$8:$E$8,AV$8))</f>
        <v>0</v>
      </c>
    </row>
    <row r="54" spans="1:48" x14ac:dyDescent="0.15">
      <c r="C54" t="s">
        <v>4</v>
      </c>
      <c r="D54" s="22">
        <f>1-D51</f>
        <v>0.24123916929677303</v>
      </c>
      <c r="E54">
        <v>1</v>
      </c>
      <c r="F54" s="7" t="str">
        <f>IF(D54=E54,"n/a",IF(OR(C54="battery electric vehicle",C54="natural gas vehicle",C54="plugin hybrid vehicle"),"s-curve","linear"))</f>
        <v>linear</v>
      </c>
      <c r="H54" s="22">
        <f t="shared" si="23"/>
        <v>0.24123916929677303</v>
      </c>
      <c r="I54">
        <f>IF($F54="s-curve",$D54+($E54-$D54)*$I$2/(1+EXP($I$3*(COUNT($H$8:I$8)+$I$4))),TREND($D54:$E54,$D$8:$E$8,I$8))</f>
        <v>0.27158960252490516</v>
      </c>
      <c r="J54">
        <f>IF($F54="s-curve",$D54+($E54-$D54)*$I$2/(1+EXP($I$3*(COUNT($H$8:J$8)+$I$4))),TREND($D54:$E54,$D$8:$E$8,J$8))</f>
        <v>0.30194003575303441</v>
      </c>
      <c r="K54">
        <f>IF($F54="s-curve",$D54+($E54-$D54)*$I$2/(1+EXP($I$3*(COUNT($H$8:K$8)+$I$4))),TREND($D54:$E54,$D$8:$E$8,K$8))</f>
        <v>0.33229046898115655</v>
      </c>
      <c r="L54">
        <f>IF($F54="s-curve",$D54+($E54-$D54)*$I$2/(1+EXP($I$3*(COUNT($H$8:L$8)+$I$4))),TREND($D54:$E54,$D$8:$E$8,L$8))</f>
        <v>0.3626409022092858</v>
      </c>
      <c r="M54">
        <f>IF($F54="s-curve",$D54+($E54-$D54)*$I$2/(1+EXP($I$3*(COUNT($H$8:M$8)+$I$4))),TREND($D54:$E54,$D$8:$E$8,M$8))</f>
        <v>0.39299133543741505</v>
      </c>
      <c r="N54">
        <f>IF($F54="s-curve",$D54+($E54-$D54)*$I$2/(1+EXP($I$3*(COUNT($H$8:N$8)+$I$4))),TREND($D54:$E54,$D$8:$E$8,N$8))</f>
        <v>0.42334176866554429</v>
      </c>
      <c r="O54">
        <f>IF($F54="s-curve",$D54+($E54-$D54)*$I$2/(1+EXP($I$3*(COUNT($H$8:O$8)+$I$4))),TREND($D54:$E54,$D$8:$E$8,O$8))</f>
        <v>0.45369220189367354</v>
      </c>
      <c r="P54">
        <f>IF($F54="s-curve",$D54+($E54-$D54)*$I$2/(1+EXP($I$3*(COUNT($H$8:P$8)+$I$4))),TREND($D54:$E54,$D$8:$E$8,P$8))</f>
        <v>0.48404263512180279</v>
      </c>
      <c r="Q54">
        <f>IF($F54="s-curve",$D54+($E54-$D54)*$I$2/(1+EXP($I$3*(COUNT($H$8:Q$8)+$I$4))),TREND($D54:$E54,$D$8:$E$8,Q$8))</f>
        <v>0.51439306834993204</v>
      </c>
      <c r="R54">
        <f>IF($F54="s-curve",$D54+($E54-$D54)*$I$2/(1+EXP($I$3*(COUNT($H$8:R$8)+$I$4))),TREND($D54:$E54,$D$8:$E$8,R$8))</f>
        <v>0.54474350157806128</v>
      </c>
      <c r="S54">
        <f>IF($F54="s-curve",$D54+($E54-$D54)*$I$2/(1+EXP($I$3*(COUNT($H$8:S$8)+$I$4))),TREND($D54:$E54,$D$8:$E$8,S$8))</f>
        <v>0.57509393480619053</v>
      </c>
      <c r="T54">
        <f>IF($F54="s-curve",$D54+($E54-$D54)*$I$2/(1+EXP($I$3*(COUNT($H$8:T$8)+$I$4))),TREND($D54:$E54,$D$8:$E$8,T$8))</f>
        <v>0.60544436803431978</v>
      </c>
      <c r="U54">
        <f>IF($F54="s-curve",$D54+($E54-$D54)*$I$2/(1+EXP($I$3*(COUNT($H$8:U$8)+$I$4))),TREND($D54:$E54,$D$8:$E$8,U$8))</f>
        <v>0.63579480126244903</v>
      </c>
      <c r="V54">
        <f>IF($F54="s-curve",$D54+($E54-$D54)*$I$2/(1+EXP($I$3*(COUNT($H$8:V$8)+$I$4))),TREND($D54:$E54,$D$8:$E$8,V$8))</f>
        <v>0.66614523449057828</v>
      </c>
      <c r="W54">
        <f>IF($F54="s-curve",$D54+($E54-$D54)*$I$2/(1+EXP($I$3*(COUNT($H$8:W$8)+$I$4))),TREND($D54:$E54,$D$8:$E$8,W$8))</f>
        <v>0.69649566771870752</v>
      </c>
      <c r="X54">
        <f>IF($F54="s-curve",$D54+($E54-$D54)*$I$2/(1+EXP($I$3*(COUNT($H$8:X$8)+$I$4))),TREND($D54:$E54,$D$8:$E$8,X$8))</f>
        <v>0.72684610094683677</v>
      </c>
      <c r="Y54">
        <f>IF($F54="s-curve",$D54+($E54-$D54)*$I$2/(1+EXP($I$3*(COUNT($H$8:Y$8)+$I$4))),TREND($D54:$E54,$D$8:$E$8,Y$8))</f>
        <v>0.75719653417496602</v>
      </c>
      <c r="Z54">
        <f>IF($F54="s-curve",$D54+($E54-$D54)*$I$2/(1+EXP($I$3*(COUNT($H$8:Z$8)+$I$4))),TREND($D54:$E54,$D$8:$E$8,Z$8))</f>
        <v>0.78754696740309527</v>
      </c>
      <c r="AA54">
        <f>IF($F54="s-curve",$D54+($E54-$D54)*$I$2/(1+EXP($I$3*(COUNT($H$8:AA$8)+$I$4))),TREND($D54:$E54,$D$8:$E$8,AA$8))</f>
        <v>0.81789740063122451</v>
      </c>
      <c r="AB54">
        <f>IF($F54="s-curve",$D54+($E54-$D54)*$I$2/(1+EXP($I$3*(COUNT($H$8:AB$8)+$I$4))),TREND($D54:$E54,$D$8:$E$8,AB$8))</f>
        <v>0.84824783385935376</v>
      </c>
      <c r="AC54">
        <f>IF($F54="s-curve",$D54+($E54-$D54)*$I$2/(1+EXP($I$3*(COUNT($H$8:AC$8)+$I$4))),TREND($D54:$E54,$D$8:$E$8,AC$8))</f>
        <v>0.87859826708748301</v>
      </c>
      <c r="AD54">
        <f>IF($F54="s-curve",$D54+($E54-$D54)*$I$2/(1+EXP($I$3*(COUNT($H$8:AD$8)+$I$4))),TREND($D54:$E54,$D$8:$E$8,AD$8))</f>
        <v>0.90894870031561226</v>
      </c>
      <c r="AE54">
        <f>IF($F54="s-curve",$D54+($E54-$D54)*$I$2/(1+EXP($I$3*(COUNT($H$8:AE$8)+$I$4))),TREND($D54:$E54,$D$8:$E$8,AE$8))</f>
        <v>0.9392991335437415</v>
      </c>
      <c r="AF54">
        <f>IF($F54="s-curve",$D54+($E54-$D54)*$I$2/(1+EXP($I$3*(COUNT($H$8:AF$8)+$I$4))),TREND($D54:$E54,$D$8:$E$8,AF$8))</f>
        <v>0.96964956677187075</v>
      </c>
      <c r="AG54">
        <f>IF($F54="s-curve",$D54+($E54-$D54)*$I$2/(1+EXP($I$3*(COUNT($H$8:AG$8)+$I$4))),TREND($D54:$E54,$D$8:$E$8,AG$8))</f>
        <v>1</v>
      </c>
      <c r="AH54">
        <f>IF($F54="s-curve",$D54+($E54-$D54)*$I$2/(1+EXP($I$3*(COUNT($H$8:AH$8)+$I$4))),TREND($D54:$E54,$D$8:$E$8,AH$8))</f>
        <v>1.0303504332281292</v>
      </c>
      <c r="AI54">
        <f>IF($F54="s-curve",$D54+($E54-$D54)*$I$2/(1+EXP($I$3*(COUNT($H$8:AI$8)+$I$4))),TREND($D54:$E54,$D$8:$E$8,AI$8))</f>
        <v>1.0607008664562585</v>
      </c>
      <c r="AJ54">
        <f>IF($F54="s-curve",$D54+($E54-$D54)*$I$2/(1+EXP($I$3*(COUNT($H$8:AJ$8)+$I$4))),TREND($D54:$E54,$D$8:$E$8,AJ$8))</f>
        <v>1.0910512996843877</v>
      </c>
      <c r="AK54">
        <f>IF($F54="s-curve",$D54+($E54-$D54)*$I$2/(1+EXP($I$3*(COUNT($H$8:AK$8)+$I$4))),TREND($D54:$E54,$D$8:$E$8,AK$8))</f>
        <v>1.121401732912517</v>
      </c>
      <c r="AL54">
        <f>IF($F54="s-curve",$D54+($E54-$D54)*$I$2/(1+EXP($I$3*(COUNT($H$8:AL$8)+$I$4))),TREND($D54:$E54,$D$8:$E$8,AL$8))</f>
        <v>1.1517521661406462</v>
      </c>
      <c r="AM54">
        <f>IF($F54="s-curve",$D54+($E54-$D54)*$I$2/(1+EXP($I$3*(COUNT($H$8:AM$8)+$I$4))),TREND($D54:$E54,$D$8:$E$8,AM$8))</f>
        <v>1.1821025993687755</v>
      </c>
      <c r="AN54">
        <f>IF($F54="s-curve",$D54+($E54-$D54)*$I$2/(1+EXP($I$3*(COUNT($H$8:AN$8)+$I$4))),TREND($D54:$E54,$D$8:$E$8,AN$8))</f>
        <v>1.2124530325969047</v>
      </c>
      <c r="AO54">
        <f>IF($F54="s-curve",$D54+($E54-$D54)*$I$2/(1+EXP($I$3*(COUNT($H$8:AO$8)+$I$4))),TREND($D54:$E54,$D$8:$E$8,AO$8))</f>
        <v>1.242803465825034</v>
      </c>
      <c r="AP54">
        <f>IF($F54="s-curve",$D54+($E54-$D54)*$I$2/(1+EXP($I$3*(COUNT($H$8:AP$8)+$I$4))),TREND($D54:$E54,$D$8:$E$8,AP$8))</f>
        <v>1.2731538990531632</v>
      </c>
      <c r="AQ54">
        <f>IF($F54="s-curve",$D54+($E54-$D54)*$I$2/(1+EXP($I$3*(COUNT($H$8:AQ$8)+$I$4))),TREND($D54:$E54,$D$8:$E$8,AQ$8))</f>
        <v>1.3035043322812925</v>
      </c>
      <c r="AR54">
        <f>IF($F54="s-curve",$D54+($E54-$D54)*$I$2/(1+EXP($I$3*(COUNT($H$8:AR$8)+$I$4))),TREND($D54:$E54,$D$8:$E$8,AR$8))</f>
        <v>1.3338547655094217</v>
      </c>
      <c r="AS54">
        <f>IF($F54="s-curve",$D54+($E54-$D54)*$I$2/(1+EXP($I$3*(COUNT($H$8:AS$8)+$I$4))),TREND($D54:$E54,$D$8:$E$8,AS$8))</f>
        <v>1.364205198737551</v>
      </c>
      <c r="AT54">
        <f>IF($F54="s-curve",$D54+($E54-$D54)*$I$2/(1+EXP($I$3*(COUNT($H$8:AT$8)+$I$4))),TREND($D54:$E54,$D$8:$E$8,AT$8))</f>
        <v>1.3945556319656802</v>
      </c>
      <c r="AU54">
        <f>IF($F54="s-curve",$D54+($E54-$D54)*$I$2/(1+EXP($I$3*(COUNT($H$8:AU$8)+$I$4))),TREND($D54:$E54,$D$8:$E$8,AU$8))</f>
        <v>1.4249060651938095</v>
      </c>
      <c r="AV54">
        <f>IF($F54="s-curve",$D54+($E54-$D54)*$I$2/(1+EXP($I$3*(COUNT($H$8:AV$8)+$I$4))),TREND($D54:$E54,$D$8:$E$8,AV$8))</f>
        <v>1.4552564984219387</v>
      </c>
    </row>
    <row r="55" spans="1:48" x14ac:dyDescent="0.15">
      <c r="C55" t="s">
        <v>5</v>
      </c>
      <c r="D55">
        <v>0</v>
      </c>
      <c r="E55">
        <v>0</v>
      </c>
      <c r="F55" s="7" t="str">
        <f>IF(D55=E55,"n/a",IF(OR(C55="battery electric vehicle",C55="natural gas vehicle",C55="plugin hybrid vehicle"),"s-curve","linear"))</f>
        <v>n/a</v>
      </c>
      <c r="H55" s="22">
        <f t="shared" si="23"/>
        <v>0</v>
      </c>
      <c r="I55">
        <f>IF($F55="s-curve",$D55+($E55-$D55)*$I$2/(1+EXP($I$3*(COUNT($H$8:I$8)+$I$4))),TREND($D55:$E55,$D$8:$E$8,I$8))</f>
        <v>0</v>
      </c>
      <c r="J55">
        <f>IF($F55="s-curve",$D55+($E55-$D55)*$I$2/(1+EXP($I$3*(COUNT($H$8:J$8)+$I$4))),TREND($D55:$E55,$D$8:$E$8,J$8))</f>
        <v>0</v>
      </c>
      <c r="K55">
        <f>IF($F55="s-curve",$D55+($E55-$D55)*$I$2/(1+EXP($I$3*(COUNT($H$8:K$8)+$I$4))),TREND($D55:$E55,$D$8:$E$8,K$8))</f>
        <v>0</v>
      </c>
      <c r="L55">
        <f>IF($F55="s-curve",$D55+($E55-$D55)*$I$2/(1+EXP($I$3*(COUNT($H$8:L$8)+$I$4))),TREND($D55:$E55,$D$8:$E$8,L$8))</f>
        <v>0</v>
      </c>
      <c r="M55">
        <f>IF($F55="s-curve",$D55+($E55-$D55)*$I$2/(1+EXP($I$3*(COUNT($H$8:M$8)+$I$4))),TREND($D55:$E55,$D$8:$E$8,M$8))</f>
        <v>0</v>
      </c>
      <c r="N55">
        <f>IF($F55="s-curve",$D55+($E55-$D55)*$I$2/(1+EXP($I$3*(COUNT($H$8:N$8)+$I$4))),TREND($D55:$E55,$D$8:$E$8,N$8))</f>
        <v>0</v>
      </c>
      <c r="O55">
        <f>IF($F55="s-curve",$D55+($E55-$D55)*$I$2/(1+EXP($I$3*(COUNT($H$8:O$8)+$I$4))),TREND($D55:$E55,$D$8:$E$8,O$8))</f>
        <v>0</v>
      </c>
      <c r="P55">
        <f>IF($F55="s-curve",$D55+($E55-$D55)*$I$2/(1+EXP($I$3*(COUNT($H$8:P$8)+$I$4))),TREND($D55:$E55,$D$8:$E$8,P$8))</f>
        <v>0</v>
      </c>
      <c r="Q55">
        <f>IF($F55="s-curve",$D55+($E55-$D55)*$I$2/(1+EXP($I$3*(COUNT($H$8:Q$8)+$I$4))),TREND($D55:$E55,$D$8:$E$8,Q$8))</f>
        <v>0</v>
      </c>
      <c r="R55">
        <f>IF($F55="s-curve",$D55+($E55-$D55)*$I$2/(1+EXP($I$3*(COUNT($H$8:R$8)+$I$4))),TREND($D55:$E55,$D$8:$E$8,R$8))</f>
        <v>0</v>
      </c>
      <c r="S55">
        <f>IF($F55="s-curve",$D55+($E55-$D55)*$I$2/(1+EXP($I$3*(COUNT($H$8:S$8)+$I$4))),TREND($D55:$E55,$D$8:$E$8,S$8))</f>
        <v>0</v>
      </c>
      <c r="T55">
        <f>IF($F55="s-curve",$D55+($E55-$D55)*$I$2/(1+EXP($I$3*(COUNT($H$8:T$8)+$I$4))),TREND($D55:$E55,$D$8:$E$8,T$8))</f>
        <v>0</v>
      </c>
      <c r="U55">
        <f>IF($F55="s-curve",$D55+($E55-$D55)*$I$2/(1+EXP($I$3*(COUNT($H$8:U$8)+$I$4))),TREND($D55:$E55,$D$8:$E$8,U$8))</f>
        <v>0</v>
      </c>
      <c r="V55">
        <f>IF($F55="s-curve",$D55+($E55-$D55)*$I$2/(1+EXP($I$3*(COUNT($H$8:V$8)+$I$4))),TREND($D55:$E55,$D$8:$E$8,V$8))</f>
        <v>0</v>
      </c>
      <c r="W55">
        <f>IF($F55="s-curve",$D55+($E55-$D55)*$I$2/(1+EXP($I$3*(COUNT($H$8:W$8)+$I$4))),TREND($D55:$E55,$D$8:$E$8,W$8))</f>
        <v>0</v>
      </c>
      <c r="X55">
        <f>IF($F55="s-curve",$D55+($E55-$D55)*$I$2/(1+EXP($I$3*(COUNT($H$8:X$8)+$I$4))),TREND($D55:$E55,$D$8:$E$8,X$8))</f>
        <v>0</v>
      </c>
      <c r="Y55">
        <f>IF($F55="s-curve",$D55+($E55-$D55)*$I$2/(1+EXP($I$3*(COUNT($H$8:Y$8)+$I$4))),TREND($D55:$E55,$D$8:$E$8,Y$8))</f>
        <v>0</v>
      </c>
      <c r="Z55">
        <f>IF($F55="s-curve",$D55+($E55-$D55)*$I$2/(1+EXP($I$3*(COUNT($H$8:Z$8)+$I$4))),TREND($D55:$E55,$D$8:$E$8,Z$8))</f>
        <v>0</v>
      </c>
      <c r="AA55">
        <f>IF($F55="s-curve",$D55+($E55-$D55)*$I$2/(1+EXP($I$3*(COUNT($H$8:AA$8)+$I$4))),TREND($D55:$E55,$D$8:$E$8,AA$8))</f>
        <v>0</v>
      </c>
      <c r="AB55">
        <f>IF($F55="s-curve",$D55+($E55-$D55)*$I$2/(1+EXP($I$3*(COUNT($H$8:AB$8)+$I$4))),TREND($D55:$E55,$D$8:$E$8,AB$8))</f>
        <v>0</v>
      </c>
      <c r="AC55">
        <f>IF($F55="s-curve",$D55+($E55-$D55)*$I$2/(1+EXP($I$3*(COUNT($H$8:AC$8)+$I$4))),TREND($D55:$E55,$D$8:$E$8,AC$8))</f>
        <v>0</v>
      </c>
      <c r="AD55">
        <f>IF($F55="s-curve",$D55+($E55-$D55)*$I$2/(1+EXP($I$3*(COUNT($H$8:AD$8)+$I$4))),TREND($D55:$E55,$D$8:$E$8,AD$8))</f>
        <v>0</v>
      </c>
      <c r="AE55">
        <f>IF($F55="s-curve",$D55+($E55-$D55)*$I$2/(1+EXP($I$3*(COUNT($H$8:AE$8)+$I$4))),TREND($D55:$E55,$D$8:$E$8,AE$8))</f>
        <v>0</v>
      </c>
      <c r="AF55">
        <f>IF($F55="s-curve",$D55+($E55-$D55)*$I$2/(1+EXP($I$3*(COUNT($H$8:AF$8)+$I$4))),TREND($D55:$E55,$D$8:$E$8,AF$8))</f>
        <v>0</v>
      </c>
      <c r="AG55">
        <f>IF($F55="s-curve",$D55+($E55-$D55)*$I$2/(1+EXP($I$3*(COUNT($H$8:AG$8)+$I$4))),TREND($D55:$E55,$D$8:$E$8,AG$8))</f>
        <v>0</v>
      </c>
      <c r="AH55">
        <f>IF($F55="s-curve",$D55+($E55-$D55)*$I$2/(1+EXP($I$3*(COUNT($H$8:AH$8)+$I$4))),TREND($D55:$E55,$D$8:$E$8,AH$8))</f>
        <v>0</v>
      </c>
      <c r="AI55">
        <f>IF($F55="s-curve",$D55+($E55-$D55)*$I$2/(1+EXP($I$3*(COUNT($H$8:AI$8)+$I$4))),TREND($D55:$E55,$D$8:$E$8,AI$8))</f>
        <v>0</v>
      </c>
      <c r="AJ55">
        <f>IF($F55="s-curve",$D55+($E55-$D55)*$I$2/(1+EXP($I$3*(COUNT($H$8:AJ$8)+$I$4))),TREND($D55:$E55,$D$8:$E$8,AJ$8))</f>
        <v>0</v>
      </c>
      <c r="AK55">
        <f>IF($F55="s-curve",$D55+($E55-$D55)*$I$2/(1+EXP($I$3*(COUNT($H$8:AK$8)+$I$4))),TREND($D55:$E55,$D$8:$E$8,AK$8))</f>
        <v>0</v>
      </c>
      <c r="AL55">
        <f>IF($F55="s-curve",$D55+($E55-$D55)*$I$2/(1+EXP($I$3*(COUNT($H$8:AL$8)+$I$4))),TREND($D55:$E55,$D$8:$E$8,AL$8))</f>
        <v>0</v>
      </c>
      <c r="AM55">
        <f>IF($F55="s-curve",$D55+($E55-$D55)*$I$2/(1+EXP($I$3*(COUNT($H$8:AM$8)+$I$4))),TREND($D55:$E55,$D$8:$E$8,AM$8))</f>
        <v>0</v>
      </c>
      <c r="AN55">
        <f>IF($F55="s-curve",$D55+($E55-$D55)*$I$2/(1+EXP($I$3*(COUNT($H$8:AN$8)+$I$4))),TREND($D55:$E55,$D$8:$E$8,AN$8))</f>
        <v>0</v>
      </c>
      <c r="AO55">
        <f>IF($F55="s-curve",$D55+($E55-$D55)*$I$2/(1+EXP($I$3*(COUNT($H$8:AO$8)+$I$4))),TREND($D55:$E55,$D$8:$E$8,AO$8))</f>
        <v>0</v>
      </c>
      <c r="AP55">
        <f>IF($F55="s-curve",$D55+($E55-$D55)*$I$2/(1+EXP($I$3*(COUNT($H$8:AP$8)+$I$4))),TREND($D55:$E55,$D$8:$E$8,AP$8))</f>
        <v>0</v>
      </c>
      <c r="AQ55">
        <f>IF($F55="s-curve",$D55+($E55-$D55)*$I$2/(1+EXP($I$3*(COUNT($H$8:AQ$8)+$I$4))),TREND($D55:$E55,$D$8:$E$8,AQ$8))</f>
        <v>0</v>
      </c>
      <c r="AR55">
        <f>IF($F55="s-curve",$D55+($E55-$D55)*$I$2/(1+EXP($I$3*(COUNT($H$8:AR$8)+$I$4))),TREND($D55:$E55,$D$8:$E$8,AR$8))</f>
        <v>0</v>
      </c>
      <c r="AS55">
        <f>IF($F55="s-curve",$D55+($E55-$D55)*$I$2/(1+EXP($I$3*(COUNT($H$8:AS$8)+$I$4))),TREND($D55:$E55,$D$8:$E$8,AS$8))</f>
        <v>0</v>
      </c>
      <c r="AT55">
        <f>IF($F55="s-curve",$D55+($E55-$D55)*$I$2/(1+EXP($I$3*(COUNT($H$8:AT$8)+$I$4))),TREND($D55:$E55,$D$8:$E$8,AT$8))</f>
        <v>0</v>
      </c>
      <c r="AU55">
        <f>IF($F55="s-curve",$D55+($E55-$D55)*$I$2/(1+EXP($I$3*(COUNT($H$8:AU$8)+$I$4))),TREND($D55:$E55,$D$8:$E$8,AU$8))</f>
        <v>0</v>
      </c>
      <c r="AV55">
        <f>IF($F55="s-curve",$D55+($E55-$D55)*$I$2/(1+EXP($I$3*(COUNT($H$8:AV$8)+$I$4))),TREND($D55:$E55,$D$8:$E$8,AV$8))</f>
        <v>0</v>
      </c>
    </row>
    <row r="56" spans="1:48" x14ac:dyDescent="0.15">
      <c r="C56" t="s">
        <v>125</v>
      </c>
      <c r="D56">
        <v>0</v>
      </c>
      <c r="E56">
        <v>0</v>
      </c>
      <c r="F56" s="7" t="str">
        <f>IF(D56=E56,"n/a",IF(OR(C56="battery electric vehicle",C56="natural gas vehicle",C56="plugin hybrid vehicle",C56="hydrogen vehicle"),"s-curve","linear"))</f>
        <v>n/a</v>
      </c>
      <c r="H56" s="22">
        <f t="shared" si="23"/>
        <v>0</v>
      </c>
      <c r="I56">
        <f>IF($F56="s-curve",$D56+($E56-$D56)*$I$2/(1+EXP($I$3*(COUNT($H$8:I$8)+$I$4))),TREND($D56:$E56,$D$8:$E$8,I$8))</f>
        <v>0</v>
      </c>
      <c r="J56">
        <f>IF($F56="s-curve",$D56+($E56-$D56)*$I$2/(1+EXP($I$3*(COUNT($H$8:J$8)+$I$4))),TREND($D56:$E56,$D$8:$E$8,J$8))</f>
        <v>0</v>
      </c>
      <c r="K56">
        <f>IF($F56="s-curve",$D56+($E56-$D56)*$I$2/(1+EXP($I$3*(COUNT($H$8:K$8)+$I$4))),TREND($D56:$E56,$D$8:$E$8,K$8))</f>
        <v>0</v>
      </c>
      <c r="L56">
        <f>IF($F56="s-curve",$D56+($E56-$D56)*$I$2/(1+EXP($I$3*(COUNT($H$8:L$8)+$I$4))),TREND($D56:$E56,$D$8:$E$8,L$8))</f>
        <v>0</v>
      </c>
      <c r="M56">
        <f>IF($F56="s-curve",$D56+($E56-$D56)*$I$2/(1+EXP($I$3*(COUNT($H$8:M$8)+$I$4))),TREND($D56:$E56,$D$8:$E$8,M$8))</f>
        <v>0</v>
      </c>
      <c r="N56">
        <f>IF($F56="s-curve",$D56+($E56-$D56)*$I$2/(1+EXP($I$3*(COUNT($H$8:N$8)+$I$4))),TREND($D56:$E56,$D$8:$E$8,N$8))</f>
        <v>0</v>
      </c>
      <c r="O56">
        <f>IF($F56="s-curve",$D56+($E56-$D56)*$I$2/(1+EXP($I$3*(COUNT($H$8:O$8)+$I$4))),TREND($D56:$E56,$D$8:$E$8,O$8))</f>
        <v>0</v>
      </c>
      <c r="P56">
        <f>IF($F56="s-curve",$D56+($E56-$D56)*$I$2/(1+EXP($I$3*(COUNT($H$8:P$8)+$I$4))),TREND($D56:$E56,$D$8:$E$8,P$8))</f>
        <v>0</v>
      </c>
      <c r="Q56">
        <f>IF($F56="s-curve",$D56+($E56-$D56)*$I$2/(1+EXP($I$3*(COUNT($H$8:Q$8)+$I$4))),TREND($D56:$E56,$D$8:$E$8,Q$8))</f>
        <v>0</v>
      </c>
      <c r="R56">
        <f>IF($F56="s-curve",$D56+($E56-$D56)*$I$2/(1+EXP($I$3*(COUNT($H$8:R$8)+$I$4))),TREND($D56:$E56,$D$8:$E$8,R$8))</f>
        <v>0</v>
      </c>
      <c r="S56">
        <f>IF($F56="s-curve",$D56+($E56-$D56)*$I$2/(1+EXP($I$3*(COUNT($H$8:S$8)+$I$4))),TREND($D56:$E56,$D$8:$E$8,S$8))</f>
        <v>0</v>
      </c>
      <c r="T56">
        <f>IF($F56="s-curve",$D56+($E56-$D56)*$I$2/(1+EXP($I$3*(COUNT($H$8:T$8)+$I$4))),TREND($D56:$E56,$D$8:$E$8,T$8))</f>
        <v>0</v>
      </c>
      <c r="U56">
        <f>IF($F56="s-curve",$D56+($E56-$D56)*$I$2/(1+EXP($I$3*(COUNT($H$8:U$8)+$I$4))),TREND($D56:$E56,$D$8:$E$8,U$8))</f>
        <v>0</v>
      </c>
      <c r="V56">
        <f>IF($F56="s-curve",$D56+($E56-$D56)*$I$2/(1+EXP($I$3*(COUNT($H$8:V$8)+$I$4))),TREND($D56:$E56,$D$8:$E$8,V$8))</f>
        <v>0</v>
      </c>
      <c r="W56">
        <f>IF($F56="s-curve",$D56+($E56-$D56)*$I$2/(1+EXP($I$3*(COUNT($H$8:W$8)+$I$4))),TREND($D56:$E56,$D$8:$E$8,W$8))</f>
        <v>0</v>
      </c>
      <c r="X56">
        <f>IF($F56="s-curve",$D56+($E56-$D56)*$I$2/(1+EXP($I$3*(COUNT($H$8:X$8)+$I$4))),TREND($D56:$E56,$D$8:$E$8,X$8))</f>
        <v>0</v>
      </c>
      <c r="Y56">
        <f>IF($F56="s-curve",$D56+($E56-$D56)*$I$2/(1+EXP($I$3*(COUNT($H$8:Y$8)+$I$4))),TREND($D56:$E56,$D$8:$E$8,Y$8))</f>
        <v>0</v>
      </c>
      <c r="Z56">
        <f>IF($F56="s-curve",$D56+($E56-$D56)*$I$2/(1+EXP($I$3*(COUNT($H$8:Z$8)+$I$4))),TREND($D56:$E56,$D$8:$E$8,Z$8))</f>
        <v>0</v>
      </c>
      <c r="AA56">
        <f>IF($F56="s-curve",$D56+($E56-$D56)*$I$2/(1+EXP($I$3*(COUNT($H$8:AA$8)+$I$4))),TREND($D56:$E56,$D$8:$E$8,AA$8))</f>
        <v>0</v>
      </c>
      <c r="AB56">
        <f>IF($F56="s-curve",$D56+($E56-$D56)*$I$2/(1+EXP($I$3*(COUNT($H$8:AB$8)+$I$4))),TREND($D56:$E56,$D$8:$E$8,AB$8))</f>
        <v>0</v>
      </c>
      <c r="AC56">
        <f>IF($F56="s-curve",$D56+($E56-$D56)*$I$2/(1+EXP($I$3*(COUNT($H$8:AC$8)+$I$4))),TREND($D56:$E56,$D$8:$E$8,AC$8))</f>
        <v>0</v>
      </c>
      <c r="AD56">
        <f>IF($F56="s-curve",$D56+($E56-$D56)*$I$2/(1+EXP($I$3*(COUNT($H$8:AD$8)+$I$4))),TREND($D56:$E56,$D$8:$E$8,AD$8))</f>
        <v>0</v>
      </c>
      <c r="AE56">
        <f>IF($F56="s-curve",$D56+($E56-$D56)*$I$2/(1+EXP($I$3*(COUNT($H$8:AE$8)+$I$4))),TREND($D56:$E56,$D$8:$E$8,AE$8))</f>
        <v>0</v>
      </c>
      <c r="AF56">
        <f>IF($F56="s-curve",$D56+($E56-$D56)*$I$2/(1+EXP($I$3*(COUNT($H$8:AF$8)+$I$4))),TREND($D56:$E56,$D$8:$E$8,AF$8))</f>
        <v>0</v>
      </c>
      <c r="AG56">
        <f>IF($F56="s-curve",$D56+($E56-$D56)*$I$2/(1+EXP($I$3*(COUNT($H$8:AG$8)+$I$4))),TREND($D56:$E56,$D$8:$E$8,AG$8))</f>
        <v>0</v>
      </c>
      <c r="AH56">
        <f>IF($F56="s-curve",$D56+($E56-$D56)*$I$2/(1+EXP($I$3*(COUNT($H$8:AH$8)+$I$4))),TREND($D56:$E56,$D$8:$E$8,AH$8))</f>
        <v>0</v>
      </c>
      <c r="AI56">
        <f>IF($F56="s-curve",$D56+($E56-$D56)*$I$2/(1+EXP($I$3*(COUNT($H$8:AI$8)+$I$4))),TREND($D56:$E56,$D$8:$E$8,AI$8))</f>
        <v>0</v>
      </c>
      <c r="AJ56">
        <f>IF($F56="s-curve",$D56+($E56-$D56)*$I$2/(1+EXP($I$3*(COUNT($H$8:AJ$8)+$I$4))),TREND($D56:$E56,$D$8:$E$8,AJ$8))</f>
        <v>0</v>
      </c>
      <c r="AK56">
        <f>IF($F56="s-curve",$D56+($E56-$D56)*$I$2/(1+EXP($I$3*(COUNT($H$8:AK$8)+$I$4))),TREND($D56:$E56,$D$8:$E$8,AK$8))</f>
        <v>0</v>
      </c>
      <c r="AL56">
        <f>IF($F56="s-curve",$D56+($E56-$D56)*$I$2/(1+EXP($I$3*(COUNT($H$8:AL$8)+$I$4))),TREND($D56:$E56,$D$8:$E$8,AL$8))</f>
        <v>0</v>
      </c>
      <c r="AM56">
        <f>IF($F56="s-curve",$D56+($E56-$D56)*$I$2/(1+EXP($I$3*(COUNT($H$8:AM$8)+$I$4))),TREND($D56:$E56,$D$8:$E$8,AM$8))</f>
        <v>0</v>
      </c>
      <c r="AN56">
        <f>IF($F56="s-curve",$D56+($E56-$D56)*$I$2/(1+EXP($I$3*(COUNT($H$8:AN$8)+$I$4))),TREND($D56:$E56,$D$8:$E$8,AN$8))</f>
        <v>0</v>
      </c>
      <c r="AO56">
        <f>IF($F56="s-curve",$D56+($E56-$D56)*$I$2/(1+EXP($I$3*(COUNT($H$8:AO$8)+$I$4))),TREND($D56:$E56,$D$8:$E$8,AO$8))</f>
        <v>0</v>
      </c>
      <c r="AP56">
        <f>IF($F56="s-curve",$D56+($E56-$D56)*$I$2/(1+EXP($I$3*(COUNT($H$8:AP$8)+$I$4))),TREND($D56:$E56,$D$8:$E$8,AP$8))</f>
        <v>0</v>
      </c>
      <c r="AQ56">
        <f>IF($F56="s-curve",$D56+($E56-$D56)*$I$2/(1+EXP($I$3*(COUNT($H$8:AQ$8)+$I$4))),TREND($D56:$E56,$D$8:$E$8,AQ$8))</f>
        <v>0</v>
      </c>
      <c r="AR56">
        <f>IF($F56="s-curve",$D56+($E56-$D56)*$I$2/(1+EXP($I$3*(COUNT($H$8:AR$8)+$I$4))),TREND($D56:$E56,$D$8:$E$8,AR$8))</f>
        <v>0</v>
      </c>
      <c r="AS56">
        <f>IF($F56="s-curve",$D56+($E56-$D56)*$I$2/(1+EXP($I$3*(COUNT($H$8:AS$8)+$I$4))),TREND($D56:$E56,$D$8:$E$8,AS$8))</f>
        <v>0</v>
      </c>
      <c r="AT56">
        <f>IF($F56="s-curve",$D56+($E56-$D56)*$I$2/(1+EXP($I$3*(COUNT($H$8:AT$8)+$I$4))),TREND($D56:$E56,$D$8:$E$8,AT$8))</f>
        <v>0</v>
      </c>
      <c r="AU56">
        <f>IF($F56="s-curve",$D56+($E56-$D56)*$I$2/(1+EXP($I$3*(COUNT($H$8:AU$8)+$I$4))),TREND($D56:$E56,$D$8:$E$8,AU$8))</f>
        <v>0</v>
      </c>
      <c r="AV56">
        <f>IF($F56="s-curve",$D56+($E56-$D56)*$I$2/(1+EXP($I$3*(COUNT($H$8:AV$8)+$I$4))),TREND($D56:$E56,$D$8:$E$8,AV$8))</f>
        <v>0</v>
      </c>
    </row>
    <row r="57" spans="1:48" ht="13.6" thickBot="1" x14ac:dyDescent="0.2">
      <c r="A57" s="23"/>
      <c r="B57" s="23"/>
      <c r="C57" s="23" t="s">
        <v>126</v>
      </c>
      <c r="D57" s="23">
        <v>0</v>
      </c>
      <c r="E57" s="23">
        <v>0</v>
      </c>
      <c r="F57" s="8" t="str">
        <f>IF(D57=E57,"n/a",IF(OR(C57="battery electric vehicle",C57="natural gas vehicle",C57="plugin hybrid vehicle",C57="hydrogen vehicle"),"s-curve","linear"))</f>
        <v>n/a</v>
      </c>
      <c r="H57" s="22">
        <f t="shared" si="23"/>
        <v>0</v>
      </c>
      <c r="I57">
        <f>IF($F57="s-curve",$D57+($E57-$D57)*$I$2/(1+EXP($I$3*(COUNT($H$8:I$8)+$I$4))),TREND($D57:$E57,$D$8:$E$8,I$8))</f>
        <v>0</v>
      </c>
      <c r="J57">
        <f>IF($F57="s-curve",$D57+($E57-$D57)*$I$2/(1+EXP($I$3*(COUNT($H$8:J$8)+$I$4))),TREND($D57:$E57,$D$8:$E$8,J$8))</f>
        <v>0</v>
      </c>
      <c r="K57">
        <f>IF($F57="s-curve",$D57+($E57-$D57)*$I$2/(1+EXP($I$3*(COUNT($H$8:K$8)+$I$4))),TREND($D57:$E57,$D$8:$E$8,K$8))</f>
        <v>0</v>
      </c>
      <c r="L57">
        <f>IF($F57="s-curve",$D57+($E57-$D57)*$I$2/(1+EXP($I$3*(COUNT($H$8:L$8)+$I$4))),TREND($D57:$E57,$D$8:$E$8,L$8))</f>
        <v>0</v>
      </c>
      <c r="M57">
        <f>IF($F57="s-curve",$D57+($E57-$D57)*$I$2/(1+EXP($I$3*(COUNT($H$8:M$8)+$I$4))),TREND($D57:$E57,$D$8:$E$8,M$8))</f>
        <v>0</v>
      </c>
      <c r="N57">
        <f>IF($F57="s-curve",$D57+($E57-$D57)*$I$2/(1+EXP($I$3*(COUNT($H$8:N$8)+$I$4))),TREND($D57:$E57,$D$8:$E$8,N$8))</f>
        <v>0</v>
      </c>
      <c r="O57">
        <f>IF($F57="s-curve",$D57+($E57-$D57)*$I$2/(1+EXP($I$3*(COUNT($H$8:O$8)+$I$4))),TREND($D57:$E57,$D$8:$E$8,O$8))</f>
        <v>0</v>
      </c>
      <c r="P57">
        <f>IF($F57="s-curve",$D57+($E57-$D57)*$I$2/(1+EXP($I$3*(COUNT($H$8:P$8)+$I$4))),TREND($D57:$E57,$D$8:$E$8,P$8))</f>
        <v>0</v>
      </c>
      <c r="Q57">
        <f>IF($F57="s-curve",$D57+($E57-$D57)*$I$2/(1+EXP($I$3*(COUNT($H$8:Q$8)+$I$4))),TREND($D57:$E57,$D$8:$E$8,Q$8))</f>
        <v>0</v>
      </c>
      <c r="R57">
        <f>IF($F57="s-curve",$D57+($E57-$D57)*$I$2/(1+EXP($I$3*(COUNT($H$8:R$8)+$I$4))),TREND($D57:$E57,$D$8:$E$8,R$8))</f>
        <v>0</v>
      </c>
      <c r="S57">
        <f>IF($F57="s-curve",$D57+($E57-$D57)*$I$2/(1+EXP($I$3*(COUNT($H$8:S$8)+$I$4))),TREND($D57:$E57,$D$8:$E$8,S$8))</f>
        <v>0</v>
      </c>
      <c r="T57">
        <f>IF($F57="s-curve",$D57+($E57-$D57)*$I$2/(1+EXP($I$3*(COUNT($H$8:T$8)+$I$4))),TREND($D57:$E57,$D$8:$E$8,T$8))</f>
        <v>0</v>
      </c>
      <c r="U57">
        <f>IF($F57="s-curve",$D57+($E57-$D57)*$I$2/(1+EXP($I$3*(COUNT($H$8:U$8)+$I$4))),TREND($D57:$E57,$D$8:$E$8,U$8))</f>
        <v>0</v>
      </c>
      <c r="V57">
        <f>IF($F57="s-curve",$D57+($E57-$D57)*$I$2/(1+EXP($I$3*(COUNT($H$8:V$8)+$I$4))),TREND($D57:$E57,$D$8:$E$8,V$8))</f>
        <v>0</v>
      </c>
      <c r="W57">
        <f>IF($F57="s-curve",$D57+($E57-$D57)*$I$2/(1+EXP($I$3*(COUNT($H$8:W$8)+$I$4))),TREND($D57:$E57,$D$8:$E$8,W$8))</f>
        <v>0</v>
      </c>
      <c r="X57">
        <f>IF($F57="s-curve",$D57+($E57-$D57)*$I$2/(1+EXP($I$3*(COUNT($H$8:X$8)+$I$4))),TREND($D57:$E57,$D$8:$E$8,X$8))</f>
        <v>0</v>
      </c>
      <c r="Y57">
        <f>IF($F57="s-curve",$D57+($E57-$D57)*$I$2/(1+EXP($I$3*(COUNT($H$8:Y$8)+$I$4))),TREND($D57:$E57,$D$8:$E$8,Y$8))</f>
        <v>0</v>
      </c>
      <c r="Z57">
        <f>IF($F57="s-curve",$D57+($E57-$D57)*$I$2/(1+EXP($I$3*(COUNT($H$8:Z$8)+$I$4))),TREND($D57:$E57,$D$8:$E$8,Z$8))</f>
        <v>0</v>
      </c>
      <c r="AA57">
        <f>IF($F57="s-curve",$D57+($E57-$D57)*$I$2/(1+EXP($I$3*(COUNT($H$8:AA$8)+$I$4))),TREND($D57:$E57,$D$8:$E$8,AA$8))</f>
        <v>0</v>
      </c>
      <c r="AB57">
        <f>IF($F57="s-curve",$D57+($E57-$D57)*$I$2/(1+EXP($I$3*(COUNT($H$8:AB$8)+$I$4))),TREND($D57:$E57,$D$8:$E$8,AB$8))</f>
        <v>0</v>
      </c>
      <c r="AC57">
        <f>IF($F57="s-curve",$D57+($E57-$D57)*$I$2/(1+EXP($I$3*(COUNT($H$8:AC$8)+$I$4))),TREND($D57:$E57,$D$8:$E$8,AC$8))</f>
        <v>0</v>
      </c>
      <c r="AD57">
        <f>IF($F57="s-curve",$D57+($E57-$D57)*$I$2/(1+EXP($I$3*(COUNT($H$8:AD$8)+$I$4))),TREND($D57:$E57,$D$8:$E$8,AD$8))</f>
        <v>0</v>
      </c>
      <c r="AE57">
        <f>IF($F57="s-curve",$D57+($E57-$D57)*$I$2/(1+EXP($I$3*(COUNT($H$8:AE$8)+$I$4))),TREND($D57:$E57,$D$8:$E$8,AE$8))</f>
        <v>0</v>
      </c>
      <c r="AF57">
        <f>IF($F57="s-curve",$D57+($E57-$D57)*$I$2/(1+EXP($I$3*(COUNT($H$8:AF$8)+$I$4))),TREND($D57:$E57,$D$8:$E$8,AF$8))</f>
        <v>0</v>
      </c>
      <c r="AG57">
        <f>IF($F57="s-curve",$D57+($E57-$D57)*$I$2/(1+EXP($I$3*(COUNT($H$8:AG$8)+$I$4))),TREND($D57:$E57,$D$8:$E$8,AG$8))</f>
        <v>0</v>
      </c>
      <c r="AH57">
        <f>IF($F57="s-curve",$D57+($E57-$D57)*$I$2/(1+EXP($I$3*(COUNT($H$8:AH$8)+$I$4))),TREND($D57:$E57,$D$8:$E$8,AH$8))</f>
        <v>0</v>
      </c>
      <c r="AI57">
        <f>IF($F57="s-curve",$D57+($E57-$D57)*$I$2/(1+EXP($I$3*(COUNT($H$8:AI$8)+$I$4))),TREND($D57:$E57,$D$8:$E$8,AI$8))</f>
        <v>0</v>
      </c>
      <c r="AJ57">
        <f>IF($F57="s-curve",$D57+($E57-$D57)*$I$2/(1+EXP($I$3*(COUNT($H$8:AJ$8)+$I$4))),TREND($D57:$E57,$D$8:$E$8,AJ$8))</f>
        <v>0</v>
      </c>
      <c r="AK57">
        <f>IF($F57="s-curve",$D57+($E57-$D57)*$I$2/(1+EXP($I$3*(COUNT($H$8:AK$8)+$I$4))),TREND($D57:$E57,$D$8:$E$8,AK$8))</f>
        <v>0</v>
      </c>
      <c r="AL57">
        <f>IF($F57="s-curve",$D57+($E57-$D57)*$I$2/(1+EXP($I$3*(COUNT($H$8:AL$8)+$I$4))),TREND($D57:$E57,$D$8:$E$8,AL$8))</f>
        <v>0</v>
      </c>
      <c r="AM57">
        <f>IF($F57="s-curve",$D57+($E57-$D57)*$I$2/(1+EXP($I$3*(COUNT($H$8:AM$8)+$I$4))),TREND($D57:$E57,$D$8:$E$8,AM$8))</f>
        <v>0</v>
      </c>
      <c r="AN57">
        <f>IF($F57="s-curve",$D57+($E57-$D57)*$I$2/(1+EXP($I$3*(COUNT($H$8:AN$8)+$I$4))),TREND($D57:$E57,$D$8:$E$8,AN$8))</f>
        <v>0</v>
      </c>
      <c r="AO57">
        <f>IF($F57="s-curve",$D57+($E57-$D57)*$I$2/(1+EXP($I$3*(COUNT($H$8:AO$8)+$I$4))),TREND($D57:$E57,$D$8:$E$8,AO$8))</f>
        <v>0</v>
      </c>
      <c r="AP57">
        <f>IF($F57="s-curve",$D57+($E57-$D57)*$I$2/(1+EXP($I$3*(COUNT($H$8:AP$8)+$I$4))),TREND($D57:$E57,$D$8:$E$8,AP$8))</f>
        <v>0</v>
      </c>
      <c r="AQ57">
        <f>IF($F57="s-curve",$D57+($E57-$D57)*$I$2/(1+EXP($I$3*(COUNT($H$8:AQ$8)+$I$4))),TREND($D57:$E57,$D$8:$E$8,AQ$8))</f>
        <v>0</v>
      </c>
      <c r="AR57">
        <f>IF($F57="s-curve",$D57+($E57-$D57)*$I$2/(1+EXP($I$3*(COUNT($H$8:AR$8)+$I$4))),TREND($D57:$E57,$D$8:$E$8,AR$8))</f>
        <v>0</v>
      </c>
      <c r="AS57">
        <f>IF($F57="s-curve",$D57+($E57-$D57)*$I$2/(1+EXP($I$3*(COUNT($H$8:AS$8)+$I$4))),TREND($D57:$E57,$D$8:$E$8,AS$8))</f>
        <v>0</v>
      </c>
      <c r="AT57">
        <f>IF($F57="s-curve",$D57+($E57-$D57)*$I$2/(1+EXP($I$3*(COUNT($H$8:AT$8)+$I$4))),TREND($D57:$E57,$D$8:$E$8,AT$8))</f>
        <v>0</v>
      </c>
      <c r="AU57">
        <f>IF($F57="s-curve",$D57+($E57-$D57)*$I$2/(1+EXP($I$3*(COUNT($H$8:AU$8)+$I$4))),TREND($D57:$E57,$D$8:$E$8,AU$8))</f>
        <v>0</v>
      </c>
      <c r="AV57">
        <f>IF($F57="s-curve",$D57+($E57-$D57)*$I$2/(1+EXP($I$3*(COUNT($H$8:AV$8)+$I$4))),TREND($D57:$E57,$D$8:$E$8,AV$8))</f>
        <v>0</v>
      </c>
    </row>
    <row r="58" spans="1:48" x14ac:dyDescent="0.15">
      <c r="A58" t="s">
        <v>15</v>
      </c>
      <c r="B58" t="s">
        <v>18</v>
      </c>
      <c r="C58" t="s">
        <v>1</v>
      </c>
      <c r="D58">
        <v>0</v>
      </c>
      <c r="E58">
        <v>0</v>
      </c>
      <c r="F58" s="7" t="str">
        <f>IF(D58=E58,"n/a",IF(OR(C58="battery electric vehicle",C58="natural gas vehicle",C58="plugin hybrid vehicle"),"s-curve","linear"))</f>
        <v>n/a</v>
      </c>
      <c r="H58" s="22">
        <f t="shared" si="23"/>
        <v>0</v>
      </c>
      <c r="I58">
        <f>IF($F58="s-curve",$D58+($E58-$D58)*$I$2/(1+EXP($I$3*(COUNT($H$8:I$8)+$I$4))),TREND($D58:$E58,$D$8:$E$8,I$8))</f>
        <v>0</v>
      </c>
      <c r="J58">
        <f>IF($F58="s-curve",$D58+($E58-$D58)*$I$2/(1+EXP($I$3*(COUNT($H$8:J$8)+$I$4))),TREND($D58:$E58,$D$8:$E$8,J$8))</f>
        <v>0</v>
      </c>
      <c r="K58">
        <f>IF($F58="s-curve",$D58+($E58-$D58)*$I$2/(1+EXP($I$3*(COUNT($H$8:K$8)+$I$4))),TREND($D58:$E58,$D$8:$E$8,K$8))</f>
        <v>0</v>
      </c>
      <c r="L58">
        <f>IF($F58="s-curve",$D58+($E58-$D58)*$I$2/(1+EXP($I$3*(COUNT($H$8:L$8)+$I$4))),TREND($D58:$E58,$D$8:$E$8,L$8))</f>
        <v>0</v>
      </c>
      <c r="M58">
        <f>IF($F58="s-curve",$D58+($E58-$D58)*$I$2/(1+EXP($I$3*(COUNT($H$8:M$8)+$I$4))),TREND($D58:$E58,$D$8:$E$8,M$8))</f>
        <v>0</v>
      </c>
      <c r="N58">
        <f>IF($F58="s-curve",$D58+($E58-$D58)*$I$2/(1+EXP($I$3*(COUNT($H$8:N$8)+$I$4))),TREND($D58:$E58,$D$8:$E$8,N$8))</f>
        <v>0</v>
      </c>
      <c r="O58">
        <f>IF($F58="s-curve",$D58+($E58-$D58)*$I$2/(1+EXP($I$3*(COUNT($H$8:O$8)+$I$4))),TREND($D58:$E58,$D$8:$E$8,O$8))</f>
        <v>0</v>
      </c>
      <c r="P58">
        <f>IF($F58="s-curve",$D58+($E58-$D58)*$I$2/(1+EXP($I$3*(COUNT($H$8:P$8)+$I$4))),TREND($D58:$E58,$D$8:$E$8,P$8))</f>
        <v>0</v>
      </c>
      <c r="Q58">
        <f>IF($F58="s-curve",$D58+($E58-$D58)*$I$2/(1+EXP($I$3*(COUNT($H$8:Q$8)+$I$4))),TREND($D58:$E58,$D$8:$E$8,Q$8))</f>
        <v>0</v>
      </c>
      <c r="R58">
        <f>IF($F58="s-curve",$D58+($E58-$D58)*$I$2/(1+EXP($I$3*(COUNT($H$8:R$8)+$I$4))),TREND($D58:$E58,$D$8:$E$8,R$8))</f>
        <v>0</v>
      </c>
      <c r="S58">
        <f>IF($F58="s-curve",$D58+($E58-$D58)*$I$2/(1+EXP($I$3*(COUNT($H$8:S$8)+$I$4))),TREND($D58:$E58,$D$8:$E$8,S$8))</f>
        <v>0</v>
      </c>
      <c r="T58">
        <f>IF($F58="s-curve",$D58+($E58-$D58)*$I$2/(1+EXP($I$3*(COUNT($H$8:T$8)+$I$4))),TREND($D58:$E58,$D$8:$E$8,T$8))</f>
        <v>0</v>
      </c>
      <c r="U58">
        <f>IF($F58="s-curve",$D58+($E58-$D58)*$I$2/(1+EXP($I$3*(COUNT($H$8:U$8)+$I$4))),TREND($D58:$E58,$D$8:$E$8,U$8))</f>
        <v>0</v>
      </c>
      <c r="V58">
        <f>IF($F58="s-curve",$D58+($E58-$D58)*$I$2/(1+EXP($I$3*(COUNT($H$8:V$8)+$I$4))),TREND($D58:$E58,$D$8:$E$8,V$8))</f>
        <v>0</v>
      </c>
      <c r="W58">
        <f>IF($F58="s-curve",$D58+($E58-$D58)*$I$2/(1+EXP($I$3*(COUNT($H$8:W$8)+$I$4))),TREND($D58:$E58,$D$8:$E$8,W$8))</f>
        <v>0</v>
      </c>
      <c r="X58">
        <f>IF($F58="s-curve",$D58+($E58-$D58)*$I$2/(1+EXP($I$3*(COUNT($H$8:X$8)+$I$4))),TREND($D58:$E58,$D$8:$E$8,X$8))</f>
        <v>0</v>
      </c>
      <c r="Y58">
        <f>IF($F58="s-curve",$D58+($E58-$D58)*$I$2/(1+EXP($I$3*(COUNT($H$8:Y$8)+$I$4))),TREND($D58:$E58,$D$8:$E$8,Y$8))</f>
        <v>0</v>
      </c>
      <c r="Z58">
        <f>IF($F58="s-curve",$D58+($E58-$D58)*$I$2/(1+EXP($I$3*(COUNT($H$8:Z$8)+$I$4))),TREND($D58:$E58,$D$8:$E$8,Z$8))</f>
        <v>0</v>
      </c>
      <c r="AA58">
        <f>IF($F58="s-curve",$D58+($E58-$D58)*$I$2/(1+EXP($I$3*(COUNT($H$8:AA$8)+$I$4))),TREND($D58:$E58,$D$8:$E$8,AA$8))</f>
        <v>0</v>
      </c>
      <c r="AB58">
        <f>IF($F58="s-curve",$D58+($E58-$D58)*$I$2/(1+EXP($I$3*(COUNT($H$8:AB$8)+$I$4))),TREND($D58:$E58,$D$8:$E$8,AB$8))</f>
        <v>0</v>
      </c>
      <c r="AC58">
        <f>IF($F58="s-curve",$D58+($E58-$D58)*$I$2/(1+EXP($I$3*(COUNT($H$8:AC$8)+$I$4))),TREND($D58:$E58,$D$8:$E$8,AC$8))</f>
        <v>0</v>
      </c>
      <c r="AD58">
        <f>IF($F58="s-curve",$D58+($E58-$D58)*$I$2/(1+EXP($I$3*(COUNT($H$8:AD$8)+$I$4))),TREND($D58:$E58,$D$8:$E$8,AD$8))</f>
        <v>0</v>
      </c>
      <c r="AE58">
        <f>IF($F58="s-curve",$D58+($E58-$D58)*$I$2/(1+EXP($I$3*(COUNT($H$8:AE$8)+$I$4))),TREND($D58:$E58,$D$8:$E$8,AE$8))</f>
        <v>0</v>
      </c>
      <c r="AF58">
        <f>IF($F58="s-curve",$D58+($E58-$D58)*$I$2/(1+EXP($I$3*(COUNT($H$8:AF$8)+$I$4))),TREND($D58:$E58,$D$8:$E$8,AF$8))</f>
        <v>0</v>
      </c>
      <c r="AG58">
        <f>IF($F58="s-curve",$D58+($E58-$D58)*$I$2/(1+EXP($I$3*(COUNT($H$8:AG$8)+$I$4))),TREND($D58:$E58,$D$8:$E$8,AG$8))</f>
        <v>0</v>
      </c>
      <c r="AH58">
        <f>IF($F58="s-curve",$D58+($E58-$D58)*$I$2/(1+EXP($I$3*(COUNT($H$8:AH$8)+$I$4))),TREND($D58:$E58,$D$8:$E$8,AH$8))</f>
        <v>0</v>
      </c>
      <c r="AI58">
        <f>IF($F58="s-curve",$D58+($E58-$D58)*$I$2/(1+EXP($I$3*(COUNT($H$8:AI$8)+$I$4))),TREND($D58:$E58,$D$8:$E$8,AI$8))</f>
        <v>0</v>
      </c>
      <c r="AJ58">
        <f>IF($F58="s-curve",$D58+($E58-$D58)*$I$2/(1+EXP($I$3*(COUNT($H$8:AJ$8)+$I$4))),TREND($D58:$E58,$D$8:$E$8,AJ$8))</f>
        <v>0</v>
      </c>
      <c r="AK58">
        <f>IF($F58="s-curve",$D58+($E58-$D58)*$I$2/(1+EXP($I$3*(COUNT($H$8:AK$8)+$I$4))),TREND($D58:$E58,$D$8:$E$8,AK$8))</f>
        <v>0</v>
      </c>
      <c r="AL58">
        <f>IF($F58="s-curve",$D58+($E58-$D58)*$I$2/(1+EXP($I$3*(COUNT($H$8:AL$8)+$I$4))),TREND($D58:$E58,$D$8:$E$8,AL$8))</f>
        <v>0</v>
      </c>
      <c r="AM58">
        <f>IF($F58="s-curve",$D58+($E58-$D58)*$I$2/(1+EXP($I$3*(COUNT($H$8:AM$8)+$I$4))),TREND($D58:$E58,$D$8:$E$8,AM$8))</f>
        <v>0</v>
      </c>
      <c r="AN58">
        <f>IF($F58="s-curve",$D58+($E58-$D58)*$I$2/(1+EXP($I$3*(COUNT($H$8:AN$8)+$I$4))),TREND($D58:$E58,$D$8:$E$8,AN$8))</f>
        <v>0</v>
      </c>
      <c r="AO58">
        <f>IF($F58="s-curve",$D58+($E58-$D58)*$I$2/(1+EXP($I$3*(COUNT($H$8:AO$8)+$I$4))),TREND($D58:$E58,$D$8:$E$8,AO$8))</f>
        <v>0</v>
      </c>
      <c r="AP58">
        <f>IF($F58="s-curve",$D58+($E58-$D58)*$I$2/(1+EXP($I$3*(COUNT($H$8:AP$8)+$I$4))),TREND($D58:$E58,$D$8:$E$8,AP$8))</f>
        <v>0</v>
      </c>
      <c r="AQ58">
        <f>IF($F58="s-curve",$D58+($E58-$D58)*$I$2/(1+EXP($I$3*(COUNT($H$8:AQ$8)+$I$4))),TREND($D58:$E58,$D$8:$E$8,AQ$8))</f>
        <v>0</v>
      </c>
      <c r="AR58">
        <f>IF($F58="s-curve",$D58+($E58-$D58)*$I$2/(1+EXP($I$3*(COUNT($H$8:AR$8)+$I$4))),TREND($D58:$E58,$D$8:$E$8,AR$8))</f>
        <v>0</v>
      </c>
      <c r="AS58">
        <f>IF($F58="s-curve",$D58+($E58-$D58)*$I$2/(1+EXP($I$3*(COUNT($H$8:AS$8)+$I$4))),TREND($D58:$E58,$D$8:$E$8,AS$8))</f>
        <v>0</v>
      </c>
      <c r="AT58">
        <f>IF($F58="s-curve",$D58+($E58-$D58)*$I$2/(1+EXP($I$3*(COUNT($H$8:AT$8)+$I$4))),TREND($D58:$E58,$D$8:$E$8,AT$8))</f>
        <v>0</v>
      </c>
      <c r="AU58">
        <f>IF($F58="s-curve",$D58+($E58-$D58)*$I$2/(1+EXP($I$3*(COUNT($H$8:AU$8)+$I$4))),TREND($D58:$E58,$D$8:$E$8,AU$8))</f>
        <v>0</v>
      </c>
      <c r="AV58">
        <f>IF($F58="s-curve",$D58+($E58-$D58)*$I$2/(1+EXP($I$3*(COUNT($H$8:AV$8)+$I$4))),TREND($D58:$E58,$D$8:$E$8,AV$8))</f>
        <v>0</v>
      </c>
    </row>
    <row r="59" spans="1:48" x14ac:dyDescent="0.15">
      <c r="C59" t="s">
        <v>2</v>
      </c>
      <c r="D59">
        <v>0</v>
      </c>
      <c r="E59">
        <v>0</v>
      </c>
      <c r="F59" s="7" t="str">
        <f>IF(D59=E59,"n/a",IF(OR(C59="battery electric vehicle",C59="natural gas vehicle",C59="plugin hybrid vehicle"),"s-curve","linear"))</f>
        <v>n/a</v>
      </c>
      <c r="H59" s="22">
        <f t="shared" si="23"/>
        <v>0</v>
      </c>
      <c r="I59">
        <f>IF($F59="s-curve",$D59+($E59-$D59)*$I$2/(1+EXP($I$3*(COUNT($H$8:I$8)+$I$4))),TREND($D59:$E59,$D$8:$E$8,I$8))</f>
        <v>0</v>
      </c>
      <c r="J59">
        <f>IF($F59="s-curve",$D59+($E59-$D59)*$I$2/(1+EXP($I$3*(COUNT($H$8:J$8)+$I$4))),TREND($D59:$E59,$D$8:$E$8,J$8))</f>
        <v>0</v>
      </c>
      <c r="K59">
        <f>IF($F59="s-curve",$D59+($E59-$D59)*$I$2/(1+EXP($I$3*(COUNT($H$8:K$8)+$I$4))),TREND($D59:$E59,$D$8:$E$8,K$8))</f>
        <v>0</v>
      </c>
      <c r="L59">
        <f>IF($F59="s-curve",$D59+($E59-$D59)*$I$2/(1+EXP($I$3*(COUNT($H$8:L$8)+$I$4))),TREND($D59:$E59,$D$8:$E$8,L$8))</f>
        <v>0</v>
      </c>
      <c r="M59">
        <f>IF($F59="s-curve",$D59+($E59-$D59)*$I$2/(1+EXP($I$3*(COUNT($H$8:M$8)+$I$4))),TREND($D59:$E59,$D$8:$E$8,M$8))</f>
        <v>0</v>
      </c>
      <c r="N59">
        <f>IF($F59="s-curve",$D59+($E59-$D59)*$I$2/(1+EXP($I$3*(COUNT($H$8:N$8)+$I$4))),TREND($D59:$E59,$D$8:$E$8,N$8))</f>
        <v>0</v>
      </c>
      <c r="O59">
        <f>IF($F59="s-curve",$D59+($E59-$D59)*$I$2/(1+EXP($I$3*(COUNT($H$8:O$8)+$I$4))),TREND($D59:$E59,$D$8:$E$8,O$8))</f>
        <v>0</v>
      </c>
      <c r="P59">
        <f>IF($F59="s-curve",$D59+($E59-$D59)*$I$2/(1+EXP($I$3*(COUNT($H$8:P$8)+$I$4))),TREND($D59:$E59,$D$8:$E$8,P$8))</f>
        <v>0</v>
      </c>
      <c r="Q59">
        <f>IF($F59="s-curve",$D59+($E59-$D59)*$I$2/(1+EXP($I$3*(COUNT($H$8:Q$8)+$I$4))),TREND($D59:$E59,$D$8:$E$8,Q$8))</f>
        <v>0</v>
      </c>
      <c r="R59">
        <f>IF($F59="s-curve",$D59+($E59-$D59)*$I$2/(1+EXP($I$3*(COUNT($H$8:R$8)+$I$4))),TREND($D59:$E59,$D$8:$E$8,R$8))</f>
        <v>0</v>
      </c>
      <c r="S59">
        <f>IF($F59="s-curve",$D59+($E59-$D59)*$I$2/(1+EXP($I$3*(COUNT($H$8:S$8)+$I$4))),TREND($D59:$E59,$D$8:$E$8,S$8))</f>
        <v>0</v>
      </c>
      <c r="T59">
        <f>IF($F59="s-curve",$D59+($E59-$D59)*$I$2/(1+EXP($I$3*(COUNT($H$8:T$8)+$I$4))),TREND($D59:$E59,$D$8:$E$8,T$8))</f>
        <v>0</v>
      </c>
      <c r="U59">
        <f>IF($F59="s-curve",$D59+($E59-$D59)*$I$2/(1+EXP($I$3*(COUNT($H$8:U$8)+$I$4))),TREND($D59:$E59,$D$8:$E$8,U$8))</f>
        <v>0</v>
      </c>
      <c r="V59">
        <f>IF($F59="s-curve",$D59+($E59-$D59)*$I$2/(1+EXP($I$3*(COUNT($H$8:V$8)+$I$4))),TREND($D59:$E59,$D$8:$E$8,V$8))</f>
        <v>0</v>
      </c>
      <c r="W59">
        <f>IF($F59="s-curve",$D59+($E59-$D59)*$I$2/(1+EXP($I$3*(COUNT($H$8:W$8)+$I$4))),TREND($D59:$E59,$D$8:$E$8,W$8))</f>
        <v>0</v>
      </c>
      <c r="X59">
        <f>IF($F59="s-curve",$D59+($E59-$D59)*$I$2/(1+EXP($I$3*(COUNT($H$8:X$8)+$I$4))),TREND($D59:$E59,$D$8:$E$8,X$8))</f>
        <v>0</v>
      </c>
      <c r="Y59">
        <f>IF($F59="s-curve",$D59+($E59-$D59)*$I$2/(1+EXP($I$3*(COUNT($H$8:Y$8)+$I$4))),TREND($D59:$E59,$D$8:$E$8,Y$8))</f>
        <v>0</v>
      </c>
      <c r="Z59">
        <f>IF($F59="s-curve",$D59+($E59-$D59)*$I$2/(1+EXP($I$3*(COUNT($H$8:Z$8)+$I$4))),TREND($D59:$E59,$D$8:$E$8,Z$8))</f>
        <v>0</v>
      </c>
      <c r="AA59">
        <f>IF($F59="s-curve",$D59+($E59-$D59)*$I$2/(1+EXP($I$3*(COUNT($H$8:AA$8)+$I$4))),TREND($D59:$E59,$D$8:$E$8,AA$8))</f>
        <v>0</v>
      </c>
      <c r="AB59">
        <f>IF($F59="s-curve",$D59+($E59-$D59)*$I$2/(1+EXP($I$3*(COUNT($H$8:AB$8)+$I$4))),TREND($D59:$E59,$D$8:$E$8,AB$8))</f>
        <v>0</v>
      </c>
      <c r="AC59">
        <f>IF($F59="s-curve",$D59+($E59-$D59)*$I$2/(1+EXP($I$3*(COUNT($H$8:AC$8)+$I$4))),TREND($D59:$E59,$D$8:$E$8,AC$8))</f>
        <v>0</v>
      </c>
      <c r="AD59">
        <f>IF($F59="s-curve",$D59+($E59-$D59)*$I$2/(1+EXP($I$3*(COUNT($H$8:AD$8)+$I$4))),TREND($D59:$E59,$D$8:$E$8,AD$8))</f>
        <v>0</v>
      </c>
      <c r="AE59">
        <f>IF($F59="s-curve",$D59+($E59-$D59)*$I$2/(1+EXP($I$3*(COUNT($H$8:AE$8)+$I$4))),TREND($D59:$E59,$D$8:$E$8,AE$8))</f>
        <v>0</v>
      </c>
      <c r="AF59">
        <f>IF($F59="s-curve",$D59+($E59-$D59)*$I$2/(1+EXP($I$3*(COUNT($H$8:AF$8)+$I$4))),TREND($D59:$E59,$D$8:$E$8,AF$8))</f>
        <v>0</v>
      </c>
      <c r="AG59">
        <f>IF($F59="s-curve",$D59+($E59-$D59)*$I$2/(1+EXP($I$3*(COUNT($H$8:AG$8)+$I$4))),TREND($D59:$E59,$D$8:$E$8,AG$8))</f>
        <v>0</v>
      </c>
      <c r="AH59">
        <f>IF($F59="s-curve",$D59+($E59-$D59)*$I$2/(1+EXP($I$3*(COUNT($H$8:AH$8)+$I$4))),TREND($D59:$E59,$D$8:$E$8,AH$8))</f>
        <v>0</v>
      </c>
      <c r="AI59">
        <f>IF($F59="s-curve",$D59+($E59-$D59)*$I$2/(1+EXP($I$3*(COUNT($H$8:AI$8)+$I$4))),TREND($D59:$E59,$D$8:$E$8,AI$8))</f>
        <v>0</v>
      </c>
      <c r="AJ59">
        <f>IF($F59="s-curve",$D59+($E59-$D59)*$I$2/(1+EXP($I$3*(COUNT($H$8:AJ$8)+$I$4))),TREND($D59:$E59,$D$8:$E$8,AJ$8))</f>
        <v>0</v>
      </c>
      <c r="AK59">
        <f>IF($F59="s-curve",$D59+($E59-$D59)*$I$2/(1+EXP($I$3*(COUNT($H$8:AK$8)+$I$4))),TREND($D59:$E59,$D$8:$E$8,AK$8))</f>
        <v>0</v>
      </c>
      <c r="AL59">
        <f>IF($F59="s-curve",$D59+($E59-$D59)*$I$2/(1+EXP($I$3*(COUNT($H$8:AL$8)+$I$4))),TREND($D59:$E59,$D$8:$E$8,AL$8))</f>
        <v>0</v>
      </c>
      <c r="AM59">
        <f>IF($F59="s-curve",$D59+($E59-$D59)*$I$2/(1+EXP($I$3*(COUNT($H$8:AM$8)+$I$4))),TREND($D59:$E59,$D$8:$E$8,AM$8))</f>
        <v>0</v>
      </c>
      <c r="AN59">
        <f>IF($F59="s-curve",$D59+($E59-$D59)*$I$2/(1+EXP($I$3*(COUNT($H$8:AN$8)+$I$4))),TREND($D59:$E59,$D$8:$E$8,AN$8))</f>
        <v>0</v>
      </c>
      <c r="AO59">
        <f>IF($F59="s-curve",$D59+($E59-$D59)*$I$2/(1+EXP($I$3*(COUNT($H$8:AO$8)+$I$4))),TREND($D59:$E59,$D$8:$E$8,AO$8))</f>
        <v>0</v>
      </c>
      <c r="AP59">
        <f>IF($F59="s-curve",$D59+($E59-$D59)*$I$2/(1+EXP($I$3*(COUNT($H$8:AP$8)+$I$4))),TREND($D59:$E59,$D$8:$E$8,AP$8))</f>
        <v>0</v>
      </c>
      <c r="AQ59">
        <f>IF($F59="s-curve",$D59+($E59-$D59)*$I$2/(1+EXP($I$3*(COUNT($H$8:AQ$8)+$I$4))),TREND($D59:$E59,$D$8:$E$8,AQ$8))</f>
        <v>0</v>
      </c>
      <c r="AR59">
        <f>IF($F59="s-curve",$D59+($E59-$D59)*$I$2/(1+EXP($I$3*(COUNT($H$8:AR$8)+$I$4))),TREND($D59:$E59,$D$8:$E$8,AR$8))</f>
        <v>0</v>
      </c>
      <c r="AS59">
        <f>IF($F59="s-curve",$D59+($E59-$D59)*$I$2/(1+EXP($I$3*(COUNT($H$8:AS$8)+$I$4))),TREND($D59:$E59,$D$8:$E$8,AS$8))</f>
        <v>0</v>
      </c>
      <c r="AT59">
        <f>IF($F59="s-curve",$D59+($E59-$D59)*$I$2/(1+EXP($I$3*(COUNT($H$8:AT$8)+$I$4))),TREND($D59:$E59,$D$8:$E$8,AT$8))</f>
        <v>0</v>
      </c>
      <c r="AU59">
        <f>IF($F59="s-curve",$D59+($E59-$D59)*$I$2/(1+EXP($I$3*(COUNT($H$8:AU$8)+$I$4))),TREND($D59:$E59,$D$8:$E$8,AU$8))</f>
        <v>0</v>
      </c>
      <c r="AV59">
        <f>IF($F59="s-curve",$D59+($E59-$D59)*$I$2/(1+EXP($I$3*(COUNT($H$8:AV$8)+$I$4))),TREND($D59:$E59,$D$8:$E$8,AV$8))</f>
        <v>0</v>
      </c>
    </row>
    <row r="60" spans="1:48" x14ac:dyDescent="0.15">
      <c r="C60" t="s">
        <v>3</v>
      </c>
      <c r="D60">
        <v>0</v>
      </c>
      <c r="E60">
        <v>0</v>
      </c>
      <c r="F60" s="7" t="str">
        <f>IF(D60=E60,"n/a",IF(OR(C60="battery electric vehicle",C60="natural gas vehicle",C60="plugin hybrid vehicle"),"s-curve","linear"))</f>
        <v>n/a</v>
      </c>
      <c r="H60" s="22">
        <f t="shared" si="23"/>
        <v>0</v>
      </c>
      <c r="I60">
        <f>IF($F60="s-curve",$D60+($E60-$D60)*$I$2/(1+EXP($I$3*(COUNT($H$8:I$8)+$I$4))),TREND($D60:$E60,$D$8:$E$8,I$8))</f>
        <v>0</v>
      </c>
      <c r="J60">
        <f>IF($F60="s-curve",$D60+($E60-$D60)*$I$2/(1+EXP($I$3*(COUNT($H$8:J$8)+$I$4))),TREND($D60:$E60,$D$8:$E$8,J$8))</f>
        <v>0</v>
      </c>
      <c r="K60">
        <f>IF($F60="s-curve",$D60+($E60-$D60)*$I$2/(1+EXP($I$3*(COUNT($H$8:K$8)+$I$4))),TREND($D60:$E60,$D$8:$E$8,K$8))</f>
        <v>0</v>
      </c>
      <c r="L60">
        <f>IF($F60="s-curve",$D60+($E60-$D60)*$I$2/(1+EXP($I$3*(COUNT($H$8:L$8)+$I$4))),TREND($D60:$E60,$D$8:$E$8,L$8))</f>
        <v>0</v>
      </c>
      <c r="M60">
        <f>IF($F60="s-curve",$D60+($E60-$D60)*$I$2/(1+EXP($I$3*(COUNT($H$8:M$8)+$I$4))),TREND($D60:$E60,$D$8:$E$8,M$8))</f>
        <v>0</v>
      </c>
      <c r="N60">
        <f>IF($F60="s-curve",$D60+($E60-$D60)*$I$2/(1+EXP($I$3*(COUNT($H$8:N$8)+$I$4))),TREND($D60:$E60,$D$8:$E$8,N$8))</f>
        <v>0</v>
      </c>
      <c r="O60">
        <f>IF($F60="s-curve",$D60+($E60-$D60)*$I$2/(1+EXP($I$3*(COUNT($H$8:O$8)+$I$4))),TREND($D60:$E60,$D$8:$E$8,O$8))</f>
        <v>0</v>
      </c>
      <c r="P60">
        <f>IF($F60="s-curve",$D60+($E60-$D60)*$I$2/(1+EXP($I$3*(COUNT($H$8:P$8)+$I$4))),TREND($D60:$E60,$D$8:$E$8,P$8))</f>
        <v>0</v>
      </c>
      <c r="Q60">
        <f>IF($F60="s-curve",$D60+($E60-$D60)*$I$2/(1+EXP($I$3*(COUNT($H$8:Q$8)+$I$4))),TREND($D60:$E60,$D$8:$E$8,Q$8))</f>
        <v>0</v>
      </c>
      <c r="R60">
        <f>IF($F60="s-curve",$D60+($E60-$D60)*$I$2/(1+EXP($I$3*(COUNT($H$8:R$8)+$I$4))),TREND($D60:$E60,$D$8:$E$8,R$8))</f>
        <v>0</v>
      </c>
      <c r="S60">
        <f>IF($F60="s-curve",$D60+($E60-$D60)*$I$2/(1+EXP($I$3*(COUNT($H$8:S$8)+$I$4))),TREND($D60:$E60,$D$8:$E$8,S$8))</f>
        <v>0</v>
      </c>
      <c r="T60">
        <f>IF($F60="s-curve",$D60+($E60-$D60)*$I$2/(1+EXP($I$3*(COUNT($H$8:T$8)+$I$4))),TREND($D60:$E60,$D$8:$E$8,T$8))</f>
        <v>0</v>
      </c>
      <c r="U60">
        <f>IF($F60="s-curve",$D60+($E60-$D60)*$I$2/(1+EXP($I$3*(COUNT($H$8:U$8)+$I$4))),TREND($D60:$E60,$D$8:$E$8,U$8))</f>
        <v>0</v>
      </c>
      <c r="V60">
        <f>IF($F60="s-curve",$D60+($E60-$D60)*$I$2/(1+EXP($I$3*(COUNT($H$8:V$8)+$I$4))),TREND($D60:$E60,$D$8:$E$8,V$8))</f>
        <v>0</v>
      </c>
      <c r="W60">
        <f>IF($F60="s-curve",$D60+($E60-$D60)*$I$2/(1+EXP($I$3*(COUNT($H$8:W$8)+$I$4))),TREND($D60:$E60,$D$8:$E$8,W$8))</f>
        <v>0</v>
      </c>
      <c r="X60">
        <f>IF($F60="s-curve",$D60+($E60-$D60)*$I$2/(1+EXP($I$3*(COUNT($H$8:X$8)+$I$4))),TREND($D60:$E60,$D$8:$E$8,X$8))</f>
        <v>0</v>
      </c>
      <c r="Y60">
        <f>IF($F60="s-curve",$D60+($E60-$D60)*$I$2/(1+EXP($I$3*(COUNT($H$8:Y$8)+$I$4))),TREND($D60:$E60,$D$8:$E$8,Y$8))</f>
        <v>0</v>
      </c>
      <c r="Z60">
        <f>IF($F60="s-curve",$D60+($E60-$D60)*$I$2/(1+EXP($I$3*(COUNT($H$8:Z$8)+$I$4))),TREND($D60:$E60,$D$8:$E$8,Z$8))</f>
        <v>0</v>
      </c>
      <c r="AA60">
        <f>IF($F60="s-curve",$D60+($E60-$D60)*$I$2/(1+EXP($I$3*(COUNT($H$8:AA$8)+$I$4))),TREND($D60:$E60,$D$8:$E$8,AA$8))</f>
        <v>0</v>
      </c>
      <c r="AB60">
        <f>IF($F60="s-curve",$D60+($E60-$D60)*$I$2/(1+EXP($I$3*(COUNT($H$8:AB$8)+$I$4))),TREND($D60:$E60,$D$8:$E$8,AB$8))</f>
        <v>0</v>
      </c>
      <c r="AC60">
        <f>IF($F60="s-curve",$D60+($E60-$D60)*$I$2/(1+EXP($I$3*(COUNT($H$8:AC$8)+$I$4))),TREND($D60:$E60,$D$8:$E$8,AC$8))</f>
        <v>0</v>
      </c>
      <c r="AD60">
        <f>IF($F60="s-curve",$D60+($E60-$D60)*$I$2/(1+EXP($I$3*(COUNT($H$8:AD$8)+$I$4))),TREND($D60:$E60,$D$8:$E$8,AD$8))</f>
        <v>0</v>
      </c>
      <c r="AE60">
        <f>IF($F60="s-curve",$D60+($E60-$D60)*$I$2/(1+EXP($I$3*(COUNT($H$8:AE$8)+$I$4))),TREND($D60:$E60,$D$8:$E$8,AE$8))</f>
        <v>0</v>
      </c>
      <c r="AF60">
        <f>IF($F60="s-curve",$D60+($E60-$D60)*$I$2/(1+EXP($I$3*(COUNT($H$8:AF$8)+$I$4))),TREND($D60:$E60,$D$8:$E$8,AF$8))</f>
        <v>0</v>
      </c>
      <c r="AG60">
        <f>IF($F60="s-curve",$D60+($E60-$D60)*$I$2/(1+EXP($I$3*(COUNT($H$8:AG$8)+$I$4))),TREND($D60:$E60,$D$8:$E$8,AG$8))</f>
        <v>0</v>
      </c>
      <c r="AH60">
        <f>IF($F60="s-curve",$D60+($E60-$D60)*$I$2/(1+EXP($I$3*(COUNT($H$8:AH$8)+$I$4))),TREND($D60:$E60,$D$8:$E$8,AH$8))</f>
        <v>0</v>
      </c>
      <c r="AI60">
        <f>IF($F60="s-curve",$D60+($E60-$D60)*$I$2/(1+EXP($I$3*(COUNT($H$8:AI$8)+$I$4))),TREND($D60:$E60,$D$8:$E$8,AI$8))</f>
        <v>0</v>
      </c>
      <c r="AJ60">
        <f>IF($F60="s-curve",$D60+($E60-$D60)*$I$2/(1+EXP($I$3*(COUNT($H$8:AJ$8)+$I$4))),TREND($D60:$E60,$D$8:$E$8,AJ$8))</f>
        <v>0</v>
      </c>
      <c r="AK60">
        <f>IF($F60="s-curve",$D60+($E60-$D60)*$I$2/(1+EXP($I$3*(COUNT($H$8:AK$8)+$I$4))),TREND($D60:$E60,$D$8:$E$8,AK$8))</f>
        <v>0</v>
      </c>
      <c r="AL60">
        <f>IF($F60="s-curve",$D60+($E60-$D60)*$I$2/(1+EXP($I$3*(COUNT($H$8:AL$8)+$I$4))),TREND($D60:$E60,$D$8:$E$8,AL$8))</f>
        <v>0</v>
      </c>
      <c r="AM60">
        <f>IF($F60="s-curve",$D60+($E60-$D60)*$I$2/(1+EXP($I$3*(COUNT($H$8:AM$8)+$I$4))),TREND($D60:$E60,$D$8:$E$8,AM$8))</f>
        <v>0</v>
      </c>
      <c r="AN60">
        <f>IF($F60="s-curve",$D60+($E60-$D60)*$I$2/(1+EXP($I$3*(COUNT($H$8:AN$8)+$I$4))),TREND($D60:$E60,$D$8:$E$8,AN$8))</f>
        <v>0</v>
      </c>
      <c r="AO60">
        <f>IF($F60="s-curve",$D60+($E60-$D60)*$I$2/(1+EXP($I$3*(COUNT($H$8:AO$8)+$I$4))),TREND($D60:$E60,$D$8:$E$8,AO$8))</f>
        <v>0</v>
      </c>
      <c r="AP60">
        <f>IF($F60="s-curve",$D60+($E60-$D60)*$I$2/(1+EXP($I$3*(COUNT($H$8:AP$8)+$I$4))),TREND($D60:$E60,$D$8:$E$8,AP$8))</f>
        <v>0</v>
      </c>
      <c r="AQ60">
        <f>IF($F60="s-curve",$D60+($E60-$D60)*$I$2/(1+EXP($I$3*(COUNT($H$8:AQ$8)+$I$4))),TREND($D60:$E60,$D$8:$E$8,AQ$8))</f>
        <v>0</v>
      </c>
      <c r="AR60">
        <f>IF($F60="s-curve",$D60+($E60-$D60)*$I$2/(1+EXP($I$3*(COUNT($H$8:AR$8)+$I$4))),TREND($D60:$E60,$D$8:$E$8,AR$8))</f>
        <v>0</v>
      </c>
      <c r="AS60">
        <f>IF($F60="s-curve",$D60+($E60-$D60)*$I$2/(1+EXP($I$3*(COUNT($H$8:AS$8)+$I$4))),TREND($D60:$E60,$D$8:$E$8,AS$8))</f>
        <v>0</v>
      </c>
      <c r="AT60">
        <f>IF($F60="s-curve",$D60+($E60-$D60)*$I$2/(1+EXP($I$3*(COUNT($H$8:AT$8)+$I$4))),TREND($D60:$E60,$D$8:$E$8,AT$8))</f>
        <v>0</v>
      </c>
      <c r="AU60">
        <f>IF($F60="s-curve",$D60+($E60-$D60)*$I$2/(1+EXP($I$3*(COUNT($H$8:AU$8)+$I$4))),TREND($D60:$E60,$D$8:$E$8,AU$8))</f>
        <v>0</v>
      </c>
      <c r="AV60">
        <f>IF($F60="s-curve",$D60+($E60-$D60)*$I$2/(1+EXP($I$3*(COUNT($H$8:AV$8)+$I$4))),TREND($D60:$E60,$D$8:$E$8,AV$8))</f>
        <v>0</v>
      </c>
    </row>
    <row r="61" spans="1:48" x14ac:dyDescent="0.15">
      <c r="C61" t="s">
        <v>4</v>
      </c>
      <c r="D61">
        <v>1</v>
      </c>
      <c r="E61">
        <v>1</v>
      </c>
      <c r="F61" s="7" t="str">
        <f>IF(D61=E61,"n/a",IF(OR(C61="battery electric vehicle",C61="natural gas vehicle",C61="plugin hybrid vehicle"),"s-curve","linear"))</f>
        <v>n/a</v>
      </c>
      <c r="H61" s="22">
        <f t="shared" si="23"/>
        <v>1</v>
      </c>
      <c r="I61">
        <f>IF($F61="s-curve",$D61+($E61-$D61)*$I$2/(1+EXP($I$3*(COUNT($H$8:I$8)+$I$4))),TREND($D61:$E61,$D$8:$E$8,I$8))</f>
        <v>1</v>
      </c>
      <c r="J61">
        <f>IF($F61="s-curve",$D61+($E61-$D61)*$I$2/(1+EXP($I$3*(COUNT($H$8:J$8)+$I$4))),TREND($D61:$E61,$D$8:$E$8,J$8))</f>
        <v>1</v>
      </c>
      <c r="K61">
        <f>IF($F61="s-curve",$D61+($E61-$D61)*$I$2/(1+EXP($I$3*(COUNT($H$8:K$8)+$I$4))),TREND($D61:$E61,$D$8:$E$8,K$8))</f>
        <v>1</v>
      </c>
      <c r="L61">
        <f>IF($F61="s-curve",$D61+($E61-$D61)*$I$2/(1+EXP($I$3*(COUNT($H$8:L$8)+$I$4))),TREND($D61:$E61,$D$8:$E$8,L$8))</f>
        <v>1</v>
      </c>
      <c r="M61">
        <f>IF($F61="s-curve",$D61+($E61-$D61)*$I$2/(1+EXP($I$3*(COUNT($H$8:M$8)+$I$4))),TREND($D61:$E61,$D$8:$E$8,M$8))</f>
        <v>1</v>
      </c>
      <c r="N61">
        <f>IF($F61="s-curve",$D61+($E61-$D61)*$I$2/(1+EXP($I$3*(COUNT($H$8:N$8)+$I$4))),TREND($D61:$E61,$D$8:$E$8,N$8))</f>
        <v>1</v>
      </c>
      <c r="O61">
        <f>IF($F61="s-curve",$D61+($E61-$D61)*$I$2/(1+EXP($I$3*(COUNT($H$8:O$8)+$I$4))),TREND($D61:$E61,$D$8:$E$8,O$8))</f>
        <v>1</v>
      </c>
      <c r="P61">
        <f>IF($F61="s-curve",$D61+($E61-$D61)*$I$2/(1+EXP($I$3*(COUNT($H$8:P$8)+$I$4))),TREND($D61:$E61,$D$8:$E$8,P$8))</f>
        <v>1</v>
      </c>
      <c r="Q61">
        <f>IF($F61="s-curve",$D61+($E61-$D61)*$I$2/(1+EXP($I$3*(COUNT($H$8:Q$8)+$I$4))),TREND($D61:$E61,$D$8:$E$8,Q$8))</f>
        <v>1</v>
      </c>
      <c r="R61">
        <f>IF($F61="s-curve",$D61+($E61-$D61)*$I$2/(1+EXP($I$3*(COUNT($H$8:R$8)+$I$4))),TREND($D61:$E61,$D$8:$E$8,R$8))</f>
        <v>1</v>
      </c>
      <c r="S61">
        <f>IF($F61="s-curve",$D61+($E61-$D61)*$I$2/(1+EXP($I$3*(COUNT($H$8:S$8)+$I$4))),TREND($D61:$E61,$D$8:$E$8,S$8))</f>
        <v>1</v>
      </c>
      <c r="T61">
        <f>IF($F61="s-curve",$D61+($E61-$D61)*$I$2/(1+EXP($I$3*(COUNT($H$8:T$8)+$I$4))),TREND($D61:$E61,$D$8:$E$8,T$8))</f>
        <v>1</v>
      </c>
      <c r="U61">
        <f>IF($F61="s-curve",$D61+($E61-$D61)*$I$2/(1+EXP($I$3*(COUNT($H$8:U$8)+$I$4))),TREND($D61:$E61,$D$8:$E$8,U$8))</f>
        <v>1</v>
      </c>
      <c r="V61">
        <f>IF($F61="s-curve",$D61+($E61-$D61)*$I$2/(1+EXP($I$3*(COUNT($H$8:V$8)+$I$4))),TREND($D61:$E61,$D$8:$E$8,V$8))</f>
        <v>1</v>
      </c>
      <c r="W61">
        <f>IF($F61="s-curve",$D61+($E61-$D61)*$I$2/(1+EXP($I$3*(COUNT($H$8:W$8)+$I$4))),TREND($D61:$E61,$D$8:$E$8,W$8))</f>
        <v>1</v>
      </c>
      <c r="X61">
        <f>IF($F61="s-curve",$D61+($E61-$D61)*$I$2/(1+EXP($I$3*(COUNT($H$8:X$8)+$I$4))),TREND($D61:$E61,$D$8:$E$8,X$8))</f>
        <v>1</v>
      </c>
      <c r="Y61">
        <f>IF($F61="s-curve",$D61+($E61-$D61)*$I$2/(1+EXP($I$3*(COUNT($H$8:Y$8)+$I$4))),TREND($D61:$E61,$D$8:$E$8,Y$8))</f>
        <v>1</v>
      </c>
      <c r="Z61">
        <f>IF($F61="s-curve",$D61+($E61-$D61)*$I$2/(1+EXP($I$3*(COUNT($H$8:Z$8)+$I$4))),TREND($D61:$E61,$D$8:$E$8,Z$8))</f>
        <v>1</v>
      </c>
      <c r="AA61">
        <f>IF($F61="s-curve",$D61+($E61-$D61)*$I$2/(1+EXP($I$3*(COUNT($H$8:AA$8)+$I$4))),TREND($D61:$E61,$D$8:$E$8,AA$8))</f>
        <v>1</v>
      </c>
      <c r="AB61">
        <f>IF($F61="s-curve",$D61+($E61-$D61)*$I$2/(1+EXP($I$3*(COUNT($H$8:AB$8)+$I$4))),TREND($D61:$E61,$D$8:$E$8,AB$8))</f>
        <v>1</v>
      </c>
      <c r="AC61">
        <f>IF($F61="s-curve",$D61+($E61-$D61)*$I$2/(1+EXP($I$3*(COUNT($H$8:AC$8)+$I$4))),TREND($D61:$E61,$D$8:$E$8,AC$8))</f>
        <v>1</v>
      </c>
      <c r="AD61">
        <f>IF($F61="s-curve",$D61+($E61-$D61)*$I$2/(1+EXP($I$3*(COUNT($H$8:AD$8)+$I$4))),TREND($D61:$E61,$D$8:$E$8,AD$8))</f>
        <v>1</v>
      </c>
      <c r="AE61">
        <f>IF($F61="s-curve",$D61+($E61-$D61)*$I$2/(1+EXP($I$3*(COUNT($H$8:AE$8)+$I$4))),TREND($D61:$E61,$D$8:$E$8,AE$8))</f>
        <v>1</v>
      </c>
      <c r="AF61">
        <f>IF($F61="s-curve",$D61+($E61-$D61)*$I$2/(1+EXP($I$3*(COUNT($H$8:AF$8)+$I$4))),TREND($D61:$E61,$D$8:$E$8,AF$8))</f>
        <v>1</v>
      </c>
      <c r="AG61">
        <f>IF($F61="s-curve",$D61+($E61-$D61)*$I$2/(1+EXP($I$3*(COUNT($H$8:AG$8)+$I$4))),TREND($D61:$E61,$D$8:$E$8,AG$8))</f>
        <v>1</v>
      </c>
      <c r="AH61">
        <f>IF($F61="s-curve",$D61+($E61-$D61)*$I$2/(1+EXP($I$3*(COUNT($H$8:AH$8)+$I$4))),TREND($D61:$E61,$D$8:$E$8,AH$8))</f>
        <v>1</v>
      </c>
      <c r="AI61">
        <f>IF($F61="s-curve",$D61+($E61-$D61)*$I$2/(1+EXP($I$3*(COUNT($H$8:AI$8)+$I$4))),TREND($D61:$E61,$D$8:$E$8,AI$8))</f>
        <v>1</v>
      </c>
      <c r="AJ61">
        <f>IF($F61="s-curve",$D61+($E61-$D61)*$I$2/(1+EXP($I$3*(COUNT($H$8:AJ$8)+$I$4))),TREND($D61:$E61,$D$8:$E$8,AJ$8))</f>
        <v>1</v>
      </c>
      <c r="AK61">
        <f>IF($F61="s-curve",$D61+($E61-$D61)*$I$2/(1+EXP($I$3*(COUNT($H$8:AK$8)+$I$4))),TREND($D61:$E61,$D$8:$E$8,AK$8))</f>
        <v>1</v>
      </c>
      <c r="AL61">
        <f>IF($F61="s-curve",$D61+($E61-$D61)*$I$2/(1+EXP($I$3*(COUNT($H$8:AL$8)+$I$4))),TREND($D61:$E61,$D$8:$E$8,AL$8))</f>
        <v>1</v>
      </c>
      <c r="AM61">
        <f>IF($F61="s-curve",$D61+($E61-$D61)*$I$2/(1+EXP($I$3*(COUNT($H$8:AM$8)+$I$4))),TREND($D61:$E61,$D$8:$E$8,AM$8))</f>
        <v>1</v>
      </c>
      <c r="AN61">
        <f>IF($F61="s-curve",$D61+($E61-$D61)*$I$2/(1+EXP($I$3*(COUNT($H$8:AN$8)+$I$4))),TREND($D61:$E61,$D$8:$E$8,AN$8))</f>
        <v>1</v>
      </c>
      <c r="AO61">
        <f>IF($F61="s-curve",$D61+($E61-$D61)*$I$2/(1+EXP($I$3*(COUNT($H$8:AO$8)+$I$4))),TREND($D61:$E61,$D$8:$E$8,AO$8))</f>
        <v>1</v>
      </c>
      <c r="AP61">
        <f>IF($F61="s-curve",$D61+($E61-$D61)*$I$2/(1+EXP($I$3*(COUNT($H$8:AP$8)+$I$4))),TREND($D61:$E61,$D$8:$E$8,AP$8))</f>
        <v>1</v>
      </c>
      <c r="AQ61">
        <f>IF($F61="s-curve",$D61+($E61-$D61)*$I$2/(1+EXP($I$3*(COUNT($H$8:AQ$8)+$I$4))),TREND($D61:$E61,$D$8:$E$8,AQ$8))</f>
        <v>1</v>
      </c>
      <c r="AR61">
        <f>IF($F61="s-curve",$D61+($E61-$D61)*$I$2/(1+EXP($I$3*(COUNT($H$8:AR$8)+$I$4))),TREND($D61:$E61,$D$8:$E$8,AR$8))</f>
        <v>1</v>
      </c>
      <c r="AS61">
        <f>IF($F61="s-curve",$D61+($E61-$D61)*$I$2/(1+EXP($I$3*(COUNT($H$8:AS$8)+$I$4))),TREND($D61:$E61,$D$8:$E$8,AS$8))</f>
        <v>1</v>
      </c>
      <c r="AT61">
        <f>IF($F61="s-curve",$D61+($E61-$D61)*$I$2/(1+EXP($I$3*(COUNT($H$8:AT$8)+$I$4))),TREND($D61:$E61,$D$8:$E$8,AT$8))</f>
        <v>1</v>
      </c>
      <c r="AU61">
        <f>IF($F61="s-curve",$D61+($E61-$D61)*$I$2/(1+EXP($I$3*(COUNT($H$8:AU$8)+$I$4))),TREND($D61:$E61,$D$8:$E$8,AU$8))</f>
        <v>1</v>
      </c>
      <c r="AV61">
        <f>IF($F61="s-curve",$D61+($E61-$D61)*$I$2/(1+EXP($I$3*(COUNT($H$8:AV$8)+$I$4))),TREND($D61:$E61,$D$8:$E$8,AV$8))</f>
        <v>1</v>
      </c>
    </row>
    <row r="62" spans="1:48" x14ac:dyDescent="0.15">
      <c r="C62" t="s">
        <v>5</v>
      </c>
      <c r="D62">
        <v>0</v>
      </c>
      <c r="E62">
        <v>0</v>
      </c>
      <c r="F62" s="7" t="str">
        <f>IF(D62=E62,"n/a",IF(OR(C62="battery electric vehicle",C62="natural gas vehicle",C62="plugin hybrid vehicle"),"s-curve","linear"))</f>
        <v>n/a</v>
      </c>
      <c r="H62" s="22">
        <f t="shared" si="23"/>
        <v>0</v>
      </c>
      <c r="I62">
        <f>IF($F62="s-curve",$D62+($E62-$D62)*$I$2/(1+EXP($I$3*(COUNT($H$8:I$8)+$I$4))),TREND($D62:$E62,$D$8:$E$8,I$8))</f>
        <v>0</v>
      </c>
      <c r="J62">
        <f>IF($F62="s-curve",$D62+($E62-$D62)*$I$2/(1+EXP($I$3*(COUNT($H$8:J$8)+$I$4))),TREND($D62:$E62,$D$8:$E$8,J$8))</f>
        <v>0</v>
      </c>
      <c r="K62">
        <f>IF($F62="s-curve",$D62+($E62-$D62)*$I$2/(1+EXP($I$3*(COUNT($H$8:K$8)+$I$4))),TREND($D62:$E62,$D$8:$E$8,K$8))</f>
        <v>0</v>
      </c>
      <c r="L62">
        <f>IF($F62="s-curve",$D62+($E62-$D62)*$I$2/(1+EXP($I$3*(COUNT($H$8:L$8)+$I$4))),TREND($D62:$E62,$D$8:$E$8,L$8))</f>
        <v>0</v>
      </c>
      <c r="M62">
        <f>IF($F62="s-curve",$D62+($E62-$D62)*$I$2/(1+EXP($I$3*(COUNT($H$8:M$8)+$I$4))),TREND($D62:$E62,$D$8:$E$8,M$8))</f>
        <v>0</v>
      </c>
      <c r="N62">
        <f>IF($F62="s-curve",$D62+($E62-$D62)*$I$2/(1+EXP($I$3*(COUNT($H$8:N$8)+$I$4))),TREND($D62:$E62,$D$8:$E$8,N$8))</f>
        <v>0</v>
      </c>
      <c r="O62">
        <f>IF($F62="s-curve",$D62+($E62-$D62)*$I$2/(1+EXP($I$3*(COUNT($H$8:O$8)+$I$4))),TREND($D62:$E62,$D$8:$E$8,O$8))</f>
        <v>0</v>
      </c>
      <c r="P62">
        <f>IF($F62="s-curve",$D62+($E62-$D62)*$I$2/(1+EXP($I$3*(COUNT($H$8:P$8)+$I$4))),TREND($D62:$E62,$D$8:$E$8,P$8))</f>
        <v>0</v>
      </c>
      <c r="Q62">
        <f>IF($F62="s-curve",$D62+($E62-$D62)*$I$2/(1+EXP($I$3*(COUNT($H$8:Q$8)+$I$4))),TREND($D62:$E62,$D$8:$E$8,Q$8))</f>
        <v>0</v>
      </c>
      <c r="R62">
        <f>IF($F62="s-curve",$D62+($E62-$D62)*$I$2/(1+EXP($I$3*(COUNT($H$8:R$8)+$I$4))),TREND($D62:$E62,$D$8:$E$8,R$8))</f>
        <v>0</v>
      </c>
      <c r="S62">
        <f>IF($F62="s-curve",$D62+($E62-$D62)*$I$2/(1+EXP($I$3*(COUNT($H$8:S$8)+$I$4))),TREND($D62:$E62,$D$8:$E$8,S$8))</f>
        <v>0</v>
      </c>
      <c r="T62">
        <f>IF($F62="s-curve",$D62+($E62-$D62)*$I$2/(1+EXP($I$3*(COUNT($H$8:T$8)+$I$4))),TREND($D62:$E62,$D$8:$E$8,T$8))</f>
        <v>0</v>
      </c>
      <c r="U62">
        <f>IF($F62="s-curve",$D62+($E62-$D62)*$I$2/(1+EXP($I$3*(COUNT($H$8:U$8)+$I$4))),TREND($D62:$E62,$D$8:$E$8,U$8))</f>
        <v>0</v>
      </c>
      <c r="V62">
        <f>IF($F62="s-curve",$D62+($E62-$D62)*$I$2/(1+EXP($I$3*(COUNT($H$8:V$8)+$I$4))),TREND($D62:$E62,$D$8:$E$8,V$8))</f>
        <v>0</v>
      </c>
      <c r="W62">
        <f>IF($F62="s-curve",$D62+($E62-$D62)*$I$2/(1+EXP($I$3*(COUNT($H$8:W$8)+$I$4))),TREND($D62:$E62,$D$8:$E$8,W$8))</f>
        <v>0</v>
      </c>
      <c r="X62">
        <f>IF($F62="s-curve",$D62+($E62-$D62)*$I$2/(1+EXP($I$3*(COUNT($H$8:X$8)+$I$4))),TREND($D62:$E62,$D$8:$E$8,X$8))</f>
        <v>0</v>
      </c>
      <c r="Y62">
        <f>IF($F62="s-curve",$D62+($E62-$D62)*$I$2/(1+EXP($I$3*(COUNT($H$8:Y$8)+$I$4))),TREND($D62:$E62,$D$8:$E$8,Y$8))</f>
        <v>0</v>
      </c>
      <c r="Z62">
        <f>IF($F62="s-curve",$D62+($E62-$D62)*$I$2/(1+EXP($I$3*(COUNT($H$8:Z$8)+$I$4))),TREND($D62:$E62,$D$8:$E$8,Z$8))</f>
        <v>0</v>
      </c>
      <c r="AA62">
        <f>IF($F62="s-curve",$D62+($E62-$D62)*$I$2/(1+EXP($I$3*(COUNT($H$8:AA$8)+$I$4))),TREND($D62:$E62,$D$8:$E$8,AA$8))</f>
        <v>0</v>
      </c>
      <c r="AB62">
        <f>IF($F62="s-curve",$D62+($E62-$D62)*$I$2/(1+EXP($I$3*(COUNT($H$8:AB$8)+$I$4))),TREND($D62:$E62,$D$8:$E$8,AB$8))</f>
        <v>0</v>
      </c>
      <c r="AC62">
        <f>IF($F62="s-curve",$D62+($E62-$D62)*$I$2/(1+EXP($I$3*(COUNT($H$8:AC$8)+$I$4))),TREND($D62:$E62,$D$8:$E$8,AC$8))</f>
        <v>0</v>
      </c>
      <c r="AD62">
        <f>IF($F62="s-curve",$D62+($E62-$D62)*$I$2/(1+EXP($I$3*(COUNT($H$8:AD$8)+$I$4))),TREND($D62:$E62,$D$8:$E$8,AD$8))</f>
        <v>0</v>
      </c>
      <c r="AE62">
        <f>IF($F62="s-curve",$D62+($E62-$D62)*$I$2/(1+EXP($I$3*(COUNT($H$8:AE$8)+$I$4))),TREND($D62:$E62,$D$8:$E$8,AE$8))</f>
        <v>0</v>
      </c>
      <c r="AF62">
        <f>IF($F62="s-curve",$D62+($E62-$D62)*$I$2/(1+EXP($I$3*(COUNT($H$8:AF$8)+$I$4))),TREND($D62:$E62,$D$8:$E$8,AF$8))</f>
        <v>0</v>
      </c>
      <c r="AG62">
        <f>IF($F62="s-curve",$D62+($E62-$D62)*$I$2/(1+EXP($I$3*(COUNT($H$8:AG$8)+$I$4))),TREND($D62:$E62,$D$8:$E$8,AG$8))</f>
        <v>0</v>
      </c>
      <c r="AH62">
        <f>IF($F62="s-curve",$D62+($E62-$D62)*$I$2/(1+EXP($I$3*(COUNT($H$8:AH$8)+$I$4))),TREND($D62:$E62,$D$8:$E$8,AH$8))</f>
        <v>0</v>
      </c>
      <c r="AI62">
        <f>IF($F62="s-curve",$D62+($E62-$D62)*$I$2/(1+EXP($I$3*(COUNT($H$8:AI$8)+$I$4))),TREND($D62:$E62,$D$8:$E$8,AI$8))</f>
        <v>0</v>
      </c>
      <c r="AJ62">
        <f>IF($F62="s-curve",$D62+($E62-$D62)*$I$2/(1+EXP($I$3*(COUNT($H$8:AJ$8)+$I$4))),TREND($D62:$E62,$D$8:$E$8,AJ$8))</f>
        <v>0</v>
      </c>
      <c r="AK62">
        <f>IF($F62="s-curve",$D62+($E62-$D62)*$I$2/(1+EXP($I$3*(COUNT($H$8:AK$8)+$I$4))),TREND($D62:$E62,$D$8:$E$8,AK$8))</f>
        <v>0</v>
      </c>
      <c r="AL62">
        <f>IF($F62="s-curve",$D62+($E62-$D62)*$I$2/(1+EXP($I$3*(COUNT($H$8:AL$8)+$I$4))),TREND($D62:$E62,$D$8:$E$8,AL$8))</f>
        <v>0</v>
      </c>
      <c r="AM62">
        <f>IF($F62="s-curve",$D62+($E62-$D62)*$I$2/(1+EXP($I$3*(COUNT($H$8:AM$8)+$I$4))),TREND($D62:$E62,$D$8:$E$8,AM$8))</f>
        <v>0</v>
      </c>
      <c r="AN62">
        <f>IF($F62="s-curve",$D62+($E62-$D62)*$I$2/(1+EXP($I$3*(COUNT($H$8:AN$8)+$I$4))),TREND($D62:$E62,$D$8:$E$8,AN$8))</f>
        <v>0</v>
      </c>
      <c r="AO62">
        <f>IF($F62="s-curve",$D62+($E62-$D62)*$I$2/(1+EXP($I$3*(COUNT($H$8:AO$8)+$I$4))),TREND($D62:$E62,$D$8:$E$8,AO$8))</f>
        <v>0</v>
      </c>
      <c r="AP62">
        <f>IF($F62="s-curve",$D62+($E62-$D62)*$I$2/(1+EXP($I$3*(COUNT($H$8:AP$8)+$I$4))),TREND($D62:$E62,$D$8:$E$8,AP$8))</f>
        <v>0</v>
      </c>
      <c r="AQ62">
        <f>IF($F62="s-curve",$D62+($E62-$D62)*$I$2/(1+EXP($I$3*(COUNT($H$8:AQ$8)+$I$4))),TREND($D62:$E62,$D$8:$E$8,AQ$8))</f>
        <v>0</v>
      </c>
      <c r="AR62">
        <f>IF($F62="s-curve",$D62+($E62-$D62)*$I$2/(1+EXP($I$3*(COUNT($H$8:AR$8)+$I$4))),TREND($D62:$E62,$D$8:$E$8,AR$8))</f>
        <v>0</v>
      </c>
      <c r="AS62">
        <f>IF($F62="s-curve",$D62+($E62-$D62)*$I$2/(1+EXP($I$3*(COUNT($H$8:AS$8)+$I$4))),TREND($D62:$E62,$D$8:$E$8,AS$8))</f>
        <v>0</v>
      </c>
      <c r="AT62">
        <f>IF($F62="s-curve",$D62+($E62-$D62)*$I$2/(1+EXP($I$3*(COUNT($H$8:AT$8)+$I$4))),TREND($D62:$E62,$D$8:$E$8,AT$8))</f>
        <v>0</v>
      </c>
      <c r="AU62">
        <f>IF($F62="s-curve",$D62+($E62-$D62)*$I$2/(1+EXP($I$3*(COUNT($H$8:AU$8)+$I$4))),TREND($D62:$E62,$D$8:$E$8,AU$8))</f>
        <v>0</v>
      </c>
      <c r="AV62">
        <f>IF($F62="s-curve",$D62+($E62-$D62)*$I$2/(1+EXP($I$3*(COUNT($H$8:AV$8)+$I$4))),TREND($D62:$E62,$D$8:$E$8,AV$8))</f>
        <v>0</v>
      </c>
    </row>
    <row r="63" spans="1:48" x14ac:dyDescent="0.15">
      <c r="C63" t="s">
        <v>125</v>
      </c>
      <c r="D63">
        <v>0</v>
      </c>
      <c r="E63">
        <v>0</v>
      </c>
      <c r="F63" s="7" t="str">
        <f>IF(D63=E63,"n/a",IF(OR(C63="battery electric vehicle",C63="natural gas vehicle",C63="plugin hybrid vehicle",C63="hydrogen vehicle"),"s-curve","linear"))</f>
        <v>n/a</v>
      </c>
      <c r="H63" s="22">
        <f t="shared" si="23"/>
        <v>0</v>
      </c>
      <c r="I63">
        <f>IF($F63="s-curve",$D63+($E63-$D63)*$I$2/(1+EXP($I$3*(COUNT($H$8:I$8)+$I$4))),TREND($D63:$E63,$D$8:$E$8,I$8))</f>
        <v>0</v>
      </c>
      <c r="J63">
        <f>IF($F63="s-curve",$D63+($E63-$D63)*$I$2/(1+EXP($I$3*(COUNT($H$8:J$8)+$I$4))),TREND($D63:$E63,$D$8:$E$8,J$8))</f>
        <v>0</v>
      </c>
      <c r="K63">
        <f>IF($F63="s-curve",$D63+($E63-$D63)*$I$2/(1+EXP($I$3*(COUNT($H$8:K$8)+$I$4))),TREND($D63:$E63,$D$8:$E$8,K$8))</f>
        <v>0</v>
      </c>
      <c r="L63">
        <f>IF($F63="s-curve",$D63+($E63-$D63)*$I$2/(1+EXP($I$3*(COUNT($H$8:L$8)+$I$4))),TREND($D63:$E63,$D$8:$E$8,L$8))</f>
        <v>0</v>
      </c>
      <c r="M63">
        <f>IF($F63="s-curve",$D63+($E63-$D63)*$I$2/(1+EXP($I$3*(COUNT($H$8:M$8)+$I$4))),TREND($D63:$E63,$D$8:$E$8,M$8))</f>
        <v>0</v>
      </c>
      <c r="N63">
        <f>IF($F63="s-curve",$D63+($E63-$D63)*$I$2/(1+EXP($I$3*(COUNT($H$8:N$8)+$I$4))),TREND($D63:$E63,$D$8:$E$8,N$8))</f>
        <v>0</v>
      </c>
      <c r="O63">
        <f>IF($F63="s-curve",$D63+($E63-$D63)*$I$2/(1+EXP($I$3*(COUNT($H$8:O$8)+$I$4))),TREND($D63:$E63,$D$8:$E$8,O$8))</f>
        <v>0</v>
      </c>
      <c r="P63">
        <f>IF($F63="s-curve",$D63+($E63-$D63)*$I$2/(1+EXP($I$3*(COUNT($H$8:P$8)+$I$4))),TREND($D63:$E63,$D$8:$E$8,P$8))</f>
        <v>0</v>
      </c>
      <c r="Q63">
        <f>IF($F63="s-curve",$D63+($E63-$D63)*$I$2/(1+EXP($I$3*(COUNT($H$8:Q$8)+$I$4))),TREND($D63:$E63,$D$8:$E$8,Q$8))</f>
        <v>0</v>
      </c>
      <c r="R63">
        <f>IF($F63="s-curve",$D63+($E63-$D63)*$I$2/(1+EXP($I$3*(COUNT($H$8:R$8)+$I$4))),TREND($D63:$E63,$D$8:$E$8,R$8))</f>
        <v>0</v>
      </c>
      <c r="S63">
        <f>IF($F63="s-curve",$D63+($E63-$D63)*$I$2/(1+EXP($I$3*(COUNT($H$8:S$8)+$I$4))),TREND($D63:$E63,$D$8:$E$8,S$8))</f>
        <v>0</v>
      </c>
      <c r="T63">
        <f>IF($F63="s-curve",$D63+($E63-$D63)*$I$2/(1+EXP($I$3*(COUNT($H$8:T$8)+$I$4))),TREND($D63:$E63,$D$8:$E$8,T$8))</f>
        <v>0</v>
      </c>
      <c r="U63">
        <f>IF($F63="s-curve",$D63+($E63-$D63)*$I$2/(1+EXP($I$3*(COUNT($H$8:U$8)+$I$4))),TREND($D63:$E63,$D$8:$E$8,U$8))</f>
        <v>0</v>
      </c>
      <c r="V63">
        <f>IF($F63="s-curve",$D63+($E63-$D63)*$I$2/(1+EXP($I$3*(COUNT($H$8:V$8)+$I$4))),TREND($D63:$E63,$D$8:$E$8,V$8))</f>
        <v>0</v>
      </c>
      <c r="W63">
        <f>IF($F63="s-curve",$D63+($E63-$D63)*$I$2/(1+EXP($I$3*(COUNT($H$8:W$8)+$I$4))),TREND($D63:$E63,$D$8:$E$8,W$8))</f>
        <v>0</v>
      </c>
      <c r="X63">
        <f>IF($F63="s-curve",$D63+($E63-$D63)*$I$2/(1+EXP($I$3*(COUNT($H$8:X$8)+$I$4))),TREND($D63:$E63,$D$8:$E$8,X$8))</f>
        <v>0</v>
      </c>
      <c r="Y63">
        <f>IF($F63="s-curve",$D63+($E63-$D63)*$I$2/(1+EXP($I$3*(COUNT($H$8:Y$8)+$I$4))),TREND($D63:$E63,$D$8:$E$8,Y$8))</f>
        <v>0</v>
      </c>
      <c r="Z63">
        <f>IF($F63="s-curve",$D63+($E63-$D63)*$I$2/(1+EXP($I$3*(COUNT($H$8:Z$8)+$I$4))),TREND($D63:$E63,$D$8:$E$8,Z$8))</f>
        <v>0</v>
      </c>
      <c r="AA63">
        <f>IF($F63="s-curve",$D63+($E63-$D63)*$I$2/(1+EXP($I$3*(COUNT($H$8:AA$8)+$I$4))),TREND($D63:$E63,$D$8:$E$8,AA$8))</f>
        <v>0</v>
      </c>
      <c r="AB63">
        <f>IF($F63="s-curve",$D63+($E63-$D63)*$I$2/(1+EXP($I$3*(COUNT($H$8:AB$8)+$I$4))),TREND($D63:$E63,$D$8:$E$8,AB$8))</f>
        <v>0</v>
      </c>
      <c r="AC63">
        <f>IF($F63="s-curve",$D63+($E63-$D63)*$I$2/(1+EXP($I$3*(COUNT($H$8:AC$8)+$I$4))),TREND($D63:$E63,$D$8:$E$8,AC$8))</f>
        <v>0</v>
      </c>
      <c r="AD63">
        <f>IF($F63="s-curve",$D63+($E63-$D63)*$I$2/(1+EXP($I$3*(COUNT($H$8:AD$8)+$I$4))),TREND($D63:$E63,$D$8:$E$8,AD$8))</f>
        <v>0</v>
      </c>
      <c r="AE63">
        <f>IF($F63="s-curve",$D63+($E63-$D63)*$I$2/(1+EXP($I$3*(COUNT($H$8:AE$8)+$I$4))),TREND($D63:$E63,$D$8:$E$8,AE$8))</f>
        <v>0</v>
      </c>
      <c r="AF63">
        <f>IF($F63="s-curve",$D63+($E63-$D63)*$I$2/(1+EXP($I$3*(COUNT($H$8:AF$8)+$I$4))),TREND($D63:$E63,$D$8:$E$8,AF$8))</f>
        <v>0</v>
      </c>
      <c r="AG63">
        <f>IF($F63="s-curve",$D63+($E63-$D63)*$I$2/(1+EXP($I$3*(COUNT($H$8:AG$8)+$I$4))),TREND($D63:$E63,$D$8:$E$8,AG$8))</f>
        <v>0</v>
      </c>
      <c r="AH63">
        <f>IF($F63="s-curve",$D63+($E63-$D63)*$I$2/(1+EXP($I$3*(COUNT($H$8:AH$8)+$I$4))),TREND($D63:$E63,$D$8:$E$8,AH$8))</f>
        <v>0</v>
      </c>
      <c r="AI63">
        <f>IF($F63="s-curve",$D63+($E63-$D63)*$I$2/(1+EXP($I$3*(COUNT($H$8:AI$8)+$I$4))),TREND($D63:$E63,$D$8:$E$8,AI$8))</f>
        <v>0</v>
      </c>
      <c r="AJ63">
        <f>IF($F63="s-curve",$D63+($E63-$D63)*$I$2/(1+EXP($I$3*(COUNT($H$8:AJ$8)+$I$4))),TREND($D63:$E63,$D$8:$E$8,AJ$8))</f>
        <v>0</v>
      </c>
      <c r="AK63">
        <f>IF($F63="s-curve",$D63+($E63-$D63)*$I$2/(1+EXP($I$3*(COUNT($H$8:AK$8)+$I$4))),TREND($D63:$E63,$D$8:$E$8,AK$8))</f>
        <v>0</v>
      </c>
      <c r="AL63">
        <f>IF($F63="s-curve",$D63+($E63-$D63)*$I$2/(1+EXP($I$3*(COUNT($H$8:AL$8)+$I$4))),TREND($D63:$E63,$D$8:$E$8,AL$8))</f>
        <v>0</v>
      </c>
      <c r="AM63">
        <f>IF($F63="s-curve",$D63+($E63-$D63)*$I$2/(1+EXP($I$3*(COUNT($H$8:AM$8)+$I$4))),TREND($D63:$E63,$D$8:$E$8,AM$8))</f>
        <v>0</v>
      </c>
      <c r="AN63">
        <f>IF($F63="s-curve",$D63+($E63-$D63)*$I$2/(1+EXP($I$3*(COUNT($H$8:AN$8)+$I$4))),TREND($D63:$E63,$D$8:$E$8,AN$8))</f>
        <v>0</v>
      </c>
      <c r="AO63">
        <f>IF($F63="s-curve",$D63+($E63-$D63)*$I$2/(1+EXP($I$3*(COUNT($H$8:AO$8)+$I$4))),TREND($D63:$E63,$D$8:$E$8,AO$8))</f>
        <v>0</v>
      </c>
      <c r="AP63">
        <f>IF($F63="s-curve",$D63+($E63-$D63)*$I$2/(1+EXP($I$3*(COUNT($H$8:AP$8)+$I$4))),TREND($D63:$E63,$D$8:$E$8,AP$8))</f>
        <v>0</v>
      </c>
      <c r="AQ63">
        <f>IF($F63="s-curve",$D63+($E63-$D63)*$I$2/(1+EXP($I$3*(COUNT($H$8:AQ$8)+$I$4))),TREND($D63:$E63,$D$8:$E$8,AQ$8))</f>
        <v>0</v>
      </c>
      <c r="AR63">
        <f>IF($F63="s-curve",$D63+($E63-$D63)*$I$2/(1+EXP($I$3*(COUNT($H$8:AR$8)+$I$4))),TREND($D63:$E63,$D$8:$E$8,AR$8))</f>
        <v>0</v>
      </c>
      <c r="AS63">
        <f>IF($F63="s-curve",$D63+($E63-$D63)*$I$2/(1+EXP($I$3*(COUNT($H$8:AS$8)+$I$4))),TREND($D63:$E63,$D$8:$E$8,AS$8))</f>
        <v>0</v>
      </c>
      <c r="AT63">
        <f>IF($F63="s-curve",$D63+($E63-$D63)*$I$2/(1+EXP($I$3*(COUNT($H$8:AT$8)+$I$4))),TREND($D63:$E63,$D$8:$E$8,AT$8))</f>
        <v>0</v>
      </c>
      <c r="AU63">
        <f>IF($F63="s-curve",$D63+($E63-$D63)*$I$2/(1+EXP($I$3*(COUNT($H$8:AU$8)+$I$4))),TREND($D63:$E63,$D$8:$E$8,AU$8))</f>
        <v>0</v>
      </c>
      <c r="AV63">
        <f>IF($F63="s-curve",$D63+($E63-$D63)*$I$2/(1+EXP($I$3*(COUNT($H$8:AV$8)+$I$4))),TREND($D63:$E63,$D$8:$E$8,AV$8))</f>
        <v>0</v>
      </c>
    </row>
    <row r="64" spans="1:48" ht="13.6" thickBot="1" x14ac:dyDescent="0.2">
      <c r="A64" s="23"/>
      <c r="B64" s="23"/>
      <c r="C64" s="23" t="s">
        <v>126</v>
      </c>
      <c r="D64" s="23">
        <v>0</v>
      </c>
      <c r="E64" s="23">
        <v>0</v>
      </c>
      <c r="F64" s="8" t="str">
        <f>IF(D64=E64,"n/a",IF(OR(C64="battery electric vehicle",C64="natural gas vehicle",C64="plugin hybrid vehicle",C64="hydrogen vehicle"),"s-curve","linear"))</f>
        <v>n/a</v>
      </c>
      <c r="H64" s="22">
        <f t="shared" si="23"/>
        <v>0</v>
      </c>
      <c r="I64">
        <f>IF($F64="s-curve",$D64+($E64-$D64)*$I$2/(1+EXP($I$3*(COUNT($H$8:I$8)+$I$4))),TREND($D64:$E64,$D$8:$E$8,I$8))</f>
        <v>0</v>
      </c>
      <c r="J64">
        <f>IF($F64="s-curve",$D64+($E64-$D64)*$I$2/(1+EXP($I$3*(COUNT($H$8:J$8)+$I$4))),TREND($D64:$E64,$D$8:$E$8,J$8))</f>
        <v>0</v>
      </c>
      <c r="K64">
        <f>IF($F64="s-curve",$D64+($E64-$D64)*$I$2/(1+EXP($I$3*(COUNT($H$8:K$8)+$I$4))),TREND($D64:$E64,$D$8:$E$8,K$8))</f>
        <v>0</v>
      </c>
      <c r="L64">
        <f>IF($F64="s-curve",$D64+($E64-$D64)*$I$2/(1+EXP($I$3*(COUNT($H$8:L$8)+$I$4))),TREND($D64:$E64,$D$8:$E$8,L$8))</f>
        <v>0</v>
      </c>
      <c r="M64">
        <f>IF($F64="s-curve",$D64+($E64-$D64)*$I$2/(1+EXP($I$3*(COUNT($H$8:M$8)+$I$4))),TREND($D64:$E64,$D$8:$E$8,M$8))</f>
        <v>0</v>
      </c>
      <c r="N64">
        <f>IF($F64="s-curve",$D64+($E64-$D64)*$I$2/(1+EXP($I$3*(COUNT($H$8:N$8)+$I$4))),TREND($D64:$E64,$D$8:$E$8,N$8))</f>
        <v>0</v>
      </c>
      <c r="O64">
        <f>IF($F64="s-curve",$D64+($E64-$D64)*$I$2/(1+EXP($I$3*(COUNT($H$8:O$8)+$I$4))),TREND($D64:$E64,$D$8:$E$8,O$8))</f>
        <v>0</v>
      </c>
      <c r="P64">
        <f>IF($F64="s-curve",$D64+($E64-$D64)*$I$2/(1+EXP($I$3*(COUNT($H$8:P$8)+$I$4))),TREND($D64:$E64,$D$8:$E$8,P$8))</f>
        <v>0</v>
      </c>
      <c r="Q64">
        <f>IF($F64="s-curve",$D64+($E64-$D64)*$I$2/(1+EXP($I$3*(COUNT($H$8:Q$8)+$I$4))),TREND($D64:$E64,$D$8:$E$8,Q$8))</f>
        <v>0</v>
      </c>
      <c r="R64">
        <f>IF($F64="s-curve",$D64+($E64-$D64)*$I$2/(1+EXP($I$3*(COUNT($H$8:R$8)+$I$4))),TREND($D64:$E64,$D$8:$E$8,R$8))</f>
        <v>0</v>
      </c>
      <c r="S64">
        <f>IF($F64="s-curve",$D64+($E64-$D64)*$I$2/(1+EXP($I$3*(COUNT($H$8:S$8)+$I$4))),TREND($D64:$E64,$D$8:$E$8,S$8))</f>
        <v>0</v>
      </c>
      <c r="T64">
        <f>IF($F64="s-curve",$D64+($E64-$D64)*$I$2/(1+EXP($I$3*(COUNT($H$8:T$8)+$I$4))),TREND($D64:$E64,$D$8:$E$8,T$8))</f>
        <v>0</v>
      </c>
      <c r="U64">
        <f>IF($F64="s-curve",$D64+($E64-$D64)*$I$2/(1+EXP($I$3*(COUNT($H$8:U$8)+$I$4))),TREND($D64:$E64,$D$8:$E$8,U$8))</f>
        <v>0</v>
      </c>
      <c r="V64">
        <f>IF($F64="s-curve",$D64+($E64-$D64)*$I$2/(1+EXP($I$3*(COUNT($H$8:V$8)+$I$4))),TREND($D64:$E64,$D$8:$E$8,V$8))</f>
        <v>0</v>
      </c>
      <c r="W64">
        <f>IF($F64="s-curve",$D64+($E64-$D64)*$I$2/(1+EXP($I$3*(COUNT($H$8:W$8)+$I$4))),TREND($D64:$E64,$D$8:$E$8,W$8))</f>
        <v>0</v>
      </c>
      <c r="X64">
        <f>IF($F64="s-curve",$D64+($E64-$D64)*$I$2/(1+EXP($I$3*(COUNT($H$8:X$8)+$I$4))),TREND($D64:$E64,$D$8:$E$8,X$8))</f>
        <v>0</v>
      </c>
      <c r="Y64">
        <f>IF($F64="s-curve",$D64+($E64-$D64)*$I$2/(1+EXP($I$3*(COUNT($H$8:Y$8)+$I$4))),TREND($D64:$E64,$D$8:$E$8,Y$8))</f>
        <v>0</v>
      </c>
      <c r="Z64">
        <f>IF($F64="s-curve",$D64+($E64-$D64)*$I$2/(1+EXP($I$3*(COUNT($H$8:Z$8)+$I$4))),TREND($D64:$E64,$D$8:$E$8,Z$8))</f>
        <v>0</v>
      </c>
      <c r="AA64">
        <f>IF($F64="s-curve",$D64+($E64-$D64)*$I$2/(1+EXP($I$3*(COUNT($H$8:AA$8)+$I$4))),TREND($D64:$E64,$D$8:$E$8,AA$8))</f>
        <v>0</v>
      </c>
      <c r="AB64">
        <f>IF($F64="s-curve",$D64+($E64-$D64)*$I$2/(1+EXP($I$3*(COUNT($H$8:AB$8)+$I$4))),TREND($D64:$E64,$D$8:$E$8,AB$8))</f>
        <v>0</v>
      </c>
      <c r="AC64">
        <f>IF($F64="s-curve",$D64+($E64-$D64)*$I$2/(1+EXP($I$3*(COUNT($H$8:AC$8)+$I$4))),TREND($D64:$E64,$D$8:$E$8,AC$8))</f>
        <v>0</v>
      </c>
      <c r="AD64">
        <f>IF($F64="s-curve",$D64+($E64-$D64)*$I$2/(1+EXP($I$3*(COUNT($H$8:AD$8)+$I$4))),TREND($D64:$E64,$D$8:$E$8,AD$8))</f>
        <v>0</v>
      </c>
      <c r="AE64">
        <f>IF($F64="s-curve",$D64+($E64-$D64)*$I$2/(1+EXP($I$3*(COUNT($H$8:AE$8)+$I$4))),TREND($D64:$E64,$D$8:$E$8,AE$8))</f>
        <v>0</v>
      </c>
      <c r="AF64">
        <f>IF($F64="s-curve",$D64+($E64-$D64)*$I$2/(1+EXP($I$3*(COUNT($H$8:AF$8)+$I$4))),TREND($D64:$E64,$D$8:$E$8,AF$8))</f>
        <v>0</v>
      </c>
      <c r="AG64">
        <f>IF($F64="s-curve",$D64+($E64-$D64)*$I$2/(1+EXP($I$3*(COUNT($H$8:AG$8)+$I$4))),TREND($D64:$E64,$D$8:$E$8,AG$8))</f>
        <v>0</v>
      </c>
      <c r="AH64">
        <f>IF($F64="s-curve",$D64+($E64-$D64)*$I$2/(1+EXP($I$3*(COUNT($H$8:AH$8)+$I$4))),TREND($D64:$E64,$D$8:$E$8,AH$8))</f>
        <v>0</v>
      </c>
      <c r="AI64">
        <f>IF($F64="s-curve",$D64+($E64-$D64)*$I$2/(1+EXP($I$3*(COUNT($H$8:AI$8)+$I$4))),TREND($D64:$E64,$D$8:$E$8,AI$8))</f>
        <v>0</v>
      </c>
      <c r="AJ64">
        <f>IF($F64="s-curve",$D64+($E64-$D64)*$I$2/(1+EXP($I$3*(COUNT($H$8:AJ$8)+$I$4))),TREND($D64:$E64,$D$8:$E$8,AJ$8))</f>
        <v>0</v>
      </c>
      <c r="AK64">
        <f>IF($F64="s-curve",$D64+($E64-$D64)*$I$2/(1+EXP($I$3*(COUNT($H$8:AK$8)+$I$4))),TREND($D64:$E64,$D$8:$E$8,AK$8))</f>
        <v>0</v>
      </c>
      <c r="AL64">
        <f>IF($F64="s-curve",$D64+($E64-$D64)*$I$2/(1+EXP($I$3*(COUNT($H$8:AL$8)+$I$4))),TREND($D64:$E64,$D$8:$E$8,AL$8))</f>
        <v>0</v>
      </c>
      <c r="AM64">
        <f>IF($F64="s-curve",$D64+($E64-$D64)*$I$2/(1+EXP($I$3*(COUNT($H$8:AM$8)+$I$4))),TREND($D64:$E64,$D$8:$E$8,AM$8))</f>
        <v>0</v>
      </c>
      <c r="AN64">
        <f>IF($F64="s-curve",$D64+($E64-$D64)*$I$2/(1+EXP($I$3*(COUNT($H$8:AN$8)+$I$4))),TREND($D64:$E64,$D$8:$E$8,AN$8))</f>
        <v>0</v>
      </c>
      <c r="AO64">
        <f>IF($F64="s-curve",$D64+($E64-$D64)*$I$2/(1+EXP($I$3*(COUNT($H$8:AO$8)+$I$4))),TREND($D64:$E64,$D$8:$E$8,AO$8))</f>
        <v>0</v>
      </c>
      <c r="AP64">
        <f>IF($F64="s-curve",$D64+($E64-$D64)*$I$2/(1+EXP($I$3*(COUNT($H$8:AP$8)+$I$4))),TREND($D64:$E64,$D$8:$E$8,AP$8))</f>
        <v>0</v>
      </c>
      <c r="AQ64">
        <f>IF($F64="s-curve",$D64+($E64-$D64)*$I$2/(1+EXP($I$3*(COUNT($H$8:AQ$8)+$I$4))),TREND($D64:$E64,$D$8:$E$8,AQ$8))</f>
        <v>0</v>
      </c>
      <c r="AR64">
        <f>IF($F64="s-curve",$D64+($E64-$D64)*$I$2/(1+EXP($I$3*(COUNT($H$8:AR$8)+$I$4))),TREND($D64:$E64,$D$8:$E$8,AR$8))</f>
        <v>0</v>
      </c>
      <c r="AS64">
        <f>IF($F64="s-curve",$D64+($E64-$D64)*$I$2/(1+EXP($I$3*(COUNT($H$8:AS$8)+$I$4))),TREND($D64:$E64,$D$8:$E$8,AS$8))</f>
        <v>0</v>
      </c>
      <c r="AT64">
        <f>IF($F64="s-curve",$D64+($E64-$D64)*$I$2/(1+EXP($I$3*(COUNT($H$8:AT$8)+$I$4))),TREND($D64:$E64,$D$8:$E$8,AT$8))</f>
        <v>0</v>
      </c>
      <c r="AU64">
        <f>IF($F64="s-curve",$D64+($E64-$D64)*$I$2/(1+EXP($I$3*(COUNT($H$8:AU$8)+$I$4))),TREND($D64:$E64,$D$8:$E$8,AU$8))</f>
        <v>0</v>
      </c>
      <c r="AV64">
        <f>IF($F64="s-curve",$D64+($E64-$D64)*$I$2/(1+EXP($I$3*(COUNT($H$8:AV$8)+$I$4))),TREND($D64:$E64,$D$8:$E$8,AV$8))</f>
        <v>0</v>
      </c>
    </row>
    <row r="65" spans="1:48" x14ac:dyDescent="0.15">
      <c r="A65" t="s">
        <v>16</v>
      </c>
      <c r="B65" t="s">
        <v>19</v>
      </c>
      <c r="C65" t="s">
        <v>1</v>
      </c>
      <c r="D65">
        <f>'Tech Avaliability'!H53/SUM('Tech Avaliability'!H53:H57)</f>
        <v>0.28735632183908044</v>
      </c>
      <c r="E65">
        <v>0.8</v>
      </c>
      <c r="F65" s="7" t="str">
        <f>IF(D65=E65,"n/a",IF(OR(C65="battery electric vehicle",C65="natural gas vehicle",C65="plugin hybrid vehicle"),"s-curve","linear"))</f>
        <v>s-curve</v>
      </c>
      <c r="H65" s="22">
        <f t="shared" si="23"/>
        <v>0.28735632183908044</v>
      </c>
      <c r="I65">
        <f>IF($F65="s-curve",$D65+($E65-$D65)*$I$2/(1+EXP($I$3*(COUNT($H$8:I$8)+$I$4))),TREND($D65:$E65,$D$8:$E$8,I$8))</f>
        <v>0.29493013578758592</v>
      </c>
      <c r="J65">
        <f>IF($F65="s-curve",$D65+($E65-$D65)*$I$2/(1+EXP($I$3*(COUNT($H$8:J$8)+$I$4))),TREND($D65:$E65,$D$8:$E$8,J$8))</f>
        <v>0.29752732914643509</v>
      </c>
      <c r="K65">
        <f>IF($F65="s-curve",$D65+($E65-$D65)*$I$2/(1+EXP($I$3*(COUNT($H$8:K$8)+$I$4))),TREND($D65:$E65,$D$8:$E$8,K$8))</f>
        <v>0.30099110245434729</v>
      </c>
      <c r="L65">
        <f>IF($F65="s-curve",$D65+($E65-$D65)*$I$2/(1+EXP($I$3*(COUNT($H$8:L$8)+$I$4))),TREND($D65:$E65,$D$8:$E$8,L$8))</f>
        <v>0.30559166714436292</v>
      </c>
      <c r="M65">
        <f>IF($F65="s-curve",$D65+($E65-$D65)*$I$2/(1+EXP($I$3*(COUNT($H$8:M$8)+$I$4))),TREND($D65:$E65,$D$8:$E$8,M$8))</f>
        <v>0.31166889590482155</v>
      </c>
      <c r="N65">
        <f>IF($F65="s-curve",$D65+($E65-$D65)*$I$2/(1+EXP($I$3*(COUNT($H$8:N$8)+$I$4))),TREND($D65:$E65,$D$8:$E$8,N$8))</f>
        <v>0.31963921471427637</v>
      </c>
      <c r="O65">
        <f>IF($F65="s-curve",$D65+($E65-$D65)*$I$2/(1+EXP($I$3*(COUNT($H$8:O$8)+$I$4))),TREND($D65:$E65,$D$8:$E$8,O$8))</f>
        <v>0.32999427889228661</v>
      </c>
      <c r="P65">
        <f>IF($F65="s-curve",$D65+($E65-$D65)*$I$2/(1+EXP($I$3*(COUNT($H$8:P$8)+$I$4))),TREND($D65:$E65,$D$8:$E$8,P$8))</f>
        <v>0.34328411753246363</v>
      </c>
      <c r="Q65">
        <f>IF($F65="s-curve",$D65+($E65-$D65)*$I$2/(1+EXP($I$3*(COUNT($H$8:Q$8)+$I$4))),TREND($D65:$E65,$D$8:$E$8,Q$8))</f>
        <v>0.36007537350070984</v>
      </c>
      <c r="R65">
        <f>IF($F65="s-curve",$D65+($E65-$D65)*$I$2/(1+EXP($I$3*(COUNT($H$8:R$8)+$I$4))),TREND($D65:$E65,$D$8:$E$8,R$8))</f>
        <v>0.38087561335360337</v>
      </c>
      <c r="S65">
        <f>IF($F65="s-curve",$D65+($E65-$D65)*$I$2/(1+EXP($I$3*(COUNT($H$8:S$8)+$I$4))),TREND($D65:$E65,$D$8:$E$8,S$8))</f>
        <v>0.40602062822923923</v>
      </c>
      <c r="T65">
        <f>IF($F65="s-curve",$D65+($E65-$D65)*$I$2/(1+EXP($I$3*(COUNT($H$8:T$8)+$I$4))),TREND($D65:$E65,$D$8:$E$8,T$8))</f>
        <v>0.43553623198764169</v>
      </c>
      <c r="U65">
        <f>IF($F65="s-curve",$D65+($E65-$D65)*$I$2/(1+EXP($I$3*(COUNT($H$8:U$8)+$I$4))),TREND($D65:$E65,$D$8:$E$8,U$8))</f>
        <v>0.4690083763486152</v>
      </c>
      <c r="V65">
        <f>IF($F65="s-curve",$D65+($E65-$D65)*$I$2/(1+EXP($I$3*(COUNT($H$8:V$8)+$I$4))),TREND($D65:$E65,$D$8:$E$8,V$8))</f>
        <v>0.50551567528965524</v>
      </c>
      <c r="W65">
        <f>IF($F65="s-curve",$D65+($E65-$D65)*$I$2/(1+EXP($I$3*(COUNT($H$8:W$8)+$I$4))),TREND($D65:$E65,$D$8:$E$8,W$8))</f>
        <v>0.54367816091954024</v>
      </c>
      <c r="X65">
        <f>IF($F65="s-curve",$D65+($E65-$D65)*$I$2/(1+EXP($I$3*(COUNT($H$8:X$8)+$I$4))),TREND($D65:$E65,$D$8:$E$8,X$8))</f>
        <v>0.58184064654942524</v>
      </c>
      <c r="Y65">
        <f>IF($F65="s-curve",$D65+($E65-$D65)*$I$2/(1+EXP($I$3*(COUNT($H$8:Y$8)+$I$4))),TREND($D65:$E65,$D$8:$E$8,Y$8))</f>
        <v>0.61834794549046523</v>
      </c>
      <c r="Z65">
        <f>IF($F65="s-curve",$D65+($E65-$D65)*$I$2/(1+EXP($I$3*(COUNT($H$8:Z$8)+$I$4))),TREND($D65:$E65,$D$8:$E$8,Z$8))</f>
        <v>0.6518200898514388</v>
      </c>
      <c r="AA65">
        <f>IF($F65="s-curve",$D65+($E65-$D65)*$I$2/(1+EXP($I$3*(COUNT($H$8:AA$8)+$I$4))),TREND($D65:$E65,$D$8:$E$8,AA$8))</f>
        <v>0.68133569360984125</v>
      </c>
      <c r="AB65">
        <f>IF($F65="s-curve",$D65+($E65-$D65)*$I$2/(1+EXP($I$3*(COUNT($H$8:AB$8)+$I$4))),TREND($D65:$E65,$D$8:$E$8,AB$8))</f>
        <v>0.70648070848547717</v>
      </c>
      <c r="AC65">
        <f>IF($F65="s-curve",$D65+($E65-$D65)*$I$2/(1+EXP($I$3*(COUNT($H$8:AC$8)+$I$4))),TREND($D65:$E65,$D$8:$E$8,AC$8))</f>
        <v>0.72728094833837065</v>
      </c>
      <c r="AD65">
        <f>IF($F65="s-curve",$D65+($E65-$D65)*$I$2/(1+EXP($I$3*(COUNT($H$8:AD$8)+$I$4))),TREND($D65:$E65,$D$8:$E$8,AD$8))</f>
        <v>0.7440722043066168</v>
      </c>
      <c r="AE65">
        <f>IF($F65="s-curve",$D65+($E65-$D65)*$I$2/(1+EXP($I$3*(COUNT($H$8:AE$8)+$I$4))),TREND($D65:$E65,$D$8:$E$8,AE$8))</f>
        <v>0.75736204294679388</v>
      </c>
      <c r="AF65">
        <f>IF($F65="s-curve",$D65+($E65-$D65)*$I$2/(1+EXP($I$3*(COUNT($H$8:AF$8)+$I$4))),TREND($D65:$E65,$D$8:$E$8,AF$8))</f>
        <v>0.76771710712480412</v>
      </c>
      <c r="AG65">
        <f>IF($F65="s-curve",$D65+($E65-$D65)*$I$2/(1+EXP($I$3*(COUNT($H$8:AG$8)+$I$4))),TREND($D65:$E65,$D$8:$E$8,AG$8))</f>
        <v>0.77568742593425899</v>
      </c>
      <c r="AH65">
        <f>IF($F65="s-curve",$D65+($E65-$D65)*$I$2/(1+EXP($I$3*(COUNT($H$8:AH$8)+$I$4))),TREND($D65:$E65,$D$8:$E$8,AH$8))</f>
        <v>0.78176465469471768</v>
      </c>
      <c r="AI65">
        <f>IF($F65="s-curve",$D65+($E65-$D65)*$I$2/(1+EXP($I$3*(COUNT($H$8:AI$8)+$I$4))),TREND($D65:$E65,$D$8:$E$8,AI$8))</f>
        <v>0.78636521938473314</v>
      </c>
      <c r="AJ65">
        <f>IF($F65="s-curve",$D65+($E65-$D65)*$I$2/(1+EXP($I$3*(COUNT($H$8:AJ$8)+$I$4))),TREND($D65:$E65,$D$8:$E$8,AJ$8))</f>
        <v>0.78982899269264539</v>
      </c>
      <c r="AK65">
        <f>IF($F65="s-curve",$D65+($E65-$D65)*$I$2/(1+EXP($I$3*(COUNT($H$8:AK$8)+$I$4))),TREND($D65:$E65,$D$8:$E$8,AK$8))</f>
        <v>0.79242618605149451</v>
      </c>
      <c r="AL65">
        <f>IF($F65="s-curve",$D65+($E65-$D65)*$I$2/(1+EXP($I$3*(COUNT($H$8:AL$8)+$I$4))),TREND($D65:$E65,$D$8:$E$8,AL$8))</f>
        <v>0.79436761331810979</v>
      </c>
      <c r="AM65">
        <f>IF($F65="s-curve",$D65+($E65-$D65)*$I$2/(1+EXP($I$3*(COUNT($H$8:AM$8)+$I$4))),TREND($D65:$E65,$D$8:$E$8,AM$8))</f>
        <v>0.79581550950079394</v>
      </c>
      <c r="AN65">
        <f>IF($F65="s-curve",$D65+($E65-$D65)*$I$2/(1+EXP($I$3*(COUNT($H$8:AN$8)+$I$4))),TREND($D65:$E65,$D$8:$E$8,AN$8))</f>
        <v>0.79689348107442926</v>
      </c>
      <c r="AO65">
        <f>IF($F65="s-curve",$D65+($E65-$D65)*$I$2/(1+EXP($I$3*(COUNT($H$8:AO$8)+$I$4))),TREND($D65:$E65,$D$8:$E$8,AO$8))</f>
        <v>0.79769501398875897</v>
      </c>
      <c r="AP65">
        <f>IF($F65="s-curve",$D65+($E65-$D65)*$I$2/(1+EXP($I$3*(COUNT($H$8:AP$8)+$I$4))),TREND($D65:$E65,$D$8:$E$8,AP$8))</f>
        <v>0.79829043211596973</v>
      </c>
      <c r="AQ65">
        <f>IF($F65="s-curve",$D65+($E65-$D65)*$I$2/(1+EXP($I$3*(COUNT($H$8:AQ$8)+$I$4))),TREND($D65:$E65,$D$8:$E$8,AQ$8))</f>
        <v>0.798732425370277</v>
      </c>
      <c r="AR65">
        <f>IF($F65="s-curve",$D65+($E65-$D65)*$I$2/(1+EXP($I$3*(COUNT($H$8:AR$8)+$I$4))),TREND($D65:$E65,$D$8:$E$8,AR$8))</f>
        <v>0.79906035543867615</v>
      </c>
      <c r="AS65">
        <f>IF($F65="s-curve",$D65+($E65-$D65)*$I$2/(1+EXP($I$3*(COUNT($H$8:AS$8)+$I$4))),TREND($D65:$E65,$D$8:$E$8,AS$8))</f>
        <v>0.79930356333575725</v>
      </c>
      <c r="AT65">
        <f>IF($F65="s-curve",$D65+($E65-$D65)*$I$2/(1+EXP($I$3*(COUNT($H$8:AT$8)+$I$4))),TREND($D65:$E65,$D$8:$E$8,AT$8))</f>
        <v>0.79948388530372627</v>
      </c>
      <c r="AU65">
        <f>IF($F65="s-curve",$D65+($E65-$D65)*$I$2/(1+EXP($I$3*(COUNT($H$8:AU$8)+$I$4))),TREND($D65:$E65,$D$8:$E$8,AU$8))</f>
        <v>0.79961755303460791</v>
      </c>
      <c r="AV65">
        <f>IF($F65="s-curve",$D65+($E65-$D65)*$I$2/(1+EXP($I$3*(COUNT($H$8:AV$8)+$I$4))),TREND($D65:$E65,$D$8:$E$8,AV$8))</f>
        <v>0.79971662152635881</v>
      </c>
    </row>
    <row r="66" spans="1:48" x14ac:dyDescent="0.15">
      <c r="C66" t="s">
        <v>2</v>
      </c>
      <c r="D66">
        <v>0</v>
      </c>
      <c r="E66">
        <v>0</v>
      </c>
      <c r="F66" s="7" t="str">
        <f>IF(D66=E66,"n/a",IF(OR(C66="battery electric vehicle",C66="natural gas vehicle",C66="plugin hybrid vehicle"),"s-curve","linear"))</f>
        <v>n/a</v>
      </c>
      <c r="H66" s="22">
        <f t="shared" si="23"/>
        <v>0</v>
      </c>
      <c r="I66">
        <f>IF($F66="s-curve",$D66+($E66-$D66)*$I$2/(1+EXP($I$3*(COUNT($H$8:I$8)+$I$4))),TREND($D66:$E66,$D$8:$E$8,I$8))</f>
        <v>0</v>
      </c>
      <c r="J66">
        <f>IF($F66="s-curve",$D66+($E66-$D66)*$I$2/(1+EXP($I$3*(COUNT($H$8:J$8)+$I$4))),TREND($D66:$E66,$D$8:$E$8,J$8))</f>
        <v>0</v>
      </c>
      <c r="K66">
        <f>IF($F66="s-curve",$D66+($E66-$D66)*$I$2/(1+EXP($I$3*(COUNT($H$8:K$8)+$I$4))),TREND($D66:$E66,$D$8:$E$8,K$8))</f>
        <v>0</v>
      </c>
      <c r="L66">
        <f>IF($F66="s-curve",$D66+($E66-$D66)*$I$2/(1+EXP($I$3*(COUNT($H$8:L$8)+$I$4))),TREND($D66:$E66,$D$8:$E$8,L$8))</f>
        <v>0</v>
      </c>
      <c r="M66">
        <f>IF($F66="s-curve",$D66+($E66-$D66)*$I$2/(1+EXP($I$3*(COUNT($H$8:M$8)+$I$4))),TREND($D66:$E66,$D$8:$E$8,M$8))</f>
        <v>0</v>
      </c>
      <c r="N66">
        <f>IF($F66="s-curve",$D66+($E66-$D66)*$I$2/(1+EXP($I$3*(COUNT($H$8:N$8)+$I$4))),TREND($D66:$E66,$D$8:$E$8,N$8))</f>
        <v>0</v>
      </c>
      <c r="O66">
        <f>IF($F66="s-curve",$D66+($E66-$D66)*$I$2/(1+EXP($I$3*(COUNT($H$8:O$8)+$I$4))),TREND($D66:$E66,$D$8:$E$8,O$8))</f>
        <v>0</v>
      </c>
      <c r="P66">
        <f>IF($F66="s-curve",$D66+($E66-$D66)*$I$2/(1+EXP($I$3*(COUNT($H$8:P$8)+$I$4))),TREND($D66:$E66,$D$8:$E$8,P$8))</f>
        <v>0</v>
      </c>
      <c r="Q66">
        <f>IF($F66="s-curve",$D66+($E66-$D66)*$I$2/(1+EXP($I$3*(COUNT($H$8:Q$8)+$I$4))),TREND($D66:$E66,$D$8:$E$8,Q$8))</f>
        <v>0</v>
      </c>
      <c r="R66">
        <f>IF($F66="s-curve",$D66+($E66-$D66)*$I$2/(1+EXP($I$3*(COUNT($H$8:R$8)+$I$4))),TREND($D66:$E66,$D$8:$E$8,R$8))</f>
        <v>0</v>
      </c>
      <c r="S66">
        <f>IF($F66="s-curve",$D66+($E66-$D66)*$I$2/(1+EXP($I$3*(COUNT($H$8:S$8)+$I$4))),TREND($D66:$E66,$D$8:$E$8,S$8))</f>
        <v>0</v>
      </c>
      <c r="T66">
        <f>IF($F66="s-curve",$D66+($E66-$D66)*$I$2/(1+EXP($I$3*(COUNT($H$8:T$8)+$I$4))),TREND($D66:$E66,$D$8:$E$8,T$8))</f>
        <v>0</v>
      </c>
      <c r="U66">
        <f>IF($F66="s-curve",$D66+($E66-$D66)*$I$2/(1+EXP($I$3*(COUNT($H$8:U$8)+$I$4))),TREND($D66:$E66,$D$8:$E$8,U$8))</f>
        <v>0</v>
      </c>
      <c r="V66">
        <f>IF($F66="s-curve",$D66+($E66-$D66)*$I$2/(1+EXP($I$3*(COUNT($H$8:V$8)+$I$4))),TREND($D66:$E66,$D$8:$E$8,V$8))</f>
        <v>0</v>
      </c>
      <c r="W66">
        <f>IF($F66="s-curve",$D66+($E66-$D66)*$I$2/(1+EXP($I$3*(COUNT($H$8:W$8)+$I$4))),TREND($D66:$E66,$D$8:$E$8,W$8))</f>
        <v>0</v>
      </c>
      <c r="X66">
        <f>IF($F66="s-curve",$D66+($E66-$D66)*$I$2/(1+EXP($I$3*(COUNT($H$8:X$8)+$I$4))),TREND($D66:$E66,$D$8:$E$8,X$8))</f>
        <v>0</v>
      </c>
      <c r="Y66">
        <f>IF($F66="s-curve",$D66+($E66-$D66)*$I$2/(1+EXP($I$3*(COUNT($H$8:Y$8)+$I$4))),TREND($D66:$E66,$D$8:$E$8,Y$8))</f>
        <v>0</v>
      </c>
      <c r="Z66">
        <f>IF($F66="s-curve",$D66+($E66-$D66)*$I$2/(1+EXP($I$3*(COUNT($H$8:Z$8)+$I$4))),TREND($D66:$E66,$D$8:$E$8,Z$8))</f>
        <v>0</v>
      </c>
      <c r="AA66">
        <f>IF($F66="s-curve",$D66+($E66-$D66)*$I$2/(1+EXP($I$3*(COUNT($H$8:AA$8)+$I$4))),TREND($D66:$E66,$D$8:$E$8,AA$8))</f>
        <v>0</v>
      </c>
      <c r="AB66">
        <f>IF($F66="s-curve",$D66+($E66-$D66)*$I$2/(1+EXP($I$3*(COUNT($H$8:AB$8)+$I$4))),TREND($D66:$E66,$D$8:$E$8,AB$8))</f>
        <v>0</v>
      </c>
      <c r="AC66">
        <f>IF($F66="s-curve",$D66+($E66-$D66)*$I$2/(1+EXP($I$3*(COUNT($H$8:AC$8)+$I$4))),TREND($D66:$E66,$D$8:$E$8,AC$8))</f>
        <v>0</v>
      </c>
      <c r="AD66">
        <f>IF($F66="s-curve",$D66+($E66-$D66)*$I$2/(1+EXP($I$3*(COUNT($H$8:AD$8)+$I$4))),TREND($D66:$E66,$D$8:$E$8,AD$8))</f>
        <v>0</v>
      </c>
      <c r="AE66">
        <f>IF($F66="s-curve",$D66+($E66-$D66)*$I$2/(1+EXP($I$3*(COUNT($H$8:AE$8)+$I$4))),TREND($D66:$E66,$D$8:$E$8,AE$8))</f>
        <v>0</v>
      </c>
      <c r="AF66">
        <f>IF($F66="s-curve",$D66+($E66-$D66)*$I$2/(1+EXP($I$3*(COUNT($H$8:AF$8)+$I$4))),TREND($D66:$E66,$D$8:$E$8,AF$8))</f>
        <v>0</v>
      </c>
      <c r="AG66">
        <f>IF($F66="s-curve",$D66+($E66-$D66)*$I$2/(1+EXP($I$3*(COUNT($H$8:AG$8)+$I$4))),TREND($D66:$E66,$D$8:$E$8,AG$8))</f>
        <v>0</v>
      </c>
      <c r="AH66">
        <f>IF($F66="s-curve",$D66+($E66-$D66)*$I$2/(1+EXP($I$3*(COUNT($H$8:AH$8)+$I$4))),TREND($D66:$E66,$D$8:$E$8,AH$8))</f>
        <v>0</v>
      </c>
      <c r="AI66">
        <f>IF($F66="s-curve",$D66+($E66-$D66)*$I$2/(1+EXP($I$3*(COUNT($H$8:AI$8)+$I$4))),TREND($D66:$E66,$D$8:$E$8,AI$8))</f>
        <v>0</v>
      </c>
      <c r="AJ66">
        <f>IF($F66="s-curve",$D66+($E66-$D66)*$I$2/(1+EXP($I$3*(COUNT($H$8:AJ$8)+$I$4))),TREND($D66:$E66,$D$8:$E$8,AJ$8))</f>
        <v>0</v>
      </c>
      <c r="AK66">
        <f>IF($F66="s-curve",$D66+($E66-$D66)*$I$2/(1+EXP($I$3*(COUNT($H$8:AK$8)+$I$4))),TREND($D66:$E66,$D$8:$E$8,AK$8))</f>
        <v>0</v>
      </c>
      <c r="AL66">
        <f>IF($F66="s-curve",$D66+($E66-$D66)*$I$2/(1+EXP($I$3*(COUNT($H$8:AL$8)+$I$4))),TREND($D66:$E66,$D$8:$E$8,AL$8))</f>
        <v>0</v>
      </c>
      <c r="AM66">
        <f>IF($F66="s-curve",$D66+($E66-$D66)*$I$2/(1+EXP($I$3*(COUNT($H$8:AM$8)+$I$4))),TREND($D66:$E66,$D$8:$E$8,AM$8))</f>
        <v>0</v>
      </c>
      <c r="AN66">
        <f>IF($F66="s-curve",$D66+($E66-$D66)*$I$2/(1+EXP($I$3*(COUNT($H$8:AN$8)+$I$4))),TREND($D66:$E66,$D$8:$E$8,AN$8))</f>
        <v>0</v>
      </c>
      <c r="AO66">
        <f>IF($F66="s-curve",$D66+($E66-$D66)*$I$2/(1+EXP($I$3*(COUNT($H$8:AO$8)+$I$4))),TREND($D66:$E66,$D$8:$E$8,AO$8))</f>
        <v>0</v>
      </c>
      <c r="AP66">
        <f>IF($F66="s-curve",$D66+($E66-$D66)*$I$2/(1+EXP($I$3*(COUNT($H$8:AP$8)+$I$4))),TREND($D66:$E66,$D$8:$E$8,AP$8))</f>
        <v>0</v>
      </c>
      <c r="AQ66">
        <f>IF($F66="s-curve",$D66+($E66-$D66)*$I$2/(1+EXP($I$3*(COUNT($H$8:AQ$8)+$I$4))),TREND($D66:$E66,$D$8:$E$8,AQ$8))</f>
        <v>0</v>
      </c>
      <c r="AR66">
        <f>IF($F66="s-curve",$D66+($E66-$D66)*$I$2/(1+EXP($I$3*(COUNT($H$8:AR$8)+$I$4))),TREND($D66:$E66,$D$8:$E$8,AR$8))</f>
        <v>0</v>
      </c>
      <c r="AS66">
        <f>IF($F66="s-curve",$D66+($E66-$D66)*$I$2/(1+EXP($I$3*(COUNT($H$8:AS$8)+$I$4))),TREND($D66:$E66,$D$8:$E$8,AS$8))</f>
        <v>0</v>
      </c>
      <c r="AT66">
        <f>IF($F66="s-curve",$D66+($E66-$D66)*$I$2/(1+EXP($I$3*(COUNT($H$8:AT$8)+$I$4))),TREND($D66:$E66,$D$8:$E$8,AT$8))</f>
        <v>0</v>
      </c>
      <c r="AU66">
        <f>IF($F66="s-curve",$D66+($E66-$D66)*$I$2/(1+EXP($I$3*(COUNT($H$8:AU$8)+$I$4))),TREND($D66:$E66,$D$8:$E$8,AU$8))</f>
        <v>0</v>
      </c>
      <c r="AV66">
        <f>IF($F66="s-curve",$D66+($E66-$D66)*$I$2/(1+EXP($I$3*(COUNT($H$8:AV$8)+$I$4))),TREND($D66:$E66,$D$8:$E$8,AV$8))</f>
        <v>0</v>
      </c>
    </row>
    <row r="67" spans="1:48" x14ac:dyDescent="0.15">
      <c r="C67" t="s">
        <v>3</v>
      </c>
      <c r="D67">
        <f>'SYVbT-passenger'!D6/SUM('SYVbT-passenger'!B6:H6)</f>
        <v>0</v>
      </c>
      <c r="E67">
        <v>1</v>
      </c>
      <c r="F67" s="7" t="str">
        <f>IF(D67=E67,"n/a",IF(OR(C67="battery electric vehicle",C67="natural gas vehicle",C67="plugin hybrid vehicle"),"s-curve","linear"))</f>
        <v>linear</v>
      </c>
      <c r="H67" s="22">
        <f t="shared" si="23"/>
        <v>0</v>
      </c>
      <c r="I67">
        <f>IF($F67="s-curve",$D67+($E67-$D67)*$I$2/(1+EXP($I$3*(COUNT($H$8:I$8)+$I$4))),TREND($D67:$E67,$D$8:$E$8,I$8))</f>
        <v>4.0000000000006253E-2</v>
      </c>
      <c r="J67">
        <f>IF($F67="s-curve",$D67+($E67-$D67)*$I$2/(1+EXP($I$3*(COUNT($H$8:J$8)+$I$4))),TREND($D67:$E67,$D$8:$E$8,J$8))</f>
        <v>7.9999999999998295E-2</v>
      </c>
      <c r="K67">
        <f>IF($F67="s-curve",$D67+($E67-$D67)*$I$2/(1+EXP($I$3*(COUNT($H$8:K$8)+$I$4))),TREND($D67:$E67,$D$8:$E$8,K$8))</f>
        <v>0.12000000000000455</v>
      </c>
      <c r="L67">
        <f>IF($F67="s-curve",$D67+($E67-$D67)*$I$2/(1+EXP($I$3*(COUNT($H$8:L$8)+$I$4))),TREND($D67:$E67,$D$8:$E$8,L$8))</f>
        <v>0.15999999999999659</v>
      </c>
      <c r="M67">
        <f>IF($F67="s-curve",$D67+($E67-$D67)*$I$2/(1+EXP($I$3*(COUNT($H$8:M$8)+$I$4))),TREND($D67:$E67,$D$8:$E$8,M$8))</f>
        <v>0.20000000000000284</v>
      </c>
      <c r="N67">
        <f>IF($F67="s-curve",$D67+($E67-$D67)*$I$2/(1+EXP($I$3*(COUNT($H$8:N$8)+$I$4))),TREND($D67:$E67,$D$8:$E$8,N$8))</f>
        <v>0.23999999999999488</v>
      </c>
      <c r="O67">
        <f>IF($F67="s-curve",$D67+($E67-$D67)*$I$2/(1+EXP($I$3*(COUNT($H$8:O$8)+$I$4))),TREND($D67:$E67,$D$8:$E$8,O$8))</f>
        <v>0.28000000000000114</v>
      </c>
      <c r="P67">
        <f>IF($F67="s-curve",$D67+($E67-$D67)*$I$2/(1+EXP($I$3*(COUNT($H$8:P$8)+$I$4))),TREND($D67:$E67,$D$8:$E$8,P$8))</f>
        <v>0.32000000000000739</v>
      </c>
      <c r="Q67">
        <f>IF($F67="s-curve",$D67+($E67-$D67)*$I$2/(1+EXP($I$3*(COUNT($H$8:Q$8)+$I$4))),TREND($D67:$E67,$D$8:$E$8,Q$8))</f>
        <v>0.35999999999999943</v>
      </c>
      <c r="R67">
        <f>IF($F67="s-curve",$D67+($E67-$D67)*$I$2/(1+EXP($I$3*(COUNT($H$8:R$8)+$I$4))),TREND($D67:$E67,$D$8:$E$8,R$8))</f>
        <v>0.40000000000000568</v>
      </c>
      <c r="S67">
        <f>IF($F67="s-curve",$D67+($E67-$D67)*$I$2/(1+EXP($I$3*(COUNT($H$8:S$8)+$I$4))),TREND($D67:$E67,$D$8:$E$8,S$8))</f>
        <v>0.43999999999999773</v>
      </c>
      <c r="T67">
        <f>IF($F67="s-curve",$D67+($E67-$D67)*$I$2/(1+EXP($I$3*(COUNT($H$8:T$8)+$I$4))),TREND($D67:$E67,$D$8:$E$8,T$8))</f>
        <v>0.48000000000000398</v>
      </c>
      <c r="U67">
        <f>IF($F67="s-curve",$D67+($E67-$D67)*$I$2/(1+EXP($I$3*(COUNT($H$8:U$8)+$I$4))),TREND($D67:$E67,$D$8:$E$8,U$8))</f>
        <v>0.51999999999999602</v>
      </c>
      <c r="V67">
        <f>IF($F67="s-curve",$D67+($E67-$D67)*$I$2/(1+EXP($I$3*(COUNT($H$8:V$8)+$I$4))),TREND($D67:$E67,$D$8:$E$8,V$8))</f>
        <v>0.56000000000000227</v>
      </c>
      <c r="W67">
        <f>IF($F67="s-curve",$D67+($E67-$D67)*$I$2/(1+EXP($I$3*(COUNT($H$8:W$8)+$I$4))),TREND($D67:$E67,$D$8:$E$8,W$8))</f>
        <v>0.60000000000000853</v>
      </c>
      <c r="X67">
        <f>IF($F67="s-curve",$D67+($E67-$D67)*$I$2/(1+EXP($I$3*(COUNT($H$8:X$8)+$I$4))),TREND($D67:$E67,$D$8:$E$8,X$8))</f>
        <v>0.64000000000000057</v>
      </c>
      <c r="Y67">
        <f>IF($F67="s-curve",$D67+($E67-$D67)*$I$2/(1+EXP($I$3*(COUNT($H$8:Y$8)+$I$4))),TREND($D67:$E67,$D$8:$E$8,Y$8))</f>
        <v>0.68000000000000682</v>
      </c>
      <c r="Z67">
        <f>IF($F67="s-curve",$D67+($E67-$D67)*$I$2/(1+EXP($I$3*(COUNT($H$8:Z$8)+$I$4))),TREND($D67:$E67,$D$8:$E$8,Z$8))</f>
        <v>0.71999999999999886</v>
      </c>
      <c r="AA67">
        <f>IF($F67="s-curve",$D67+($E67-$D67)*$I$2/(1+EXP($I$3*(COUNT($H$8:AA$8)+$I$4))),TREND($D67:$E67,$D$8:$E$8,AA$8))</f>
        <v>0.76000000000000512</v>
      </c>
      <c r="AB67">
        <f>IF($F67="s-curve",$D67+($E67-$D67)*$I$2/(1+EXP($I$3*(COUNT($H$8:AB$8)+$I$4))),TREND($D67:$E67,$D$8:$E$8,AB$8))</f>
        <v>0.79999999999999716</v>
      </c>
      <c r="AC67">
        <f>IF($F67="s-curve",$D67+($E67-$D67)*$I$2/(1+EXP($I$3*(COUNT($H$8:AC$8)+$I$4))),TREND($D67:$E67,$D$8:$E$8,AC$8))</f>
        <v>0.84000000000000341</v>
      </c>
      <c r="AD67">
        <f>IF($F67="s-curve",$D67+($E67-$D67)*$I$2/(1+EXP($I$3*(COUNT($H$8:AD$8)+$I$4))),TREND($D67:$E67,$D$8:$E$8,AD$8))</f>
        <v>0.87999999999999545</v>
      </c>
      <c r="AE67">
        <f>IF($F67="s-curve",$D67+($E67-$D67)*$I$2/(1+EXP($I$3*(COUNT($H$8:AE$8)+$I$4))),TREND($D67:$E67,$D$8:$E$8,AE$8))</f>
        <v>0.92000000000000171</v>
      </c>
      <c r="AF67">
        <f>IF($F67="s-curve",$D67+($E67-$D67)*$I$2/(1+EXP($I$3*(COUNT($H$8:AF$8)+$I$4))),TREND($D67:$E67,$D$8:$E$8,AF$8))</f>
        <v>0.96000000000000796</v>
      </c>
      <c r="AG67">
        <f>IF($F67="s-curve",$D67+($E67-$D67)*$I$2/(1+EXP($I$3*(COUNT($H$8:AG$8)+$I$4))),TREND($D67:$E67,$D$8:$E$8,AG$8))</f>
        <v>1</v>
      </c>
      <c r="AH67">
        <f>IF($F67="s-curve",$D67+($E67-$D67)*$I$2/(1+EXP($I$3*(COUNT($H$8:AH$8)+$I$4))),TREND($D67:$E67,$D$8:$E$8,AH$8))</f>
        <v>1.0400000000000063</v>
      </c>
      <c r="AI67">
        <f>IF($F67="s-curve",$D67+($E67-$D67)*$I$2/(1+EXP($I$3*(COUNT($H$8:AI$8)+$I$4))),TREND($D67:$E67,$D$8:$E$8,AI$8))</f>
        <v>1.0799999999999983</v>
      </c>
      <c r="AJ67">
        <f>IF($F67="s-curve",$D67+($E67-$D67)*$I$2/(1+EXP($I$3*(COUNT($H$8:AJ$8)+$I$4))),TREND($D67:$E67,$D$8:$E$8,AJ$8))</f>
        <v>1.1200000000000045</v>
      </c>
      <c r="AK67">
        <f>IF($F67="s-curve",$D67+($E67-$D67)*$I$2/(1+EXP($I$3*(COUNT($H$8:AK$8)+$I$4))),TREND($D67:$E67,$D$8:$E$8,AK$8))</f>
        <v>1.1599999999999966</v>
      </c>
      <c r="AL67">
        <f>IF($F67="s-curve",$D67+($E67-$D67)*$I$2/(1+EXP($I$3*(COUNT($H$8:AL$8)+$I$4))),TREND($D67:$E67,$D$8:$E$8,AL$8))</f>
        <v>1.2000000000000028</v>
      </c>
      <c r="AM67">
        <f>IF($F67="s-curve",$D67+($E67-$D67)*$I$2/(1+EXP($I$3*(COUNT($H$8:AM$8)+$I$4))),TREND($D67:$E67,$D$8:$E$8,AM$8))</f>
        <v>1.2399999999999949</v>
      </c>
      <c r="AN67">
        <f>IF($F67="s-curve",$D67+($E67-$D67)*$I$2/(1+EXP($I$3*(COUNT($H$8:AN$8)+$I$4))),TREND($D67:$E67,$D$8:$E$8,AN$8))</f>
        <v>1.2800000000000011</v>
      </c>
      <c r="AO67">
        <f>IF($F67="s-curve",$D67+($E67-$D67)*$I$2/(1+EXP($I$3*(COUNT($H$8:AO$8)+$I$4))),TREND($D67:$E67,$D$8:$E$8,AO$8))</f>
        <v>1.3200000000000074</v>
      </c>
      <c r="AP67">
        <f>IF($F67="s-curve",$D67+($E67-$D67)*$I$2/(1+EXP($I$3*(COUNT($H$8:AP$8)+$I$4))),TREND($D67:$E67,$D$8:$E$8,AP$8))</f>
        <v>1.3599999999999994</v>
      </c>
      <c r="AQ67">
        <f>IF($F67="s-curve",$D67+($E67-$D67)*$I$2/(1+EXP($I$3*(COUNT($H$8:AQ$8)+$I$4))),TREND($D67:$E67,$D$8:$E$8,AQ$8))</f>
        <v>1.4000000000000057</v>
      </c>
      <c r="AR67">
        <f>IF($F67="s-curve",$D67+($E67-$D67)*$I$2/(1+EXP($I$3*(COUNT($H$8:AR$8)+$I$4))),TREND($D67:$E67,$D$8:$E$8,AR$8))</f>
        <v>1.4399999999999977</v>
      </c>
      <c r="AS67">
        <f>IF($F67="s-curve",$D67+($E67-$D67)*$I$2/(1+EXP($I$3*(COUNT($H$8:AS$8)+$I$4))),TREND($D67:$E67,$D$8:$E$8,AS$8))</f>
        <v>1.480000000000004</v>
      </c>
      <c r="AT67">
        <f>IF($F67="s-curve",$D67+($E67-$D67)*$I$2/(1+EXP($I$3*(COUNT($H$8:AT$8)+$I$4))),TREND($D67:$E67,$D$8:$E$8,AT$8))</f>
        <v>1.519999999999996</v>
      </c>
      <c r="AU67">
        <f>IF($F67="s-curve",$D67+($E67-$D67)*$I$2/(1+EXP($I$3*(COUNT($H$8:AU$8)+$I$4))),TREND($D67:$E67,$D$8:$E$8,AU$8))</f>
        <v>1.5600000000000023</v>
      </c>
      <c r="AV67">
        <f>IF($F67="s-curve",$D67+($E67-$D67)*$I$2/(1+EXP($I$3*(COUNT($H$8:AV$8)+$I$4))),TREND($D67:$E67,$D$8:$E$8,AV$8))</f>
        <v>1.6000000000000085</v>
      </c>
    </row>
    <row r="68" spans="1:48" x14ac:dyDescent="0.15">
      <c r="C68" t="s">
        <v>4</v>
      </c>
      <c r="D68">
        <f>'SYVbT-passenger'!E6/SUM('SYVbT-passenger'!B6:H6)</f>
        <v>0.71149425287356327</v>
      </c>
      <c r="E68">
        <v>1</v>
      </c>
      <c r="F68" s="7" t="str">
        <f>IF(D68=E68,"n/a",IF(OR(C68="battery electric vehicle",C68="natural gas vehicle",C68="plugin hybrid vehicle"),"s-curve","linear"))</f>
        <v>linear</v>
      </c>
      <c r="H68" s="22">
        <f t="shared" si="23"/>
        <v>0.71149425287356327</v>
      </c>
      <c r="I68">
        <f>IF($F68="s-curve",$D68+($E68-$D68)*$I$2/(1+EXP($I$3*(COUNT($H$8:I$8)+$I$4))),TREND($D68:$E68,$D$8:$E$8,I$8))</f>
        <v>0.72303448275862081</v>
      </c>
      <c r="J68">
        <f>IF($F68="s-curve",$D68+($E68-$D68)*$I$2/(1+EXP($I$3*(COUNT($H$8:J$8)+$I$4))),TREND($D68:$E68,$D$8:$E$8,J$8))</f>
        <v>0.73457471264367769</v>
      </c>
      <c r="K68">
        <f>IF($F68="s-curve",$D68+($E68-$D68)*$I$2/(1+EXP($I$3*(COUNT($H$8:K$8)+$I$4))),TREND($D68:$E68,$D$8:$E$8,K$8))</f>
        <v>0.74611494252873811</v>
      </c>
      <c r="L68">
        <f>IF($F68="s-curve",$D68+($E68-$D68)*$I$2/(1+EXP($I$3*(COUNT($H$8:L$8)+$I$4))),TREND($D68:$E68,$D$8:$E$8,L$8))</f>
        <v>0.75765517241379499</v>
      </c>
      <c r="M68">
        <f>IF($F68="s-curve",$D68+($E68-$D68)*$I$2/(1+EXP($I$3*(COUNT($H$8:M$8)+$I$4))),TREND($D68:$E68,$D$8:$E$8,M$8))</f>
        <v>0.76919540229885186</v>
      </c>
      <c r="N68">
        <f>IF($F68="s-curve",$D68+($E68-$D68)*$I$2/(1+EXP($I$3*(COUNT($H$8:N$8)+$I$4))),TREND($D68:$E68,$D$8:$E$8,N$8))</f>
        <v>0.78073563218390873</v>
      </c>
      <c r="O68">
        <f>IF($F68="s-curve",$D68+($E68-$D68)*$I$2/(1+EXP($I$3*(COUNT($H$8:O$8)+$I$4))),TREND($D68:$E68,$D$8:$E$8,O$8))</f>
        <v>0.79227586206896561</v>
      </c>
      <c r="P68">
        <f>IF($F68="s-curve",$D68+($E68-$D68)*$I$2/(1+EXP($I$3*(COUNT($H$8:P$8)+$I$4))),TREND($D68:$E68,$D$8:$E$8,P$8))</f>
        <v>0.80381609195402248</v>
      </c>
      <c r="Q68">
        <f>IF($F68="s-curve",$D68+($E68-$D68)*$I$2/(1+EXP($I$3*(COUNT($H$8:Q$8)+$I$4))),TREND($D68:$E68,$D$8:$E$8,Q$8))</f>
        <v>0.81535632183908291</v>
      </c>
      <c r="R68">
        <f>IF($F68="s-curve",$D68+($E68-$D68)*$I$2/(1+EXP($I$3*(COUNT($H$8:R$8)+$I$4))),TREND($D68:$E68,$D$8:$E$8,R$8))</f>
        <v>0.82689655172413978</v>
      </c>
      <c r="S68">
        <f>IF($F68="s-curve",$D68+($E68-$D68)*$I$2/(1+EXP($I$3*(COUNT($H$8:S$8)+$I$4))),TREND($D68:$E68,$D$8:$E$8,S$8))</f>
        <v>0.83843678160919666</v>
      </c>
      <c r="T68">
        <f>IF($F68="s-curve",$D68+($E68-$D68)*$I$2/(1+EXP($I$3*(COUNT($H$8:T$8)+$I$4))),TREND($D68:$E68,$D$8:$E$8,T$8))</f>
        <v>0.84997701149425353</v>
      </c>
      <c r="U68">
        <f>IF($F68="s-curve",$D68+($E68-$D68)*$I$2/(1+EXP($I$3*(COUNT($H$8:U$8)+$I$4))),TREND($D68:$E68,$D$8:$E$8,U$8))</f>
        <v>0.86151724137931041</v>
      </c>
      <c r="V68">
        <f>IF($F68="s-curve",$D68+($E68-$D68)*$I$2/(1+EXP($I$3*(COUNT($H$8:V$8)+$I$4))),TREND($D68:$E68,$D$8:$E$8,V$8))</f>
        <v>0.87305747126436728</v>
      </c>
      <c r="W68">
        <f>IF($F68="s-curve",$D68+($E68-$D68)*$I$2/(1+EXP($I$3*(COUNT($H$8:W$8)+$I$4))),TREND($D68:$E68,$D$8:$E$8,W$8))</f>
        <v>0.88459770114942771</v>
      </c>
      <c r="X68">
        <f>IF($F68="s-curve",$D68+($E68-$D68)*$I$2/(1+EXP($I$3*(COUNT($H$8:X$8)+$I$4))),TREND($D68:$E68,$D$8:$E$8,X$8))</f>
        <v>0.89613793103448458</v>
      </c>
      <c r="Y68">
        <f>IF($F68="s-curve",$D68+($E68-$D68)*$I$2/(1+EXP($I$3*(COUNT($H$8:Y$8)+$I$4))),TREND($D68:$E68,$D$8:$E$8,Y$8))</f>
        <v>0.90767816091954145</v>
      </c>
      <c r="Z68">
        <f>IF($F68="s-curve",$D68+($E68-$D68)*$I$2/(1+EXP($I$3*(COUNT($H$8:Z$8)+$I$4))),TREND($D68:$E68,$D$8:$E$8,Z$8))</f>
        <v>0.91921839080459833</v>
      </c>
      <c r="AA68">
        <f>IF($F68="s-curve",$D68+($E68-$D68)*$I$2/(1+EXP($I$3*(COUNT($H$8:AA$8)+$I$4))),TREND($D68:$E68,$D$8:$E$8,AA$8))</f>
        <v>0.9307586206896552</v>
      </c>
      <c r="AB68">
        <f>IF($F68="s-curve",$D68+($E68-$D68)*$I$2/(1+EXP($I$3*(COUNT($H$8:AB$8)+$I$4))),TREND($D68:$E68,$D$8:$E$8,AB$8))</f>
        <v>0.94229885057471208</v>
      </c>
      <c r="AC68">
        <f>IF($F68="s-curve",$D68+($E68-$D68)*$I$2/(1+EXP($I$3*(COUNT($H$8:AC$8)+$I$4))),TREND($D68:$E68,$D$8:$E$8,AC$8))</f>
        <v>0.9538390804597725</v>
      </c>
      <c r="AD68">
        <f>IF($F68="s-curve",$D68+($E68-$D68)*$I$2/(1+EXP($I$3*(COUNT($H$8:AD$8)+$I$4))),TREND($D68:$E68,$D$8:$E$8,AD$8))</f>
        <v>0.96537931034482938</v>
      </c>
      <c r="AE68">
        <f>IF($F68="s-curve",$D68+($E68-$D68)*$I$2/(1+EXP($I$3*(COUNT($H$8:AE$8)+$I$4))),TREND($D68:$E68,$D$8:$E$8,AE$8))</f>
        <v>0.97691954022988625</v>
      </c>
      <c r="AF68">
        <f>IF($F68="s-curve",$D68+($E68-$D68)*$I$2/(1+EXP($I$3*(COUNT($H$8:AF$8)+$I$4))),TREND($D68:$E68,$D$8:$E$8,AF$8))</f>
        <v>0.98845977011494313</v>
      </c>
      <c r="AG68">
        <f>IF($F68="s-curve",$D68+($E68-$D68)*$I$2/(1+EXP($I$3*(COUNT($H$8:AG$8)+$I$4))),TREND($D68:$E68,$D$8:$E$8,AG$8))</f>
        <v>1</v>
      </c>
      <c r="AH68">
        <f>IF($F68="s-curve",$D68+($E68-$D68)*$I$2/(1+EXP($I$3*(COUNT($H$8:AH$8)+$I$4))),TREND($D68:$E68,$D$8:$E$8,AH$8))</f>
        <v>1.0115402298850604</v>
      </c>
      <c r="AI68">
        <f>IF($F68="s-curve",$D68+($E68-$D68)*$I$2/(1+EXP($I$3*(COUNT($H$8:AI$8)+$I$4))),TREND($D68:$E68,$D$8:$E$8,AI$8))</f>
        <v>1.0230804597701173</v>
      </c>
      <c r="AJ68">
        <f>IF($F68="s-curve",$D68+($E68-$D68)*$I$2/(1+EXP($I$3*(COUNT($H$8:AJ$8)+$I$4))),TREND($D68:$E68,$D$8:$E$8,AJ$8))</f>
        <v>1.0346206896551742</v>
      </c>
      <c r="AK68">
        <f>IF($F68="s-curve",$D68+($E68-$D68)*$I$2/(1+EXP($I$3*(COUNT($H$8:AK$8)+$I$4))),TREND($D68:$E68,$D$8:$E$8,AK$8))</f>
        <v>1.046160919540231</v>
      </c>
      <c r="AL68">
        <f>IF($F68="s-curve",$D68+($E68-$D68)*$I$2/(1+EXP($I$3*(COUNT($H$8:AL$8)+$I$4))),TREND($D68:$E68,$D$8:$E$8,AL$8))</f>
        <v>1.0577011494252879</v>
      </c>
      <c r="AM68">
        <f>IF($F68="s-curve",$D68+($E68-$D68)*$I$2/(1+EXP($I$3*(COUNT($H$8:AM$8)+$I$4))),TREND($D68:$E68,$D$8:$E$8,AM$8))</f>
        <v>1.0692413793103448</v>
      </c>
      <c r="AN68">
        <f>IF($F68="s-curve",$D68+($E68-$D68)*$I$2/(1+EXP($I$3*(COUNT($H$8:AN$8)+$I$4))),TREND($D68:$E68,$D$8:$E$8,AN$8))</f>
        <v>1.0807816091954052</v>
      </c>
      <c r="AO68">
        <f>IF($F68="s-curve",$D68+($E68-$D68)*$I$2/(1+EXP($I$3*(COUNT($H$8:AO$8)+$I$4))),TREND($D68:$E68,$D$8:$E$8,AO$8))</f>
        <v>1.0923218390804621</v>
      </c>
      <c r="AP68">
        <f>IF($F68="s-curve",$D68+($E68-$D68)*$I$2/(1+EXP($I$3*(COUNT($H$8:AP$8)+$I$4))),TREND($D68:$E68,$D$8:$E$8,AP$8))</f>
        <v>1.103862068965519</v>
      </c>
      <c r="AQ68">
        <f>IF($F68="s-curve",$D68+($E68-$D68)*$I$2/(1+EXP($I$3*(COUNT($H$8:AQ$8)+$I$4))),TREND($D68:$E68,$D$8:$E$8,AQ$8))</f>
        <v>1.1154022988505758</v>
      </c>
      <c r="AR68">
        <f>IF($F68="s-curve",$D68+($E68-$D68)*$I$2/(1+EXP($I$3*(COUNT($H$8:AR$8)+$I$4))),TREND($D68:$E68,$D$8:$E$8,AR$8))</f>
        <v>1.1269425287356327</v>
      </c>
      <c r="AS68">
        <f>IF($F68="s-curve",$D68+($E68-$D68)*$I$2/(1+EXP($I$3*(COUNT($H$8:AS$8)+$I$4))),TREND($D68:$E68,$D$8:$E$8,AS$8))</f>
        <v>1.1384827586206896</v>
      </c>
      <c r="AT68">
        <f>IF($F68="s-curve",$D68+($E68-$D68)*$I$2/(1+EXP($I$3*(COUNT($H$8:AT$8)+$I$4))),TREND($D68:$E68,$D$8:$E$8,AT$8))</f>
        <v>1.15002298850575</v>
      </c>
      <c r="AU68">
        <f>IF($F68="s-curve",$D68+($E68-$D68)*$I$2/(1+EXP($I$3*(COUNT($H$8:AU$8)+$I$4))),TREND($D68:$E68,$D$8:$E$8,AU$8))</f>
        <v>1.1615632183908069</v>
      </c>
      <c r="AV68">
        <f>IF($F68="s-curve",$D68+($E68-$D68)*$I$2/(1+EXP($I$3*(COUNT($H$8:AV$8)+$I$4))),TREND($D68:$E68,$D$8:$E$8,AV$8))</f>
        <v>1.1731034482758638</v>
      </c>
    </row>
    <row r="69" spans="1:48" x14ac:dyDescent="0.15">
      <c r="C69" t="s">
        <v>5</v>
      </c>
      <c r="D69">
        <v>0</v>
      </c>
      <c r="E69">
        <v>0</v>
      </c>
      <c r="F69" s="7" t="str">
        <f>IF(D69=E69,"n/a",IF(OR(C69="battery electric vehicle",C69="natural gas vehicle",C69="plugin hybrid vehicle"),"s-curve","linear"))</f>
        <v>n/a</v>
      </c>
      <c r="H69" s="22">
        <f t="shared" si="23"/>
        <v>0</v>
      </c>
      <c r="I69">
        <f>IF($F69="s-curve",$D69+($E69-$D69)*$I$2/(1+EXP($I$3*(COUNT($H$8:I$8)+$I$4))),TREND($D69:$E69,$D$8:$E$8,I$8))</f>
        <v>0</v>
      </c>
      <c r="J69">
        <f>IF($F69="s-curve",$D69+($E69-$D69)*$I$2/(1+EXP($I$3*(COUNT($H$8:J$8)+$I$4))),TREND($D69:$E69,$D$8:$E$8,J$8))</f>
        <v>0</v>
      </c>
      <c r="K69">
        <f>IF($F69="s-curve",$D69+($E69-$D69)*$I$2/(1+EXP($I$3*(COUNT($H$8:K$8)+$I$4))),TREND($D69:$E69,$D$8:$E$8,K$8))</f>
        <v>0</v>
      </c>
      <c r="L69">
        <f>IF($F69="s-curve",$D69+($E69-$D69)*$I$2/(1+EXP($I$3*(COUNT($H$8:L$8)+$I$4))),TREND($D69:$E69,$D$8:$E$8,L$8))</f>
        <v>0</v>
      </c>
      <c r="M69">
        <f>IF($F69="s-curve",$D69+($E69-$D69)*$I$2/(1+EXP($I$3*(COUNT($H$8:M$8)+$I$4))),TREND($D69:$E69,$D$8:$E$8,M$8))</f>
        <v>0</v>
      </c>
      <c r="N69">
        <f>IF($F69="s-curve",$D69+($E69-$D69)*$I$2/(1+EXP($I$3*(COUNT($H$8:N$8)+$I$4))),TREND($D69:$E69,$D$8:$E$8,N$8))</f>
        <v>0</v>
      </c>
      <c r="O69">
        <f>IF($F69="s-curve",$D69+($E69-$D69)*$I$2/(1+EXP($I$3*(COUNT($H$8:O$8)+$I$4))),TREND($D69:$E69,$D$8:$E$8,O$8))</f>
        <v>0</v>
      </c>
      <c r="P69">
        <f>IF($F69="s-curve",$D69+($E69-$D69)*$I$2/(1+EXP($I$3*(COUNT($H$8:P$8)+$I$4))),TREND($D69:$E69,$D$8:$E$8,P$8))</f>
        <v>0</v>
      </c>
      <c r="Q69">
        <f>IF($F69="s-curve",$D69+($E69-$D69)*$I$2/(1+EXP($I$3*(COUNT($H$8:Q$8)+$I$4))),TREND($D69:$E69,$D$8:$E$8,Q$8))</f>
        <v>0</v>
      </c>
      <c r="R69">
        <f>IF($F69="s-curve",$D69+($E69-$D69)*$I$2/(1+EXP($I$3*(COUNT($H$8:R$8)+$I$4))),TREND($D69:$E69,$D$8:$E$8,R$8))</f>
        <v>0</v>
      </c>
      <c r="S69">
        <f>IF($F69="s-curve",$D69+($E69-$D69)*$I$2/(1+EXP($I$3*(COUNT($H$8:S$8)+$I$4))),TREND($D69:$E69,$D$8:$E$8,S$8))</f>
        <v>0</v>
      </c>
      <c r="T69">
        <f>IF($F69="s-curve",$D69+($E69-$D69)*$I$2/(1+EXP($I$3*(COUNT($H$8:T$8)+$I$4))),TREND($D69:$E69,$D$8:$E$8,T$8))</f>
        <v>0</v>
      </c>
      <c r="U69">
        <f>IF($F69="s-curve",$D69+($E69-$D69)*$I$2/(1+EXP($I$3*(COUNT($H$8:U$8)+$I$4))),TREND($D69:$E69,$D$8:$E$8,U$8))</f>
        <v>0</v>
      </c>
      <c r="V69">
        <f>IF($F69="s-curve",$D69+($E69-$D69)*$I$2/(1+EXP($I$3*(COUNT($H$8:V$8)+$I$4))),TREND($D69:$E69,$D$8:$E$8,V$8))</f>
        <v>0</v>
      </c>
      <c r="W69">
        <f>IF($F69="s-curve",$D69+($E69-$D69)*$I$2/(1+EXP($I$3*(COUNT($H$8:W$8)+$I$4))),TREND($D69:$E69,$D$8:$E$8,W$8))</f>
        <v>0</v>
      </c>
      <c r="X69">
        <f>IF($F69="s-curve",$D69+($E69-$D69)*$I$2/(1+EXP($I$3*(COUNT($H$8:X$8)+$I$4))),TREND($D69:$E69,$D$8:$E$8,X$8))</f>
        <v>0</v>
      </c>
      <c r="Y69">
        <f>IF($F69="s-curve",$D69+($E69-$D69)*$I$2/(1+EXP($I$3*(COUNT($H$8:Y$8)+$I$4))),TREND($D69:$E69,$D$8:$E$8,Y$8))</f>
        <v>0</v>
      </c>
      <c r="Z69">
        <f>IF($F69="s-curve",$D69+($E69-$D69)*$I$2/(1+EXP($I$3*(COUNT($H$8:Z$8)+$I$4))),TREND($D69:$E69,$D$8:$E$8,Z$8))</f>
        <v>0</v>
      </c>
      <c r="AA69">
        <f>IF($F69="s-curve",$D69+($E69-$D69)*$I$2/(1+EXP($I$3*(COUNT($H$8:AA$8)+$I$4))),TREND($D69:$E69,$D$8:$E$8,AA$8))</f>
        <v>0</v>
      </c>
      <c r="AB69">
        <f>IF($F69="s-curve",$D69+($E69-$D69)*$I$2/(1+EXP($I$3*(COUNT($H$8:AB$8)+$I$4))),TREND($D69:$E69,$D$8:$E$8,AB$8))</f>
        <v>0</v>
      </c>
      <c r="AC69">
        <f>IF($F69="s-curve",$D69+($E69-$D69)*$I$2/(1+EXP($I$3*(COUNT($H$8:AC$8)+$I$4))),TREND($D69:$E69,$D$8:$E$8,AC$8))</f>
        <v>0</v>
      </c>
      <c r="AD69">
        <f>IF($F69="s-curve",$D69+($E69-$D69)*$I$2/(1+EXP($I$3*(COUNT($H$8:AD$8)+$I$4))),TREND($D69:$E69,$D$8:$E$8,AD$8))</f>
        <v>0</v>
      </c>
      <c r="AE69">
        <f>IF($F69="s-curve",$D69+($E69-$D69)*$I$2/(1+EXP($I$3*(COUNT($H$8:AE$8)+$I$4))),TREND($D69:$E69,$D$8:$E$8,AE$8))</f>
        <v>0</v>
      </c>
      <c r="AF69">
        <f>IF($F69="s-curve",$D69+($E69-$D69)*$I$2/(1+EXP($I$3*(COUNT($H$8:AF$8)+$I$4))),TREND($D69:$E69,$D$8:$E$8,AF$8))</f>
        <v>0</v>
      </c>
      <c r="AG69">
        <f>IF($F69="s-curve",$D69+($E69-$D69)*$I$2/(1+EXP($I$3*(COUNT($H$8:AG$8)+$I$4))),TREND($D69:$E69,$D$8:$E$8,AG$8))</f>
        <v>0</v>
      </c>
      <c r="AH69">
        <f>IF($F69="s-curve",$D69+($E69-$D69)*$I$2/(1+EXP($I$3*(COUNT($H$8:AH$8)+$I$4))),TREND($D69:$E69,$D$8:$E$8,AH$8))</f>
        <v>0</v>
      </c>
      <c r="AI69">
        <f>IF($F69="s-curve",$D69+($E69-$D69)*$I$2/(1+EXP($I$3*(COUNT($H$8:AI$8)+$I$4))),TREND($D69:$E69,$D$8:$E$8,AI$8))</f>
        <v>0</v>
      </c>
      <c r="AJ69">
        <f>IF($F69="s-curve",$D69+($E69-$D69)*$I$2/(1+EXP($I$3*(COUNT($H$8:AJ$8)+$I$4))),TREND($D69:$E69,$D$8:$E$8,AJ$8))</f>
        <v>0</v>
      </c>
      <c r="AK69">
        <f>IF($F69="s-curve",$D69+($E69-$D69)*$I$2/(1+EXP($I$3*(COUNT($H$8:AK$8)+$I$4))),TREND($D69:$E69,$D$8:$E$8,AK$8))</f>
        <v>0</v>
      </c>
      <c r="AL69">
        <f>IF($F69="s-curve",$D69+($E69-$D69)*$I$2/(1+EXP($I$3*(COUNT($H$8:AL$8)+$I$4))),TREND($D69:$E69,$D$8:$E$8,AL$8))</f>
        <v>0</v>
      </c>
      <c r="AM69">
        <f>IF($F69="s-curve",$D69+($E69-$D69)*$I$2/(1+EXP($I$3*(COUNT($H$8:AM$8)+$I$4))),TREND($D69:$E69,$D$8:$E$8,AM$8))</f>
        <v>0</v>
      </c>
      <c r="AN69">
        <f>IF($F69="s-curve",$D69+($E69-$D69)*$I$2/(1+EXP($I$3*(COUNT($H$8:AN$8)+$I$4))),TREND($D69:$E69,$D$8:$E$8,AN$8))</f>
        <v>0</v>
      </c>
      <c r="AO69">
        <f>IF($F69="s-curve",$D69+($E69-$D69)*$I$2/(1+EXP($I$3*(COUNT($H$8:AO$8)+$I$4))),TREND($D69:$E69,$D$8:$E$8,AO$8))</f>
        <v>0</v>
      </c>
      <c r="AP69">
        <f>IF($F69="s-curve",$D69+($E69-$D69)*$I$2/(1+EXP($I$3*(COUNT($H$8:AP$8)+$I$4))),TREND($D69:$E69,$D$8:$E$8,AP$8))</f>
        <v>0</v>
      </c>
      <c r="AQ69">
        <f>IF($F69="s-curve",$D69+($E69-$D69)*$I$2/(1+EXP($I$3*(COUNT($H$8:AQ$8)+$I$4))),TREND($D69:$E69,$D$8:$E$8,AQ$8))</f>
        <v>0</v>
      </c>
      <c r="AR69">
        <f>IF($F69="s-curve",$D69+($E69-$D69)*$I$2/(1+EXP($I$3*(COUNT($H$8:AR$8)+$I$4))),TREND($D69:$E69,$D$8:$E$8,AR$8))</f>
        <v>0</v>
      </c>
      <c r="AS69">
        <f>IF($F69="s-curve",$D69+($E69-$D69)*$I$2/(1+EXP($I$3*(COUNT($H$8:AS$8)+$I$4))),TREND($D69:$E69,$D$8:$E$8,AS$8))</f>
        <v>0</v>
      </c>
      <c r="AT69">
        <f>IF($F69="s-curve",$D69+($E69-$D69)*$I$2/(1+EXP($I$3*(COUNT($H$8:AT$8)+$I$4))),TREND($D69:$E69,$D$8:$E$8,AT$8))</f>
        <v>0</v>
      </c>
      <c r="AU69">
        <f>IF($F69="s-curve",$D69+($E69-$D69)*$I$2/(1+EXP($I$3*(COUNT($H$8:AU$8)+$I$4))),TREND($D69:$E69,$D$8:$E$8,AU$8))</f>
        <v>0</v>
      </c>
      <c r="AV69">
        <f>IF($F69="s-curve",$D69+($E69-$D69)*$I$2/(1+EXP($I$3*(COUNT($H$8:AV$8)+$I$4))),TREND($D69:$E69,$D$8:$E$8,AV$8))</f>
        <v>0</v>
      </c>
    </row>
    <row r="70" spans="1:48" x14ac:dyDescent="0.15">
      <c r="C70" t="s">
        <v>125</v>
      </c>
      <c r="D70">
        <v>0</v>
      </c>
      <c r="E70">
        <v>0</v>
      </c>
      <c r="F70" s="7" t="str">
        <f>IF(D70=E70,"n/a",IF(OR(C70="battery electric vehicle",C70="natural gas vehicle",C70="plugin hybrid vehicle",C70="hydrogen vehicle"),"s-curve","linear"))</f>
        <v>n/a</v>
      </c>
      <c r="H70" s="22">
        <f t="shared" si="23"/>
        <v>0</v>
      </c>
      <c r="I70">
        <f>IF($F70="s-curve",$D70+($E70-$D70)*$I$2/(1+EXP($I$3*(COUNT($H$8:I$8)+$I$4))),TREND($D70:$E70,$D$8:$E$8,I$8))</f>
        <v>0</v>
      </c>
      <c r="J70">
        <f>IF($F70="s-curve",$D70+($E70-$D70)*$I$2/(1+EXP($I$3*(COUNT($H$8:J$8)+$I$4))),TREND($D70:$E70,$D$8:$E$8,J$8))</f>
        <v>0</v>
      </c>
      <c r="K70">
        <f>IF($F70="s-curve",$D70+($E70-$D70)*$I$2/(1+EXP($I$3*(COUNT($H$8:K$8)+$I$4))),TREND($D70:$E70,$D$8:$E$8,K$8))</f>
        <v>0</v>
      </c>
      <c r="L70">
        <f>IF($F70="s-curve",$D70+($E70-$D70)*$I$2/(1+EXP($I$3*(COUNT($H$8:L$8)+$I$4))),TREND($D70:$E70,$D$8:$E$8,L$8))</f>
        <v>0</v>
      </c>
      <c r="M70">
        <f>IF($F70="s-curve",$D70+($E70-$D70)*$I$2/(1+EXP($I$3*(COUNT($H$8:M$8)+$I$4))),TREND($D70:$E70,$D$8:$E$8,M$8))</f>
        <v>0</v>
      </c>
      <c r="N70">
        <f>IF($F70="s-curve",$D70+($E70-$D70)*$I$2/(1+EXP($I$3*(COUNT($H$8:N$8)+$I$4))),TREND($D70:$E70,$D$8:$E$8,N$8))</f>
        <v>0</v>
      </c>
      <c r="O70">
        <f>IF($F70="s-curve",$D70+($E70-$D70)*$I$2/(1+EXP($I$3*(COUNT($H$8:O$8)+$I$4))),TREND($D70:$E70,$D$8:$E$8,O$8))</f>
        <v>0</v>
      </c>
      <c r="P70">
        <f>IF($F70="s-curve",$D70+($E70-$D70)*$I$2/(1+EXP($I$3*(COUNT($H$8:P$8)+$I$4))),TREND($D70:$E70,$D$8:$E$8,P$8))</f>
        <v>0</v>
      </c>
      <c r="Q70">
        <f>IF($F70="s-curve",$D70+($E70-$D70)*$I$2/(1+EXP($I$3*(COUNT($H$8:Q$8)+$I$4))),TREND($D70:$E70,$D$8:$E$8,Q$8))</f>
        <v>0</v>
      </c>
      <c r="R70">
        <f>IF($F70="s-curve",$D70+($E70-$D70)*$I$2/(1+EXP($I$3*(COUNT($H$8:R$8)+$I$4))),TREND($D70:$E70,$D$8:$E$8,R$8))</f>
        <v>0</v>
      </c>
      <c r="S70">
        <f>IF($F70="s-curve",$D70+($E70-$D70)*$I$2/(1+EXP($I$3*(COUNT($H$8:S$8)+$I$4))),TREND($D70:$E70,$D$8:$E$8,S$8))</f>
        <v>0</v>
      </c>
      <c r="T70">
        <f>IF($F70="s-curve",$D70+($E70-$D70)*$I$2/(1+EXP($I$3*(COUNT($H$8:T$8)+$I$4))),TREND($D70:$E70,$D$8:$E$8,T$8))</f>
        <v>0</v>
      </c>
      <c r="U70">
        <f>IF($F70="s-curve",$D70+($E70-$D70)*$I$2/(1+EXP($I$3*(COUNT($H$8:U$8)+$I$4))),TREND($D70:$E70,$D$8:$E$8,U$8))</f>
        <v>0</v>
      </c>
      <c r="V70">
        <f>IF($F70="s-curve",$D70+($E70-$D70)*$I$2/(1+EXP($I$3*(COUNT($H$8:V$8)+$I$4))),TREND($D70:$E70,$D$8:$E$8,V$8))</f>
        <v>0</v>
      </c>
      <c r="W70">
        <f>IF($F70="s-curve",$D70+($E70-$D70)*$I$2/(1+EXP($I$3*(COUNT($H$8:W$8)+$I$4))),TREND($D70:$E70,$D$8:$E$8,W$8))</f>
        <v>0</v>
      </c>
      <c r="X70">
        <f>IF($F70="s-curve",$D70+($E70-$D70)*$I$2/(1+EXP($I$3*(COUNT($H$8:X$8)+$I$4))),TREND($D70:$E70,$D$8:$E$8,X$8))</f>
        <v>0</v>
      </c>
      <c r="Y70">
        <f>IF($F70="s-curve",$D70+($E70-$D70)*$I$2/(1+EXP($I$3*(COUNT($H$8:Y$8)+$I$4))),TREND($D70:$E70,$D$8:$E$8,Y$8))</f>
        <v>0</v>
      </c>
      <c r="Z70">
        <f>IF($F70="s-curve",$D70+($E70-$D70)*$I$2/(1+EXP($I$3*(COUNT($H$8:Z$8)+$I$4))),TREND($D70:$E70,$D$8:$E$8,Z$8))</f>
        <v>0</v>
      </c>
      <c r="AA70">
        <f>IF($F70="s-curve",$D70+($E70-$D70)*$I$2/(1+EXP($I$3*(COUNT($H$8:AA$8)+$I$4))),TREND($D70:$E70,$D$8:$E$8,AA$8))</f>
        <v>0</v>
      </c>
      <c r="AB70">
        <f>IF($F70="s-curve",$D70+($E70-$D70)*$I$2/(1+EXP($I$3*(COUNT($H$8:AB$8)+$I$4))),TREND($D70:$E70,$D$8:$E$8,AB$8))</f>
        <v>0</v>
      </c>
      <c r="AC70">
        <f>IF($F70="s-curve",$D70+($E70-$D70)*$I$2/(1+EXP($I$3*(COUNT($H$8:AC$8)+$I$4))),TREND($D70:$E70,$D$8:$E$8,AC$8))</f>
        <v>0</v>
      </c>
      <c r="AD70">
        <f>IF($F70="s-curve",$D70+($E70-$D70)*$I$2/(1+EXP($I$3*(COUNT($H$8:AD$8)+$I$4))),TREND($D70:$E70,$D$8:$E$8,AD$8))</f>
        <v>0</v>
      </c>
      <c r="AE70">
        <f>IF($F70="s-curve",$D70+($E70-$D70)*$I$2/(1+EXP($I$3*(COUNT($H$8:AE$8)+$I$4))),TREND($D70:$E70,$D$8:$E$8,AE$8))</f>
        <v>0</v>
      </c>
      <c r="AF70">
        <f>IF($F70="s-curve",$D70+($E70-$D70)*$I$2/(1+EXP($I$3*(COUNT($H$8:AF$8)+$I$4))),TREND($D70:$E70,$D$8:$E$8,AF$8))</f>
        <v>0</v>
      </c>
      <c r="AG70">
        <f>IF($F70="s-curve",$D70+($E70-$D70)*$I$2/(1+EXP($I$3*(COUNT($H$8:AG$8)+$I$4))),TREND($D70:$E70,$D$8:$E$8,AG$8))</f>
        <v>0</v>
      </c>
      <c r="AH70">
        <f>IF($F70="s-curve",$D70+($E70-$D70)*$I$2/(1+EXP($I$3*(COUNT($H$8:AH$8)+$I$4))),TREND($D70:$E70,$D$8:$E$8,AH$8))</f>
        <v>0</v>
      </c>
      <c r="AI70">
        <f>IF($F70="s-curve",$D70+($E70-$D70)*$I$2/(1+EXP($I$3*(COUNT($H$8:AI$8)+$I$4))),TREND($D70:$E70,$D$8:$E$8,AI$8))</f>
        <v>0</v>
      </c>
      <c r="AJ70">
        <f>IF($F70="s-curve",$D70+($E70-$D70)*$I$2/(1+EXP($I$3*(COUNT($H$8:AJ$8)+$I$4))),TREND($D70:$E70,$D$8:$E$8,AJ$8))</f>
        <v>0</v>
      </c>
      <c r="AK70">
        <f>IF($F70="s-curve",$D70+($E70-$D70)*$I$2/(1+EXP($I$3*(COUNT($H$8:AK$8)+$I$4))),TREND($D70:$E70,$D$8:$E$8,AK$8))</f>
        <v>0</v>
      </c>
      <c r="AL70">
        <f>IF($F70="s-curve",$D70+($E70-$D70)*$I$2/(1+EXP($I$3*(COUNT($H$8:AL$8)+$I$4))),TREND($D70:$E70,$D$8:$E$8,AL$8))</f>
        <v>0</v>
      </c>
      <c r="AM70">
        <f>IF($F70="s-curve",$D70+($E70-$D70)*$I$2/(1+EXP($I$3*(COUNT($H$8:AM$8)+$I$4))),TREND($D70:$E70,$D$8:$E$8,AM$8))</f>
        <v>0</v>
      </c>
      <c r="AN70">
        <f>IF($F70="s-curve",$D70+($E70-$D70)*$I$2/(1+EXP($I$3*(COUNT($H$8:AN$8)+$I$4))),TREND($D70:$E70,$D$8:$E$8,AN$8))</f>
        <v>0</v>
      </c>
      <c r="AO70">
        <f>IF($F70="s-curve",$D70+($E70-$D70)*$I$2/(1+EXP($I$3*(COUNT($H$8:AO$8)+$I$4))),TREND($D70:$E70,$D$8:$E$8,AO$8))</f>
        <v>0</v>
      </c>
      <c r="AP70">
        <f>IF($F70="s-curve",$D70+($E70-$D70)*$I$2/(1+EXP($I$3*(COUNT($H$8:AP$8)+$I$4))),TREND($D70:$E70,$D$8:$E$8,AP$8))</f>
        <v>0</v>
      </c>
      <c r="AQ70">
        <f>IF($F70="s-curve",$D70+($E70-$D70)*$I$2/(1+EXP($I$3*(COUNT($H$8:AQ$8)+$I$4))),TREND($D70:$E70,$D$8:$E$8,AQ$8))</f>
        <v>0</v>
      </c>
      <c r="AR70">
        <f>IF($F70="s-curve",$D70+($E70-$D70)*$I$2/(1+EXP($I$3*(COUNT($H$8:AR$8)+$I$4))),TREND($D70:$E70,$D$8:$E$8,AR$8))</f>
        <v>0</v>
      </c>
      <c r="AS70">
        <f>IF($F70="s-curve",$D70+($E70-$D70)*$I$2/(1+EXP($I$3*(COUNT($H$8:AS$8)+$I$4))),TREND($D70:$E70,$D$8:$E$8,AS$8))</f>
        <v>0</v>
      </c>
      <c r="AT70">
        <f>IF($F70="s-curve",$D70+($E70-$D70)*$I$2/(1+EXP($I$3*(COUNT($H$8:AT$8)+$I$4))),TREND($D70:$E70,$D$8:$E$8,AT$8))</f>
        <v>0</v>
      </c>
      <c r="AU70">
        <f>IF($F70="s-curve",$D70+($E70-$D70)*$I$2/(1+EXP($I$3*(COUNT($H$8:AU$8)+$I$4))),TREND($D70:$E70,$D$8:$E$8,AU$8))</f>
        <v>0</v>
      </c>
      <c r="AV70">
        <f>IF($F70="s-curve",$D70+($E70-$D70)*$I$2/(1+EXP($I$3*(COUNT($H$8:AV$8)+$I$4))),TREND($D70:$E70,$D$8:$E$8,AV$8))</f>
        <v>0</v>
      </c>
    </row>
    <row r="71" spans="1:48" ht="13.6" thickBot="1" x14ac:dyDescent="0.2">
      <c r="A71" s="23"/>
      <c r="B71" s="23"/>
      <c r="C71" s="23" t="s">
        <v>126</v>
      </c>
      <c r="D71" s="23">
        <v>0</v>
      </c>
      <c r="E71" s="23">
        <v>0.2</v>
      </c>
      <c r="F71" s="8" t="str">
        <f>IF(D71=E71,"n/a",IF(OR(C71="battery electric vehicle",C71="natural gas vehicle",C71="plugin hybrid vehicle",C71="hydrogen vehicle"),"s-curve","linear"))</f>
        <v>s-curve</v>
      </c>
      <c r="H71" s="22">
        <f t="shared" si="23"/>
        <v>0</v>
      </c>
      <c r="I71">
        <f>IF($F71="s-curve",$D71+($E71-$D71)*$I$2/(1+EXP($I$3*(COUNT($H$8:I$8)+$I$4))),TREND($D71:$E71,$D$8:$E$8,I$8))</f>
        <v>2.9548063386546112E-3</v>
      </c>
      <c r="J71">
        <f>IF($F71="s-curve",$D71+($E71-$D71)*$I$2/(1+EXP($I$3*(COUNT($H$8:J$8)+$I$4))),TREND($D71:$E71,$D$8:$E$8,J$8))</f>
        <v>3.9680611468155018E-3</v>
      </c>
      <c r="K71">
        <f>IF($F71="s-curve",$D71+($E71-$D71)*$I$2/(1+EXP($I$3*(COUNT($H$8:K$8)+$I$4))),TREND($D71:$E71,$D$8:$E$8,K$8))</f>
        <v>5.3193987153731734E-3</v>
      </c>
      <c r="L71">
        <f>IF($F71="s-curve",$D71+($E71-$D71)*$I$2/(1+EXP($I$3*(COUNT($H$8:L$8)+$I$4))),TREND($D71:$E71,$D$8:$E$8,L$8))</f>
        <v>7.1142378545272361E-3</v>
      </c>
      <c r="M71">
        <f>IF($F71="s-curve",$D71+($E71-$D71)*$I$2/(1+EXP($I$3*(COUNT($H$8:M$8)+$I$4))),TREND($D71:$E71,$D$8:$E$8,M$8))</f>
        <v>9.4851746355133562E-3</v>
      </c>
      <c r="N71">
        <f>IF($F71="s-curve",$D71+($E71-$D71)*$I$2/(1+EXP($I$3*(COUNT($H$8:N$8)+$I$4))),TREND($D71:$E71,$D$8:$E$8,N$8))</f>
        <v>1.2594671211399303E-2</v>
      </c>
      <c r="O71">
        <f>IF($F71="s-curve",$D71+($E71-$D71)*$I$2/(1+EXP($I$3*(COUNT($H$8:O$8)+$I$4))),TREND($D71:$E71,$D$8:$E$8,O$8))</f>
        <v>1.6634539298784477E-2</v>
      </c>
      <c r="P71">
        <f>IF($F71="s-curve",$D71+($E71-$D71)*$I$2/(1+EXP($I$3*(COUNT($H$8:P$8)+$I$4))),TREND($D71:$E71,$D$8:$E$8,P$8))</f>
        <v>2.1819364239122584E-2</v>
      </c>
      <c r="Q71">
        <f>IF($F71="s-curve",$D71+($E71-$D71)*$I$2/(1+EXP($I$3*(COUNT($H$8:Q$8)+$I$4))),TREND($D71:$E71,$D$8:$E$8,Q$8))</f>
        <v>2.8370212980097564E-2</v>
      </c>
      <c r="R71">
        <f>IF($F71="s-curve",$D71+($E71-$D71)*$I$2/(1+EXP($I$3*(COUNT($H$8:R$8)+$I$4))),TREND($D71:$E71,$D$8:$E$8,R$8))</f>
        <v>3.6485104761271273E-2</v>
      </c>
      <c r="S71">
        <f>IF($F71="s-curve",$D71+($E71-$D71)*$I$2/(1+EXP($I$3*(COUNT($H$8:S$8)+$I$4))),TREND($D71:$E71,$D$8:$E$8,S$8))</f>
        <v>4.629504330019648E-2</v>
      </c>
      <c r="T71">
        <f>IF($F71="s-curve",$D71+($E71-$D71)*$I$2/(1+EXP($I$3*(COUNT($H$8:T$8)+$I$4))),TREND($D71:$E71,$D$8:$E$8,T$8))</f>
        <v>5.7810099474999217E-2</v>
      </c>
      <c r="U71">
        <f>IF($F71="s-curve",$D71+($E71-$D71)*$I$2/(1+EXP($I$3*(COUNT($H$8:U$8)+$I$4))),TREND($D71:$E71,$D$8:$E$8,U$8))</f>
        <v>7.0868738754840913E-2</v>
      </c>
      <c r="V71">
        <f>IF($F71="s-curve",$D71+($E71-$D71)*$I$2/(1+EXP($I$3*(COUNT($H$8:V$8)+$I$4))),TREND($D71:$E71,$D$8:$E$8,V$8))</f>
        <v>8.5111496637668205E-2</v>
      </c>
      <c r="W71">
        <f>IF($F71="s-curve",$D71+($E71-$D71)*$I$2/(1+EXP($I$3*(COUNT($H$8:W$8)+$I$4))),TREND($D71:$E71,$D$8:$E$8,W$8))</f>
        <v>0.1</v>
      </c>
      <c r="X71">
        <f>IF($F71="s-curve",$D71+($E71-$D71)*$I$2/(1+EXP($I$3*(COUNT($H$8:X$8)+$I$4))),TREND($D71:$E71,$D$8:$E$8,X$8))</f>
        <v>0.11488850336233181</v>
      </c>
      <c r="Y71">
        <f>IF($F71="s-curve",$D71+($E71-$D71)*$I$2/(1+EXP($I$3*(COUNT($H$8:Y$8)+$I$4))),TREND($D71:$E71,$D$8:$E$8,Y$8))</f>
        <v>0.12913126124515908</v>
      </c>
      <c r="Z71">
        <f>IF($F71="s-curve",$D71+($E71-$D71)*$I$2/(1+EXP($I$3*(COUNT($H$8:Z$8)+$I$4))),TREND($D71:$E71,$D$8:$E$8,Z$8))</f>
        <v>0.1421899005250008</v>
      </c>
      <c r="AA71">
        <f>IF($F71="s-curve",$D71+($E71-$D71)*$I$2/(1+EXP($I$3*(COUNT($H$8:AA$8)+$I$4))),TREND($D71:$E71,$D$8:$E$8,AA$8))</f>
        <v>0.15370495669980352</v>
      </c>
      <c r="AB71">
        <f>IF($F71="s-curve",$D71+($E71-$D71)*$I$2/(1+EXP($I$3*(COUNT($H$8:AB$8)+$I$4))),TREND($D71:$E71,$D$8:$E$8,AB$8))</f>
        <v>0.16351489523872872</v>
      </c>
      <c r="AC71">
        <f>IF($F71="s-curve",$D71+($E71-$D71)*$I$2/(1+EXP($I$3*(COUNT($H$8:AC$8)+$I$4))),TREND($D71:$E71,$D$8:$E$8,AC$8))</f>
        <v>0.17162978701990247</v>
      </c>
      <c r="AD71">
        <f>IF($F71="s-curve",$D71+($E71-$D71)*$I$2/(1+EXP($I$3*(COUNT($H$8:AD$8)+$I$4))),TREND($D71:$E71,$D$8:$E$8,AD$8))</f>
        <v>0.17818063576087742</v>
      </c>
      <c r="AE71">
        <f>IF($F71="s-curve",$D71+($E71-$D71)*$I$2/(1+EXP($I$3*(COUNT($H$8:AE$8)+$I$4))),TREND($D71:$E71,$D$8:$E$8,AE$8))</f>
        <v>0.18336546070121554</v>
      </c>
      <c r="AF71">
        <f>IF($F71="s-curve",$D71+($E71-$D71)*$I$2/(1+EXP($I$3*(COUNT($H$8:AF$8)+$I$4))),TREND($D71:$E71,$D$8:$E$8,AF$8))</f>
        <v>0.18740532878860072</v>
      </c>
      <c r="AG71">
        <f>IF($F71="s-curve",$D71+($E71-$D71)*$I$2/(1+EXP($I$3*(COUNT($H$8:AG$8)+$I$4))),TREND($D71:$E71,$D$8:$E$8,AG$8))</f>
        <v>0.19051482536448666</v>
      </c>
      <c r="AH71">
        <f>IF($F71="s-curve",$D71+($E71-$D71)*$I$2/(1+EXP($I$3*(COUNT($H$8:AH$8)+$I$4))),TREND($D71:$E71,$D$8:$E$8,AH$8))</f>
        <v>0.19288576214547279</v>
      </c>
      <c r="AI71">
        <f>IF($F71="s-curve",$D71+($E71-$D71)*$I$2/(1+EXP($I$3*(COUNT($H$8:AI$8)+$I$4))),TREND($D71:$E71,$D$8:$E$8,AI$8))</f>
        <v>0.19468060128462683</v>
      </c>
      <c r="AJ71">
        <f>IF($F71="s-curve",$D71+($E71-$D71)*$I$2/(1+EXP($I$3*(COUNT($H$8:AJ$8)+$I$4))),TREND($D71:$E71,$D$8:$E$8,AJ$8))</f>
        <v>0.19603193885318451</v>
      </c>
      <c r="AK71">
        <f>IF($F71="s-curve",$D71+($E71-$D71)*$I$2/(1+EXP($I$3*(COUNT($H$8:AK$8)+$I$4))),TREND($D71:$E71,$D$8:$E$8,AK$8))</f>
        <v>0.1970451936613454</v>
      </c>
      <c r="AL71">
        <f>IF($F71="s-curve",$D71+($E71-$D71)*$I$2/(1+EXP($I$3*(COUNT($H$8:AL$8)+$I$4))),TREND($D71:$E71,$D$8:$E$8,AL$8))</f>
        <v>0.1978026114738814</v>
      </c>
      <c r="AM71">
        <f>IF($F71="s-curve",$D71+($E71-$D71)*$I$2/(1+EXP($I$3*(COUNT($H$8:AM$8)+$I$4))),TREND($D71:$E71,$D$8:$E$8,AM$8))</f>
        <v>0.19836748576936802</v>
      </c>
      <c r="AN71">
        <f>IF($F71="s-curve",$D71+($E71-$D71)*$I$2/(1+EXP($I$3*(COUNT($H$8:AN$8)+$I$4))),TREND($D71:$E71,$D$8:$E$8,AN$8))</f>
        <v>0.19878803970168316</v>
      </c>
      <c r="AO71">
        <f>IF($F71="s-curve",$D71+($E71-$D71)*$I$2/(1+EXP($I$3*(COUNT($H$8:AO$8)+$I$4))),TREND($D71:$E71,$D$8:$E$8,AO$8))</f>
        <v>0.19910074536781178</v>
      </c>
      <c r="AP71">
        <f>IF($F71="s-curve",$D71+($E71-$D71)*$I$2/(1+EXP($I$3*(COUNT($H$8:AP$8)+$I$4))),TREND($D71:$E71,$D$8:$E$8,AP$8))</f>
        <v>0.19933303853851736</v>
      </c>
      <c r="AQ71">
        <f>IF($F71="s-curve",$D71+($E71-$D71)*$I$2/(1+EXP($I$3*(COUNT($H$8:AQ$8)+$I$4))),TREND($D71:$E71,$D$8:$E$8,AQ$8))</f>
        <v>0.19950547536867308</v>
      </c>
      <c r="AR71">
        <f>IF($F71="s-curve",$D71+($E71-$D71)*$I$2/(1+EXP($I$3*(COUNT($H$8:AR$8)+$I$4))),TREND($D71:$E71,$D$8:$E$8,AR$8))</f>
        <v>0.19963341221150147</v>
      </c>
      <c r="AS71">
        <f>IF($F71="s-curve",$D71+($E71-$D71)*$I$2/(1+EXP($I$3*(COUNT($H$8:AS$8)+$I$4))),TREND($D71:$E71,$D$8:$E$8,AS$8))</f>
        <v>0.19972829600991424</v>
      </c>
      <c r="AT71">
        <f>IF($F71="s-curve",$D71+($E71-$D71)*$I$2/(1+EXP($I$3*(COUNT($H$8:AT$8)+$I$4))),TREND($D71:$E71,$D$8:$E$8,AT$8))</f>
        <v>0.19979864583598289</v>
      </c>
      <c r="AU71">
        <f>IF($F71="s-curve",$D71+($E71-$D71)*$I$2/(1+EXP($I$3*(COUNT($H$8:AU$8)+$I$4))),TREND($D71:$E71,$D$8:$E$8,AU$8))</f>
        <v>0.19985079423323268</v>
      </c>
      <c r="AV71">
        <f>IF($F71="s-curve",$D71+($E71-$D71)*$I$2/(1+EXP($I$3*(COUNT($H$8:AV$8)+$I$4))),TREND($D71:$E71,$D$8:$E$8,AV$8))</f>
        <v>0.19988944427261529</v>
      </c>
    </row>
    <row r="72" spans="1:48" x14ac:dyDescent="0.15">
      <c r="A72" t="s">
        <v>16</v>
      </c>
      <c r="B72" t="s">
        <v>18</v>
      </c>
      <c r="C72" t="s">
        <v>1</v>
      </c>
      <c r="D72">
        <v>0</v>
      </c>
      <c r="E72">
        <v>0.2</v>
      </c>
      <c r="F72" s="7" t="str">
        <f>IF(D72=E72,"n/a",IF(OR(C72="battery electric vehicle",C72="natural gas vehicle",C72="plugin hybrid vehicle"),"s-curve","linear"))</f>
        <v>s-curve</v>
      </c>
      <c r="H72" s="22">
        <f t="shared" ref="H72:H92" si="24">D72</f>
        <v>0</v>
      </c>
      <c r="I72">
        <f>IF($F72="s-curve",$D72+($E72-$D72)*$I$2/(1+EXP($I$3*(COUNT($H$8:I$8)+$I$4))),TREND($D72:$E72,$D$8:$E$8,I$8))</f>
        <v>2.9548063386546112E-3</v>
      </c>
      <c r="J72">
        <f>IF($F72="s-curve",$D72+($E72-$D72)*$I$2/(1+EXP($I$3*(COUNT($H$8:J$8)+$I$4))),TREND($D72:$E72,$D$8:$E$8,J$8))</f>
        <v>3.9680611468155018E-3</v>
      </c>
      <c r="K72">
        <f>IF($F72="s-curve",$D72+($E72-$D72)*$I$2/(1+EXP($I$3*(COUNT($H$8:K$8)+$I$4))),TREND($D72:$E72,$D$8:$E$8,K$8))</f>
        <v>5.3193987153731734E-3</v>
      </c>
      <c r="L72">
        <f>IF($F72="s-curve",$D72+($E72-$D72)*$I$2/(1+EXP($I$3*(COUNT($H$8:L$8)+$I$4))),TREND($D72:$E72,$D$8:$E$8,L$8))</f>
        <v>7.1142378545272361E-3</v>
      </c>
      <c r="M72">
        <f>IF($F72="s-curve",$D72+($E72-$D72)*$I$2/(1+EXP($I$3*(COUNT($H$8:M$8)+$I$4))),TREND($D72:$E72,$D$8:$E$8,M$8))</f>
        <v>9.4851746355133562E-3</v>
      </c>
      <c r="N72">
        <f>IF($F72="s-curve",$D72+($E72-$D72)*$I$2/(1+EXP($I$3*(COUNT($H$8:N$8)+$I$4))),TREND($D72:$E72,$D$8:$E$8,N$8))</f>
        <v>1.2594671211399303E-2</v>
      </c>
      <c r="O72">
        <f>IF($F72="s-curve",$D72+($E72-$D72)*$I$2/(1+EXP($I$3*(COUNT($H$8:O$8)+$I$4))),TREND($D72:$E72,$D$8:$E$8,O$8))</f>
        <v>1.6634539298784477E-2</v>
      </c>
      <c r="P72">
        <f>IF($F72="s-curve",$D72+($E72-$D72)*$I$2/(1+EXP($I$3*(COUNT($H$8:P$8)+$I$4))),TREND($D72:$E72,$D$8:$E$8,P$8))</f>
        <v>2.1819364239122584E-2</v>
      </c>
      <c r="Q72">
        <f>IF($F72="s-curve",$D72+($E72-$D72)*$I$2/(1+EXP($I$3*(COUNT($H$8:Q$8)+$I$4))),TREND($D72:$E72,$D$8:$E$8,Q$8))</f>
        <v>2.8370212980097564E-2</v>
      </c>
      <c r="R72">
        <f>IF($F72="s-curve",$D72+($E72-$D72)*$I$2/(1+EXP($I$3*(COUNT($H$8:R$8)+$I$4))),TREND($D72:$E72,$D$8:$E$8,R$8))</f>
        <v>3.6485104761271273E-2</v>
      </c>
      <c r="S72">
        <f>IF($F72="s-curve",$D72+($E72-$D72)*$I$2/(1+EXP($I$3*(COUNT($H$8:S$8)+$I$4))),TREND($D72:$E72,$D$8:$E$8,S$8))</f>
        <v>4.629504330019648E-2</v>
      </c>
      <c r="T72">
        <f>IF($F72="s-curve",$D72+($E72-$D72)*$I$2/(1+EXP($I$3*(COUNT($H$8:T$8)+$I$4))),TREND($D72:$E72,$D$8:$E$8,T$8))</f>
        <v>5.7810099474999217E-2</v>
      </c>
      <c r="U72">
        <f>IF($F72="s-curve",$D72+($E72-$D72)*$I$2/(1+EXP($I$3*(COUNT($H$8:U$8)+$I$4))),TREND($D72:$E72,$D$8:$E$8,U$8))</f>
        <v>7.0868738754840913E-2</v>
      </c>
      <c r="V72">
        <f>IF($F72="s-curve",$D72+($E72-$D72)*$I$2/(1+EXP($I$3*(COUNT($H$8:V$8)+$I$4))),TREND($D72:$E72,$D$8:$E$8,V$8))</f>
        <v>8.5111496637668205E-2</v>
      </c>
      <c r="W72">
        <f>IF($F72="s-curve",$D72+($E72-$D72)*$I$2/(1+EXP($I$3*(COUNT($H$8:W$8)+$I$4))),TREND($D72:$E72,$D$8:$E$8,W$8))</f>
        <v>0.1</v>
      </c>
      <c r="X72">
        <f>IF($F72="s-curve",$D72+($E72-$D72)*$I$2/(1+EXP($I$3*(COUNT($H$8:X$8)+$I$4))),TREND($D72:$E72,$D$8:$E$8,X$8))</f>
        <v>0.11488850336233181</v>
      </c>
      <c r="Y72">
        <f>IF($F72="s-curve",$D72+($E72-$D72)*$I$2/(1+EXP($I$3*(COUNT($H$8:Y$8)+$I$4))),TREND($D72:$E72,$D$8:$E$8,Y$8))</f>
        <v>0.12913126124515908</v>
      </c>
      <c r="Z72">
        <f>IF($F72="s-curve",$D72+($E72-$D72)*$I$2/(1+EXP($I$3*(COUNT($H$8:Z$8)+$I$4))),TREND($D72:$E72,$D$8:$E$8,Z$8))</f>
        <v>0.1421899005250008</v>
      </c>
      <c r="AA72">
        <f>IF($F72="s-curve",$D72+($E72-$D72)*$I$2/(1+EXP($I$3*(COUNT($H$8:AA$8)+$I$4))),TREND($D72:$E72,$D$8:$E$8,AA$8))</f>
        <v>0.15370495669980352</v>
      </c>
      <c r="AB72">
        <f>IF($F72="s-curve",$D72+($E72-$D72)*$I$2/(1+EXP($I$3*(COUNT($H$8:AB$8)+$I$4))),TREND($D72:$E72,$D$8:$E$8,AB$8))</f>
        <v>0.16351489523872872</v>
      </c>
      <c r="AC72">
        <f>IF($F72="s-curve",$D72+($E72-$D72)*$I$2/(1+EXP($I$3*(COUNT($H$8:AC$8)+$I$4))),TREND($D72:$E72,$D$8:$E$8,AC$8))</f>
        <v>0.17162978701990247</v>
      </c>
      <c r="AD72">
        <f>IF($F72="s-curve",$D72+($E72-$D72)*$I$2/(1+EXP($I$3*(COUNT($H$8:AD$8)+$I$4))),TREND($D72:$E72,$D$8:$E$8,AD$8))</f>
        <v>0.17818063576087742</v>
      </c>
      <c r="AE72">
        <f>IF($F72="s-curve",$D72+($E72-$D72)*$I$2/(1+EXP($I$3*(COUNT($H$8:AE$8)+$I$4))),TREND($D72:$E72,$D$8:$E$8,AE$8))</f>
        <v>0.18336546070121554</v>
      </c>
      <c r="AF72">
        <f>IF($F72="s-curve",$D72+($E72-$D72)*$I$2/(1+EXP($I$3*(COUNT($H$8:AF$8)+$I$4))),TREND($D72:$E72,$D$8:$E$8,AF$8))</f>
        <v>0.18740532878860072</v>
      </c>
      <c r="AG72">
        <f>IF($F72="s-curve",$D72+($E72-$D72)*$I$2/(1+EXP($I$3*(COUNT($H$8:AG$8)+$I$4))),TREND($D72:$E72,$D$8:$E$8,AG$8))</f>
        <v>0.19051482536448666</v>
      </c>
      <c r="AH72">
        <f>IF($F72="s-curve",$D72+($E72-$D72)*$I$2/(1+EXP($I$3*(COUNT($H$8:AH$8)+$I$4))),TREND($D72:$E72,$D$8:$E$8,AH$8))</f>
        <v>0.19288576214547279</v>
      </c>
      <c r="AI72">
        <f>IF($F72="s-curve",$D72+($E72-$D72)*$I$2/(1+EXP($I$3*(COUNT($H$8:AI$8)+$I$4))),TREND($D72:$E72,$D$8:$E$8,AI$8))</f>
        <v>0.19468060128462683</v>
      </c>
      <c r="AJ72">
        <f>IF($F72="s-curve",$D72+($E72-$D72)*$I$2/(1+EXP($I$3*(COUNT($H$8:AJ$8)+$I$4))),TREND($D72:$E72,$D$8:$E$8,AJ$8))</f>
        <v>0.19603193885318451</v>
      </c>
      <c r="AK72">
        <f>IF($F72="s-curve",$D72+($E72-$D72)*$I$2/(1+EXP($I$3*(COUNT($H$8:AK$8)+$I$4))),TREND($D72:$E72,$D$8:$E$8,AK$8))</f>
        <v>0.1970451936613454</v>
      </c>
      <c r="AL72">
        <f>IF($F72="s-curve",$D72+($E72-$D72)*$I$2/(1+EXP($I$3*(COUNT($H$8:AL$8)+$I$4))),TREND($D72:$E72,$D$8:$E$8,AL$8))</f>
        <v>0.1978026114738814</v>
      </c>
      <c r="AM72">
        <f>IF($F72="s-curve",$D72+($E72-$D72)*$I$2/(1+EXP($I$3*(COUNT($H$8:AM$8)+$I$4))),TREND($D72:$E72,$D$8:$E$8,AM$8))</f>
        <v>0.19836748576936802</v>
      </c>
      <c r="AN72">
        <f>IF($F72="s-curve",$D72+($E72-$D72)*$I$2/(1+EXP($I$3*(COUNT($H$8:AN$8)+$I$4))),TREND($D72:$E72,$D$8:$E$8,AN$8))</f>
        <v>0.19878803970168316</v>
      </c>
      <c r="AO72">
        <f>IF($F72="s-curve",$D72+($E72-$D72)*$I$2/(1+EXP($I$3*(COUNT($H$8:AO$8)+$I$4))),TREND($D72:$E72,$D$8:$E$8,AO$8))</f>
        <v>0.19910074536781178</v>
      </c>
      <c r="AP72">
        <f>IF($F72="s-curve",$D72+($E72-$D72)*$I$2/(1+EXP($I$3*(COUNT($H$8:AP$8)+$I$4))),TREND($D72:$E72,$D$8:$E$8,AP$8))</f>
        <v>0.19933303853851736</v>
      </c>
      <c r="AQ72">
        <f>IF($F72="s-curve",$D72+($E72-$D72)*$I$2/(1+EXP($I$3*(COUNT($H$8:AQ$8)+$I$4))),TREND($D72:$E72,$D$8:$E$8,AQ$8))</f>
        <v>0.19950547536867308</v>
      </c>
      <c r="AR72">
        <f>IF($F72="s-curve",$D72+($E72-$D72)*$I$2/(1+EXP($I$3*(COUNT($H$8:AR$8)+$I$4))),TREND($D72:$E72,$D$8:$E$8,AR$8))</f>
        <v>0.19963341221150147</v>
      </c>
      <c r="AS72">
        <f>IF($F72="s-curve",$D72+($E72-$D72)*$I$2/(1+EXP($I$3*(COUNT($H$8:AS$8)+$I$4))),TREND($D72:$E72,$D$8:$E$8,AS$8))</f>
        <v>0.19972829600991424</v>
      </c>
      <c r="AT72">
        <f>IF($F72="s-curve",$D72+($E72-$D72)*$I$2/(1+EXP($I$3*(COUNT($H$8:AT$8)+$I$4))),TREND($D72:$E72,$D$8:$E$8,AT$8))</f>
        <v>0.19979864583598289</v>
      </c>
      <c r="AU72">
        <f>IF($F72="s-curve",$D72+($E72-$D72)*$I$2/(1+EXP($I$3*(COUNT($H$8:AU$8)+$I$4))),TREND($D72:$E72,$D$8:$E$8,AU$8))</f>
        <v>0.19985079423323268</v>
      </c>
      <c r="AV72">
        <f>IF($F72="s-curve",$D72+($E72-$D72)*$I$2/(1+EXP($I$3*(COUNT($H$8:AV$8)+$I$4))),TREND($D72:$E72,$D$8:$E$8,AV$8))</f>
        <v>0.19988944427261529</v>
      </c>
    </row>
    <row r="73" spans="1:48" x14ac:dyDescent="0.15">
      <c r="C73" t="s">
        <v>2</v>
      </c>
      <c r="D73">
        <v>0</v>
      </c>
      <c r="E73">
        <v>0.5</v>
      </c>
      <c r="F73" s="7" t="str">
        <f>IF(D73=E73,"n/a",IF(OR(C73="battery electric vehicle",C73="natural gas vehicle",C73="plugin hybrid vehicle"),"s-curve","linear"))</f>
        <v>s-curve</v>
      </c>
      <c r="H73" s="22">
        <f t="shared" si="24"/>
        <v>0</v>
      </c>
      <c r="I73">
        <f>IF($F73="s-curve",$D73+($E73-$D73)*$I$2/(1+EXP($I$3*(COUNT($H$8:I$8)+$I$4))),TREND($D73:$E73,$D$8:$E$8,I$8))</f>
        <v>7.3870158466365276E-3</v>
      </c>
      <c r="J73">
        <f>IF($F73="s-curve",$D73+($E73-$D73)*$I$2/(1+EXP($I$3*(COUNT($H$8:J$8)+$I$4))),TREND($D73:$E73,$D$8:$E$8,J$8))</f>
        <v>9.9201528670387548E-3</v>
      </c>
      <c r="K73">
        <f>IF($F73="s-curve",$D73+($E73-$D73)*$I$2/(1+EXP($I$3*(COUNT($H$8:K$8)+$I$4))),TREND($D73:$E73,$D$8:$E$8,K$8))</f>
        <v>1.3298496788432932E-2</v>
      </c>
      <c r="L73">
        <f>IF($F73="s-curve",$D73+($E73-$D73)*$I$2/(1+EXP($I$3*(COUNT($H$8:L$8)+$I$4))),TREND($D73:$E73,$D$8:$E$8,L$8))</f>
        <v>1.778559463631809E-2</v>
      </c>
      <c r="M73">
        <f>IF($F73="s-curve",$D73+($E73-$D73)*$I$2/(1+EXP($I$3*(COUNT($H$8:M$8)+$I$4))),TREND($D73:$E73,$D$8:$E$8,M$8))</f>
        <v>2.3712936588783391E-2</v>
      </c>
      <c r="N73">
        <f>IF($F73="s-curve",$D73+($E73-$D73)*$I$2/(1+EXP($I$3*(COUNT($H$8:N$8)+$I$4))),TREND($D73:$E73,$D$8:$E$8,N$8))</f>
        <v>3.1486678028498256E-2</v>
      </c>
      <c r="O73">
        <f>IF($F73="s-curve",$D73+($E73-$D73)*$I$2/(1+EXP($I$3*(COUNT($H$8:O$8)+$I$4))),TREND($D73:$E73,$D$8:$E$8,O$8))</f>
        <v>4.158634824696119E-2</v>
      </c>
      <c r="P73">
        <f>IF($F73="s-curve",$D73+($E73-$D73)*$I$2/(1+EXP($I$3*(COUNT($H$8:P$8)+$I$4))),TREND($D73:$E73,$D$8:$E$8,P$8))</f>
        <v>5.4548410597806463E-2</v>
      </c>
      <c r="Q73">
        <f>IF($F73="s-curve",$D73+($E73-$D73)*$I$2/(1+EXP($I$3*(COUNT($H$8:Q$8)+$I$4))),TREND($D73:$E73,$D$8:$E$8,Q$8))</f>
        <v>7.0925532450243911E-2</v>
      </c>
      <c r="R73">
        <f>IF($F73="s-curve",$D73+($E73-$D73)*$I$2/(1+EXP($I$3*(COUNT($H$8:R$8)+$I$4))),TREND($D73:$E73,$D$8:$E$8,R$8))</f>
        <v>9.1212761903178174E-2</v>
      </c>
      <c r="S73">
        <f>IF($F73="s-curve",$D73+($E73-$D73)*$I$2/(1+EXP($I$3*(COUNT($H$8:S$8)+$I$4))),TREND($D73:$E73,$D$8:$E$8,S$8))</f>
        <v>0.11573760825049119</v>
      </c>
      <c r="T73">
        <f>IF($F73="s-curve",$D73+($E73-$D73)*$I$2/(1+EXP($I$3*(COUNT($H$8:T$8)+$I$4))),TREND($D73:$E73,$D$8:$E$8,T$8))</f>
        <v>0.14452524868749803</v>
      </c>
      <c r="U73">
        <f>IF($F73="s-curve",$D73+($E73-$D73)*$I$2/(1+EXP($I$3*(COUNT($H$8:U$8)+$I$4))),TREND($D73:$E73,$D$8:$E$8,U$8))</f>
        <v>0.17717184688710227</v>
      </c>
      <c r="V73">
        <f>IF($F73="s-curve",$D73+($E73-$D73)*$I$2/(1+EXP($I$3*(COUNT($H$8:V$8)+$I$4))),TREND($D73:$E73,$D$8:$E$8,V$8))</f>
        <v>0.21277874159417051</v>
      </c>
      <c r="W73">
        <f>IF($F73="s-curve",$D73+($E73-$D73)*$I$2/(1+EXP($I$3*(COUNT($H$8:W$8)+$I$4))),TREND($D73:$E73,$D$8:$E$8,W$8))</f>
        <v>0.25</v>
      </c>
      <c r="X73">
        <f>IF($F73="s-curve",$D73+($E73-$D73)*$I$2/(1+EXP($I$3*(COUNT($H$8:X$8)+$I$4))),TREND($D73:$E73,$D$8:$E$8,X$8))</f>
        <v>0.28722125840582952</v>
      </c>
      <c r="Y73">
        <f>IF($F73="s-curve",$D73+($E73-$D73)*$I$2/(1+EXP($I$3*(COUNT($H$8:Y$8)+$I$4))),TREND($D73:$E73,$D$8:$E$8,Y$8))</f>
        <v>0.3228281531128977</v>
      </c>
      <c r="Z73">
        <f>IF($F73="s-curve",$D73+($E73-$D73)*$I$2/(1+EXP($I$3*(COUNT($H$8:Z$8)+$I$4))),TREND($D73:$E73,$D$8:$E$8,Z$8))</f>
        <v>0.35547475131250195</v>
      </c>
      <c r="AA73">
        <f>IF($F73="s-curve",$D73+($E73-$D73)*$I$2/(1+EXP($I$3*(COUNT($H$8:AA$8)+$I$4))),TREND($D73:$E73,$D$8:$E$8,AA$8))</f>
        <v>0.38426239174950877</v>
      </c>
      <c r="AB73">
        <f>IF($F73="s-curve",$D73+($E73-$D73)*$I$2/(1+EXP($I$3*(COUNT($H$8:AB$8)+$I$4))),TREND($D73:$E73,$D$8:$E$8,AB$8))</f>
        <v>0.40878723809682183</v>
      </c>
      <c r="AC73">
        <f>IF($F73="s-curve",$D73+($E73-$D73)*$I$2/(1+EXP($I$3*(COUNT($H$8:AC$8)+$I$4))),TREND($D73:$E73,$D$8:$E$8,AC$8))</f>
        <v>0.42907446754975614</v>
      </c>
      <c r="AD73">
        <f>IF($F73="s-curve",$D73+($E73-$D73)*$I$2/(1+EXP($I$3*(COUNT($H$8:AD$8)+$I$4))),TREND($D73:$E73,$D$8:$E$8,AD$8))</f>
        <v>0.44545158940219354</v>
      </c>
      <c r="AE73">
        <f>IF($F73="s-curve",$D73+($E73-$D73)*$I$2/(1+EXP($I$3*(COUNT($H$8:AE$8)+$I$4))),TREND($D73:$E73,$D$8:$E$8,AE$8))</f>
        <v>0.45841365175303883</v>
      </c>
      <c r="AF73">
        <f>IF($F73="s-curve",$D73+($E73-$D73)*$I$2/(1+EXP($I$3*(COUNT($H$8:AF$8)+$I$4))),TREND($D73:$E73,$D$8:$E$8,AF$8))</f>
        <v>0.46851332197150175</v>
      </c>
      <c r="AG73">
        <f>IF($F73="s-curve",$D73+($E73-$D73)*$I$2/(1+EXP($I$3*(COUNT($H$8:AG$8)+$I$4))),TREND($D73:$E73,$D$8:$E$8,AG$8))</f>
        <v>0.47628706341121668</v>
      </c>
      <c r="AH73">
        <f>IF($F73="s-curve",$D73+($E73-$D73)*$I$2/(1+EXP($I$3*(COUNT($H$8:AH$8)+$I$4))),TREND($D73:$E73,$D$8:$E$8,AH$8))</f>
        <v>0.48221440536368193</v>
      </c>
      <c r="AI73">
        <f>IF($F73="s-curve",$D73+($E73-$D73)*$I$2/(1+EXP($I$3*(COUNT($H$8:AI$8)+$I$4))),TREND($D73:$E73,$D$8:$E$8,AI$8))</f>
        <v>0.48670150321156702</v>
      </c>
      <c r="AJ73">
        <f>IF($F73="s-curve",$D73+($E73-$D73)*$I$2/(1+EXP($I$3*(COUNT($H$8:AJ$8)+$I$4))),TREND($D73:$E73,$D$8:$E$8,AJ$8))</f>
        <v>0.49007984713296127</v>
      </c>
      <c r="AK73">
        <f>IF($F73="s-curve",$D73+($E73-$D73)*$I$2/(1+EXP($I$3*(COUNT($H$8:AK$8)+$I$4))),TREND($D73:$E73,$D$8:$E$8,AK$8))</f>
        <v>0.49261298415336346</v>
      </c>
      <c r="AL73">
        <f>IF($F73="s-curve",$D73+($E73-$D73)*$I$2/(1+EXP($I$3*(COUNT($H$8:AL$8)+$I$4))),TREND($D73:$E73,$D$8:$E$8,AL$8))</f>
        <v>0.49450652868470341</v>
      </c>
      <c r="AM73">
        <f>IF($F73="s-curve",$D73+($E73-$D73)*$I$2/(1+EXP($I$3*(COUNT($H$8:AM$8)+$I$4))),TREND($D73:$E73,$D$8:$E$8,AM$8))</f>
        <v>0.49591871442342006</v>
      </c>
      <c r="AN73">
        <f>IF($F73="s-curve",$D73+($E73-$D73)*$I$2/(1+EXP($I$3*(COUNT($H$8:AN$8)+$I$4))),TREND($D73:$E73,$D$8:$E$8,AN$8))</f>
        <v>0.49697009925420788</v>
      </c>
      <c r="AO73">
        <f>IF($F73="s-curve",$D73+($E73-$D73)*$I$2/(1+EXP($I$3*(COUNT($H$8:AO$8)+$I$4))),TREND($D73:$E73,$D$8:$E$8,AO$8))</f>
        <v>0.49775186341952943</v>
      </c>
      <c r="AP73">
        <f>IF($F73="s-curve",$D73+($E73-$D73)*$I$2/(1+EXP($I$3*(COUNT($H$8:AP$8)+$I$4))),TREND($D73:$E73,$D$8:$E$8,AP$8))</f>
        <v>0.49833259634629334</v>
      </c>
      <c r="AQ73">
        <f>IF($F73="s-curve",$D73+($E73-$D73)*$I$2/(1+EXP($I$3*(COUNT($H$8:AQ$8)+$I$4))),TREND($D73:$E73,$D$8:$E$8,AQ$8))</f>
        <v>0.49876368842168267</v>
      </c>
      <c r="AR73">
        <f>IF($F73="s-curve",$D73+($E73-$D73)*$I$2/(1+EXP($I$3*(COUNT($H$8:AR$8)+$I$4))),TREND($D73:$E73,$D$8:$E$8,AR$8))</f>
        <v>0.49908353052875359</v>
      </c>
      <c r="AS73">
        <f>IF($F73="s-curve",$D73+($E73-$D73)*$I$2/(1+EXP($I$3*(COUNT($H$8:AS$8)+$I$4))),TREND($D73:$E73,$D$8:$E$8,AS$8))</f>
        <v>0.49932074002478555</v>
      </c>
      <c r="AT73">
        <f>IF($F73="s-curve",$D73+($E73-$D73)*$I$2/(1+EXP($I$3*(COUNT($H$8:AT$8)+$I$4))),TREND($D73:$E73,$D$8:$E$8,AT$8))</f>
        <v>0.4994966145899572</v>
      </c>
      <c r="AU73">
        <f>IF($F73="s-curve",$D73+($E73-$D73)*$I$2/(1+EXP($I$3*(COUNT($H$8:AU$8)+$I$4))),TREND($D73:$E73,$D$8:$E$8,AU$8))</f>
        <v>0.49962698558308166</v>
      </c>
      <c r="AV73">
        <f>IF($F73="s-curve",$D73+($E73-$D73)*$I$2/(1+EXP($I$3*(COUNT($H$8:AV$8)+$I$4))),TREND($D73:$E73,$D$8:$E$8,AV$8))</f>
        <v>0.4997236106815382</v>
      </c>
    </row>
    <row r="74" spans="1:48" x14ac:dyDescent="0.15">
      <c r="C74" t="s">
        <v>3</v>
      </c>
      <c r="D74">
        <v>0</v>
      </c>
      <c r="E74">
        <v>0</v>
      </c>
      <c r="F74" s="7" t="str">
        <f>IF(D74=E74,"n/a",IF(OR(C74="battery electric vehicle",C74="natural gas vehicle",C74="plugin hybrid vehicle"),"s-curve","linear"))</f>
        <v>n/a</v>
      </c>
      <c r="H74" s="22">
        <f t="shared" si="24"/>
        <v>0</v>
      </c>
      <c r="I74">
        <f>IF($F74="s-curve",$D74+($E74-$D74)*$I$2/(1+EXP($I$3*(COUNT($H$8:I$8)+$I$4))),TREND($D74:$E74,$D$8:$E$8,I$8))</f>
        <v>0</v>
      </c>
      <c r="J74">
        <f>IF($F74="s-curve",$D74+($E74-$D74)*$I$2/(1+EXP($I$3*(COUNT($H$8:J$8)+$I$4))),TREND($D74:$E74,$D$8:$E$8,J$8))</f>
        <v>0</v>
      </c>
      <c r="K74">
        <f>IF($F74="s-curve",$D74+($E74-$D74)*$I$2/(1+EXP($I$3*(COUNT($H$8:K$8)+$I$4))),TREND($D74:$E74,$D$8:$E$8,K$8))</f>
        <v>0</v>
      </c>
      <c r="L74">
        <f>IF($F74="s-curve",$D74+($E74-$D74)*$I$2/(1+EXP($I$3*(COUNT($H$8:L$8)+$I$4))),TREND($D74:$E74,$D$8:$E$8,L$8))</f>
        <v>0</v>
      </c>
      <c r="M74">
        <f>IF($F74="s-curve",$D74+($E74-$D74)*$I$2/(1+EXP($I$3*(COUNT($H$8:M$8)+$I$4))),TREND($D74:$E74,$D$8:$E$8,M$8))</f>
        <v>0</v>
      </c>
      <c r="N74">
        <f>IF($F74="s-curve",$D74+($E74-$D74)*$I$2/(1+EXP($I$3*(COUNT($H$8:N$8)+$I$4))),TREND($D74:$E74,$D$8:$E$8,N$8))</f>
        <v>0</v>
      </c>
      <c r="O74">
        <f>IF($F74="s-curve",$D74+($E74-$D74)*$I$2/(1+EXP($I$3*(COUNT($H$8:O$8)+$I$4))),TREND($D74:$E74,$D$8:$E$8,O$8))</f>
        <v>0</v>
      </c>
      <c r="P74">
        <f>IF($F74="s-curve",$D74+($E74-$D74)*$I$2/(1+EXP($I$3*(COUNT($H$8:P$8)+$I$4))),TREND($D74:$E74,$D$8:$E$8,P$8))</f>
        <v>0</v>
      </c>
      <c r="Q74">
        <f>IF($F74="s-curve",$D74+($E74-$D74)*$I$2/(1+EXP($I$3*(COUNT($H$8:Q$8)+$I$4))),TREND($D74:$E74,$D$8:$E$8,Q$8))</f>
        <v>0</v>
      </c>
      <c r="R74">
        <f>IF($F74="s-curve",$D74+($E74-$D74)*$I$2/(1+EXP($I$3*(COUNT($H$8:R$8)+$I$4))),TREND($D74:$E74,$D$8:$E$8,R$8))</f>
        <v>0</v>
      </c>
      <c r="S74">
        <f>IF($F74="s-curve",$D74+($E74-$D74)*$I$2/(1+EXP($I$3*(COUNT($H$8:S$8)+$I$4))),TREND($D74:$E74,$D$8:$E$8,S$8))</f>
        <v>0</v>
      </c>
      <c r="T74">
        <f>IF($F74="s-curve",$D74+($E74-$D74)*$I$2/(1+EXP($I$3*(COUNT($H$8:T$8)+$I$4))),TREND($D74:$E74,$D$8:$E$8,T$8))</f>
        <v>0</v>
      </c>
      <c r="U74">
        <f>IF($F74="s-curve",$D74+($E74-$D74)*$I$2/(1+EXP($I$3*(COUNT($H$8:U$8)+$I$4))),TREND($D74:$E74,$D$8:$E$8,U$8))</f>
        <v>0</v>
      </c>
      <c r="V74">
        <f>IF($F74="s-curve",$D74+($E74-$D74)*$I$2/(1+EXP($I$3*(COUNT($H$8:V$8)+$I$4))),TREND($D74:$E74,$D$8:$E$8,V$8))</f>
        <v>0</v>
      </c>
      <c r="W74">
        <f>IF($F74="s-curve",$D74+($E74-$D74)*$I$2/(1+EXP($I$3*(COUNT($H$8:W$8)+$I$4))),TREND($D74:$E74,$D$8:$E$8,W$8))</f>
        <v>0</v>
      </c>
      <c r="X74">
        <f>IF($F74="s-curve",$D74+($E74-$D74)*$I$2/(1+EXP($I$3*(COUNT($H$8:X$8)+$I$4))),TREND($D74:$E74,$D$8:$E$8,X$8))</f>
        <v>0</v>
      </c>
      <c r="Y74">
        <f>IF($F74="s-curve",$D74+($E74-$D74)*$I$2/(1+EXP($I$3*(COUNT($H$8:Y$8)+$I$4))),TREND($D74:$E74,$D$8:$E$8,Y$8))</f>
        <v>0</v>
      </c>
      <c r="Z74">
        <f>IF($F74="s-curve",$D74+($E74-$D74)*$I$2/(1+EXP($I$3*(COUNT($H$8:Z$8)+$I$4))),TREND($D74:$E74,$D$8:$E$8,Z$8))</f>
        <v>0</v>
      </c>
      <c r="AA74">
        <f>IF($F74="s-curve",$D74+($E74-$D74)*$I$2/(1+EXP($I$3*(COUNT($H$8:AA$8)+$I$4))),TREND($D74:$E74,$D$8:$E$8,AA$8))</f>
        <v>0</v>
      </c>
      <c r="AB74">
        <f>IF($F74="s-curve",$D74+($E74-$D74)*$I$2/(1+EXP($I$3*(COUNT($H$8:AB$8)+$I$4))),TREND($D74:$E74,$D$8:$E$8,AB$8))</f>
        <v>0</v>
      </c>
      <c r="AC74">
        <f>IF($F74="s-curve",$D74+($E74-$D74)*$I$2/(1+EXP($I$3*(COUNT($H$8:AC$8)+$I$4))),TREND($D74:$E74,$D$8:$E$8,AC$8))</f>
        <v>0</v>
      </c>
      <c r="AD74">
        <f>IF($F74="s-curve",$D74+($E74-$D74)*$I$2/(1+EXP($I$3*(COUNT($H$8:AD$8)+$I$4))),TREND($D74:$E74,$D$8:$E$8,AD$8))</f>
        <v>0</v>
      </c>
      <c r="AE74">
        <f>IF($F74="s-curve",$D74+($E74-$D74)*$I$2/(1+EXP($I$3*(COUNT($H$8:AE$8)+$I$4))),TREND($D74:$E74,$D$8:$E$8,AE$8))</f>
        <v>0</v>
      </c>
      <c r="AF74">
        <f>IF($F74="s-curve",$D74+($E74-$D74)*$I$2/(1+EXP($I$3*(COUNT($H$8:AF$8)+$I$4))),TREND($D74:$E74,$D$8:$E$8,AF$8))</f>
        <v>0</v>
      </c>
      <c r="AG74">
        <f>IF($F74="s-curve",$D74+($E74-$D74)*$I$2/(1+EXP($I$3*(COUNT($H$8:AG$8)+$I$4))),TREND($D74:$E74,$D$8:$E$8,AG$8))</f>
        <v>0</v>
      </c>
      <c r="AH74">
        <f>IF($F74="s-curve",$D74+($E74-$D74)*$I$2/(1+EXP($I$3*(COUNT($H$8:AH$8)+$I$4))),TREND($D74:$E74,$D$8:$E$8,AH$8))</f>
        <v>0</v>
      </c>
      <c r="AI74">
        <f>IF($F74="s-curve",$D74+($E74-$D74)*$I$2/(1+EXP($I$3*(COUNT($H$8:AI$8)+$I$4))),TREND($D74:$E74,$D$8:$E$8,AI$8))</f>
        <v>0</v>
      </c>
      <c r="AJ74">
        <f>IF($F74="s-curve",$D74+($E74-$D74)*$I$2/(1+EXP($I$3*(COUNT($H$8:AJ$8)+$I$4))),TREND($D74:$E74,$D$8:$E$8,AJ$8))</f>
        <v>0</v>
      </c>
      <c r="AK74">
        <f>IF($F74="s-curve",$D74+($E74-$D74)*$I$2/(1+EXP($I$3*(COUNT($H$8:AK$8)+$I$4))),TREND($D74:$E74,$D$8:$E$8,AK$8))</f>
        <v>0</v>
      </c>
      <c r="AL74">
        <f>IF($F74="s-curve",$D74+($E74-$D74)*$I$2/(1+EXP($I$3*(COUNT($H$8:AL$8)+$I$4))),TREND($D74:$E74,$D$8:$E$8,AL$8))</f>
        <v>0</v>
      </c>
      <c r="AM74">
        <f>IF($F74="s-curve",$D74+($E74-$D74)*$I$2/(1+EXP($I$3*(COUNT($H$8:AM$8)+$I$4))),TREND($D74:$E74,$D$8:$E$8,AM$8))</f>
        <v>0</v>
      </c>
      <c r="AN74">
        <f>IF($F74="s-curve",$D74+($E74-$D74)*$I$2/(1+EXP($I$3*(COUNT($H$8:AN$8)+$I$4))),TREND($D74:$E74,$D$8:$E$8,AN$8))</f>
        <v>0</v>
      </c>
      <c r="AO74">
        <f>IF($F74="s-curve",$D74+($E74-$D74)*$I$2/(1+EXP($I$3*(COUNT($H$8:AO$8)+$I$4))),TREND($D74:$E74,$D$8:$E$8,AO$8))</f>
        <v>0</v>
      </c>
      <c r="AP74">
        <f>IF($F74="s-curve",$D74+($E74-$D74)*$I$2/(1+EXP($I$3*(COUNT($H$8:AP$8)+$I$4))),TREND($D74:$E74,$D$8:$E$8,AP$8))</f>
        <v>0</v>
      </c>
      <c r="AQ74">
        <f>IF($F74="s-curve",$D74+($E74-$D74)*$I$2/(1+EXP($I$3*(COUNT($H$8:AQ$8)+$I$4))),TREND($D74:$E74,$D$8:$E$8,AQ$8))</f>
        <v>0</v>
      </c>
      <c r="AR74">
        <f>IF($F74="s-curve",$D74+($E74-$D74)*$I$2/(1+EXP($I$3*(COUNT($H$8:AR$8)+$I$4))),TREND($D74:$E74,$D$8:$E$8,AR$8))</f>
        <v>0</v>
      </c>
      <c r="AS74">
        <f>IF($F74="s-curve",$D74+($E74-$D74)*$I$2/(1+EXP($I$3*(COUNT($H$8:AS$8)+$I$4))),TREND($D74:$E74,$D$8:$E$8,AS$8))</f>
        <v>0</v>
      </c>
      <c r="AT74">
        <f>IF($F74="s-curve",$D74+($E74-$D74)*$I$2/(1+EXP($I$3*(COUNT($H$8:AT$8)+$I$4))),TREND($D74:$E74,$D$8:$E$8,AT$8))</f>
        <v>0</v>
      </c>
      <c r="AU74">
        <f>IF($F74="s-curve",$D74+($E74-$D74)*$I$2/(1+EXP($I$3*(COUNT($H$8:AU$8)+$I$4))),TREND($D74:$E74,$D$8:$E$8,AU$8))</f>
        <v>0</v>
      </c>
      <c r="AV74">
        <f>IF($F74="s-curve",$D74+($E74-$D74)*$I$2/(1+EXP($I$3*(COUNT($H$8:AV$8)+$I$4))),TREND($D74:$E74,$D$8:$E$8,AV$8))</f>
        <v>0</v>
      </c>
    </row>
    <row r="75" spans="1:48" x14ac:dyDescent="0.15">
      <c r="C75" t="s">
        <v>4</v>
      </c>
      <c r="D75">
        <v>1</v>
      </c>
      <c r="E75">
        <v>1</v>
      </c>
      <c r="F75" s="7" t="str">
        <f>IF(D75=E75,"n/a",IF(OR(C75="battery electric vehicle",C75="natural gas vehicle",C75="plugin hybrid vehicle"),"s-curve","linear"))</f>
        <v>n/a</v>
      </c>
      <c r="H75" s="22">
        <f t="shared" si="24"/>
        <v>1</v>
      </c>
      <c r="I75">
        <f>IF($F75="s-curve",$D75+($E75-$D75)*$I$2/(1+EXP($I$3*(COUNT($H$8:I$8)+$I$4))),TREND($D75:$E75,$D$8:$E$8,I$8))</f>
        <v>1</v>
      </c>
      <c r="J75">
        <f>IF($F75="s-curve",$D75+($E75-$D75)*$I$2/(1+EXP($I$3*(COUNT($H$8:J$8)+$I$4))),TREND($D75:$E75,$D$8:$E$8,J$8))</f>
        <v>1</v>
      </c>
      <c r="K75">
        <f>IF($F75="s-curve",$D75+($E75-$D75)*$I$2/(1+EXP($I$3*(COUNT($H$8:K$8)+$I$4))),TREND($D75:$E75,$D$8:$E$8,K$8))</f>
        <v>1</v>
      </c>
      <c r="L75">
        <f>IF($F75="s-curve",$D75+($E75-$D75)*$I$2/(1+EXP($I$3*(COUNT($H$8:L$8)+$I$4))),TREND($D75:$E75,$D$8:$E$8,L$8))</f>
        <v>1</v>
      </c>
      <c r="M75">
        <f>IF($F75="s-curve",$D75+($E75-$D75)*$I$2/(1+EXP($I$3*(COUNT($H$8:M$8)+$I$4))),TREND($D75:$E75,$D$8:$E$8,M$8))</f>
        <v>1</v>
      </c>
      <c r="N75">
        <f>IF($F75="s-curve",$D75+($E75-$D75)*$I$2/(1+EXP($I$3*(COUNT($H$8:N$8)+$I$4))),TREND($D75:$E75,$D$8:$E$8,N$8))</f>
        <v>1</v>
      </c>
      <c r="O75">
        <f>IF($F75="s-curve",$D75+($E75-$D75)*$I$2/(1+EXP($I$3*(COUNT($H$8:O$8)+$I$4))),TREND($D75:$E75,$D$8:$E$8,O$8))</f>
        <v>1</v>
      </c>
      <c r="P75">
        <f>IF($F75="s-curve",$D75+($E75-$D75)*$I$2/(1+EXP($I$3*(COUNT($H$8:P$8)+$I$4))),TREND($D75:$E75,$D$8:$E$8,P$8))</f>
        <v>1</v>
      </c>
      <c r="Q75">
        <f>IF($F75="s-curve",$D75+($E75-$D75)*$I$2/(1+EXP($I$3*(COUNT($H$8:Q$8)+$I$4))),TREND($D75:$E75,$D$8:$E$8,Q$8))</f>
        <v>1</v>
      </c>
      <c r="R75">
        <f>IF($F75="s-curve",$D75+($E75-$D75)*$I$2/(1+EXP($I$3*(COUNT($H$8:R$8)+$I$4))),TREND($D75:$E75,$D$8:$E$8,R$8))</f>
        <v>1</v>
      </c>
      <c r="S75">
        <f>IF($F75="s-curve",$D75+($E75-$D75)*$I$2/(1+EXP($I$3*(COUNT($H$8:S$8)+$I$4))),TREND($D75:$E75,$D$8:$E$8,S$8))</f>
        <v>1</v>
      </c>
      <c r="T75">
        <f>IF($F75="s-curve",$D75+($E75-$D75)*$I$2/(1+EXP($I$3*(COUNT($H$8:T$8)+$I$4))),TREND($D75:$E75,$D$8:$E$8,T$8))</f>
        <v>1</v>
      </c>
      <c r="U75">
        <f>IF($F75="s-curve",$D75+($E75-$D75)*$I$2/(1+EXP($I$3*(COUNT($H$8:U$8)+$I$4))),TREND($D75:$E75,$D$8:$E$8,U$8))</f>
        <v>1</v>
      </c>
      <c r="V75">
        <f>IF($F75="s-curve",$D75+($E75-$D75)*$I$2/(1+EXP($I$3*(COUNT($H$8:V$8)+$I$4))),TREND($D75:$E75,$D$8:$E$8,V$8))</f>
        <v>1</v>
      </c>
      <c r="W75">
        <f>IF($F75="s-curve",$D75+($E75-$D75)*$I$2/(1+EXP($I$3*(COUNT($H$8:W$8)+$I$4))),TREND($D75:$E75,$D$8:$E$8,W$8))</f>
        <v>1</v>
      </c>
      <c r="X75">
        <f>IF($F75="s-curve",$D75+($E75-$D75)*$I$2/(1+EXP($I$3*(COUNT($H$8:X$8)+$I$4))),TREND($D75:$E75,$D$8:$E$8,X$8))</f>
        <v>1</v>
      </c>
      <c r="Y75">
        <f>IF($F75="s-curve",$D75+($E75-$D75)*$I$2/(1+EXP($I$3*(COUNT($H$8:Y$8)+$I$4))),TREND($D75:$E75,$D$8:$E$8,Y$8))</f>
        <v>1</v>
      </c>
      <c r="Z75">
        <f>IF($F75="s-curve",$D75+($E75-$D75)*$I$2/(1+EXP($I$3*(COUNT($H$8:Z$8)+$I$4))),TREND($D75:$E75,$D$8:$E$8,Z$8))</f>
        <v>1</v>
      </c>
      <c r="AA75">
        <f>IF($F75="s-curve",$D75+($E75-$D75)*$I$2/(1+EXP($I$3*(COUNT($H$8:AA$8)+$I$4))),TREND($D75:$E75,$D$8:$E$8,AA$8))</f>
        <v>1</v>
      </c>
      <c r="AB75">
        <f>IF($F75="s-curve",$D75+($E75-$D75)*$I$2/(1+EXP($I$3*(COUNT($H$8:AB$8)+$I$4))),TREND($D75:$E75,$D$8:$E$8,AB$8))</f>
        <v>1</v>
      </c>
      <c r="AC75">
        <f>IF($F75="s-curve",$D75+($E75-$D75)*$I$2/(1+EXP($I$3*(COUNT($H$8:AC$8)+$I$4))),TREND($D75:$E75,$D$8:$E$8,AC$8))</f>
        <v>1</v>
      </c>
      <c r="AD75">
        <f>IF($F75="s-curve",$D75+($E75-$D75)*$I$2/(1+EXP($I$3*(COUNT($H$8:AD$8)+$I$4))),TREND($D75:$E75,$D$8:$E$8,AD$8))</f>
        <v>1</v>
      </c>
      <c r="AE75">
        <f>IF($F75="s-curve",$D75+($E75-$D75)*$I$2/(1+EXP($I$3*(COUNT($H$8:AE$8)+$I$4))),TREND($D75:$E75,$D$8:$E$8,AE$8))</f>
        <v>1</v>
      </c>
      <c r="AF75">
        <f>IF($F75="s-curve",$D75+($E75-$D75)*$I$2/(1+EXP($I$3*(COUNT($H$8:AF$8)+$I$4))),TREND($D75:$E75,$D$8:$E$8,AF$8))</f>
        <v>1</v>
      </c>
      <c r="AG75">
        <f>IF($F75="s-curve",$D75+($E75-$D75)*$I$2/(1+EXP($I$3*(COUNT($H$8:AG$8)+$I$4))),TREND($D75:$E75,$D$8:$E$8,AG$8))</f>
        <v>1</v>
      </c>
      <c r="AH75">
        <f>IF($F75="s-curve",$D75+($E75-$D75)*$I$2/(1+EXP($I$3*(COUNT($H$8:AH$8)+$I$4))),TREND($D75:$E75,$D$8:$E$8,AH$8))</f>
        <v>1</v>
      </c>
      <c r="AI75">
        <f>IF($F75="s-curve",$D75+($E75-$D75)*$I$2/(1+EXP($I$3*(COUNT($H$8:AI$8)+$I$4))),TREND($D75:$E75,$D$8:$E$8,AI$8))</f>
        <v>1</v>
      </c>
      <c r="AJ75">
        <f>IF($F75="s-curve",$D75+($E75-$D75)*$I$2/(1+EXP($I$3*(COUNT($H$8:AJ$8)+$I$4))),TREND($D75:$E75,$D$8:$E$8,AJ$8))</f>
        <v>1</v>
      </c>
      <c r="AK75">
        <f>IF($F75="s-curve",$D75+($E75-$D75)*$I$2/(1+EXP($I$3*(COUNT($H$8:AK$8)+$I$4))),TREND($D75:$E75,$D$8:$E$8,AK$8))</f>
        <v>1</v>
      </c>
      <c r="AL75">
        <f>IF($F75="s-curve",$D75+($E75-$D75)*$I$2/(1+EXP($I$3*(COUNT($H$8:AL$8)+$I$4))),TREND($D75:$E75,$D$8:$E$8,AL$8))</f>
        <v>1</v>
      </c>
      <c r="AM75">
        <f>IF($F75="s-curve",$D75+($E75-$D75)*$I$2/(1+EXP($I$3*(COUNT($H$8:AM$8)+$I$4))),TREND($D75:$E75,$D$8:$E$8,AM$8))</f>
        <v>1</v>
      </c>
      <c r="AN75">
        <f>IF($F75="s-curve",$D75+($E75-$D75)*$I$2/(1+EXP($I$3*(COUNT($H$8:AN$8)+$I$4))),TREND($D75:$E75,$D$8:$E$8,AN$8))</f>
        <v>1</v>
      </c>
      <c r="AO75">
        <f>IF($F75="s-curve",$D75+($E75-$D75)*$I$2/(1+EXP($I$3*(COUNT($H$8:AO$8)+$I$4))),TREND($D75:$E75,$D$8:$E$8,AO$8))</f>
        <v>1</v>
      </c>
      <c r="AP75">
        <f>IF($F75="s-curve",$D75+($E75-$D75)*$I$2/(1+EXP($I$3*(COUNT($H$8:AP$8)+$I$4))),TREND($D75:$E75,$D$8:$E$8,AP$8))</f>
        <v>1</v>
      </c>
      <c r="AQ75">
        <f>IF($F75="s-curve",$D75+($E75-$D75)*$I$2/(1+EXP($I$3*(COUNT($H$8:AQ$8)+$I$4))),TREND($D75:$E75,$D$8:$E$8,AQ$8))</f>
        <v>1</v>
      </c>
      <c r="AR75">
        <f>IF($F75="s-curve",$D75+($E75-$D75)*$I$2/(1+EXP($I$3*(COUNT($H$8:AR$8)+$I$4))),TREND($D75:$E75,$D$8:$E$8,AR$8))</f>
        <v>1</v>
      </c>
      <c r="AS75">
        <f>IF($F75="s-curve",$D75+($E75-$D75)*$I$2/(1+EXP($I$3*(COUNT($H$8:AS$8)+$I$4))),TREND($D75:$E75,$D$8:$E$8,AS$8))</f>
        <v>1</v>
      </c>
      <c r="AT75">
        <f>IF($F75="s-curve",$D75+($E75-$D75)*$I$2/(1+EXP($I$3*(COUNT($H$8:AT$8)+$I$4))),TREND($D75:$E75,$D$8:$E$8,AT$8))</f>
        <v>1</v>
      </c>
      <c r="AU75">
        <f>IF($F75="s-curve",$D75+($E75-$D75)*$I$2/(1+EXP($I$3*(COUNT($H$8:AU$8)+$I$4))),TREND($D75:$E75,$D$8:$E$8,AU$8))</f>
        <v>1</v>
      </c>
      <c r="AV75">
        <f>IF($F75="s-curve",$D75+($E75-$D75)*$I$2/(1+EXP($I$3*(COUNT($H$8:AV$8)+$I$4))),TREND($D75:$E75,$D$8:$E$8,AV$8))</f>
        <v>1</v>
      </c>
    </row>
    <row r="76" spans="1:48" x14ac:dyDescent="0.15">
      <c r="C76" t="s">
        <v>5</v>
      </c>
      <c r="D76">
        <v>0</v>
      </c>
      <c r="E76">
        <v>0</v>
      </c>
      <c r="F76" s="7" t="str">
        <f>IF(D76=E76,"n/a",IF(OR(C76="battery electric vehicle",C76="natural gas vehicle",C76="plugin hybrid vehicle"),"s-curve","linear"))</f>
        <v>n/a</v>
      </c>
      <c r="H76" s="22">
        <f t="shared" si="24"/>
        <v>0</v>
      </c>
      <c r="I76">
        <f>IF($F76="s-curve",$D76+($E76-$D76)*$I$2/(1+EXP($I$3*(COUNT($H$8:I$8)+$I$4))),TREND($D76:$E76,$D$8:$E$8,I$8))</f>
        <v>0</v>
      </c>
      <c r="J76">
        <f>IF($F76="s-curve",$D76+($E76-$D76)*$I$2/(1+EXP($I$3*(COUNT($H$8:J$8)+$I$4))),TREND($D76:$E76,$D$8:$E$8,J$8))</f>
        <v>0</v>
      </c>
      <c r="K76">
        <f>IF($F76="s-curve",$D76+($E76-$D76)*$I$2/(1+EXP($I$3*(COUNT($H$8:K$8)+$I$4))),TREND($D76:$E76,$D$8:$E$8,K$8))</f>
        <v>0</v>
      </c>
      <c r="L76">
        <f>IF($F76="s-curve",$D76+($E76-$D76)*$I$2/(1+EXP($I$3*(COUNT($H$8:L$8)+$I$4))),TREND($D76:$E76,$D$8:$E$8,L$8))</f>
        <v>0</v>
      </c>
      <c r="M76">
        <f>IF($F76="s-curve",$D76+($E76-$D76)*$I$2/(1+EXP($I$3*(COUNT($H$8:M$8)+$I$4))),TREND($D76:$E76,$D$8:$E$8,M$8))</f>
        <v>0</v>
      </c>
      <c r="N76">
        <f>IF($F76="s-curve",$D76+($E76-$D76)*$I$2/(1+EXP($I$3*(COUNT($H$8:N$8)+$I$4))),TREND($D76:$E76,$D$8:$E$8,N$8))</f>
        <v>0</v>
      </c>
      <c r="O76">
        <f>IF($F76="s-curve",$D76+($E76-$D76)*$I$2/(1+EXP($I$3*(COUNT($H$8:O$8)+$I$4))),TREND($D76:$E76,$D$8:$E$8,O$8))</f>
        <v>0</v>
      </c>
      <c r="P76">
        <f>IF($F76="s-curve",$D76+($E76-$D76)*$I$2/(1+EXP($I$3*(COUNT($H$8:P$8)+$I$4))),TREND($D76:$E76,$D$8:$E$8,P$8))</f>
        <v>0</v>
      </c>
      <c r="Q76">
        <f>IF($F76="s-curve",$D76+($E76-$D76)*$I$2/(1+EXP($I$3*(COUNT($H$8:Q$8)+$I$4))),TREND($D76:$E76,$D$8:$E$8,Q$8))</f>
        <v>0</v>
      </c>
      <c r="R76">
        <f>IF($F76="s-curve",$D76+($E76-$D76)*$I$2/(1+EXP($I$3*(COUNT($H$8:R$8)+$I$4))),TREND($D76:$E76,$D$8:$E$8,R$8))</f>
        <v>0</v>
      </c>
      <c r="S76">
        <f>IF($F76="s-curve",$D76+($E76-$D76)*$I$2/(1+EXP($I$3*(COUNT($H$8:S$8)+$I$4))),TREND($D76:$E76,$D$8:$E$8,S$8))</f>
        <v>0</v>
      </c>
      <c r="T76">
        <f>IF($F76="s-curve",$D76+($E76-$D76)*$I$2/(1+EXP($I$3*(COUNT($H$8:T$8)+$I$4))),TREND($D76:$E76,$D$8:$E$8,T$8))</f>
        <v>0</v>
      </c>
      <c r="U76">
        <f>IF($F76="s-curve",$D76+($E76-$D76)*$I$2/(1+EXP($I$3*(COUNT($H$8:U$8)+$I$4))),TREND($D76:$E76,$D$8:$E$8,U$8))</f>
        <v>0</v>
      </c>
      <c r="V76">
        <f>IF($F76="s-curve",$D76+($E76-$D76)*$I$2/(1+EXP($I$3*(COUNT($H$8:V$8)+$I$4))),TREND($D76:$E76,$D$8:$E$8,V$8))</f>
        <v>0</v>
      </c>
      <c r="W76">
        <f>IF($F76="s-curve",$D76+($E76-$D76)*$I$2/(1+EXP($I$3*(COUNT($H$8:W$8)+$I$4))),TREND($D76:$E76,$D$8:$E$8,W$8))</f>
        <v>0</v>
      </c>
      <c r="X76">
        <f>IF($F76="s-curve",$D76+($E76-$D76)*$I$2/(1+EXP($I$3*(COUNT($H$8:X$8)+$I$4))),TREND($D76:$E76,$D$8:$E$8,X$8))</f>
        <v>0</v>
      </c>
      <c r="Y76">
        <f>IF($F76="s-curve",$D76+($E76-$D76)*$I$2/(1+EXP($I$3*(COUNT($H$8:Y$8)+$I$4))),TREND($D76:$E76,$D$8:$E$8,Y$8))</f>
        <v>0</v>
      </c>
      <c r="Z76">
        <f>IF($F76="s-curve",$D76+($E76-$D76)*$I$2/(1+EXP($I$3*(COUNT($H$8:Z$8)+$I$4))),TREND($D76:$E76,$D$8:$E$8,Z$8))</f>
        <v>0</v>
      </c>
      <c r="AA76">
        <f>IF($F76="s-curve",$D76+($E76-$D76)*$I$2/(1+EXP($I$3*(COUNT($H$8:AA$8)+$I$4))),TREND($D76:$E76,$D$8:$E$8,AA$8))</f>
        <v>0</v>
      </c>
      <c r="AB76">
        <f>IF($F76="s-curve",$D76+($E76-$D76)*$I$2/(1+EXP($I$3*(COUNT($H$8:AB$8)+$I$4))),TREND($D76:$E76,$D$8:$E$8,AB$8))</f>
        <v>0</v>
      </c>
      <c r="AC76">
        <f>IF($F76="s-curve",$D76+($E76-$D76)*$I$2/(1+EXP($I$3*(COUNT($H$8:AC$8)+$I$4))),TREND($D76:$E76,$D$8:$E$8,AC$8))</f>
        <v>0</v>
      </c>
      <c r="AD76">
        <f>IF($F76="s-curve",$D76+($E76-$D76)*$I$2/(1+EXP($I$3*(COUNT($H$8:AD$8)+$I$4))),TREND($D76:$E76,$D$8:$E$8,AD$8))</f>
        <v>0</v>
      </c>
      <c r="AE76">
        <f>IF($F76="s-curve",$D76+($E76-$D76)*$I$2/(1+EXP($I$3*(COUNT($H$8:AE$8)+$I$4))),TREND($D76:$E76,$D$8:$E$8,AE$8))</f>
        <v>0</v>
      </c>
      <c r="AF76">
        <f>IF($F76="s-curve",$D76+($E76-$D76)*$I$2/(1+EXP($I$3*(COUNT($H$8:AF$8)+$I$4))),TREND($D76:$E76,$D$8:$E$8,AF$8))</f>
        <v>0</v>
      </c>
      <c r="AG76">
        <f>IF($F76="s-curve",$D76+($E76-$D76)*$I$2/(1+EXP($I$3*(COUNT($H$8:AG$8)+$I$4))),TREND($D76:$E76,$D$8:$E$8,AG$8))</f>
        <v>0</v>
      </c>
      <c r="AH76">
        <f>IF($F76="s-curve",$D76+($E76-$D76)*$I$2/(1+EXP($I$3*(COUNT($H$8:AH$8)+$I$4))),TREND($D76:$E76,$D$8:$E$8,AH$8))</f>
        <v>0</v>
      </c>
      <c r="AI76">
        <f>IF($F76="s-curve",$D76+($E76-$D76)*$I$2/(1+EXP($I$3*(COUNT($H$8:AI$8)+$I$4))),TREND($D76:$E76,$D$8:$E$8,AI$8))</f>
        <v>0</v>
      </c>
      <c r="AJ76">
        <f>IF($F76="s-curve",$D76+($E76-$D76)*$I$2/(1+EXP($I$3*(COUNT($H$8:AJ$8)+$I$4))),TREND($D76:$E76,$D$8:$E$8,AJ$8))</f>
        <v>0</v>
      </c>
      <c r="AK76">
        <f>IF($F76="s-curve",$D76+($E76-$D76)*$I$2/(1+EXP($I$3*(COUNT($H$8:AK$8)+$I$4))),TREND($D76:$E76,$D$8:$E$8,AK$8))</f>
        <v>0</v>
      </c>
      <c r="AL76">
        <f>IF($F76="s-curve",$D76+($E76-$D76)*$I$2/(1+EXP($I$3*(COUNT($H$8:AL$8)+$I$4))),TREND($D76:$E76,$D$8:$E$8,AL$8))</f>
        <v>0</v>
      </c>
      <c r="AM76">
        <f>IF($F76="s-curve",$D76+($E76-$D76)*$I$2/(1+EXP($I$3*(COUNT($H$8:AM$8)+$I$4))),TREND($D76:$E76,$D$8:$E$8,AM$8))</f>
        <v>0</v>
      </c>
      <c r="AN76">
        <f>IF($F76="s-curve",$D76+($E76-$D76)*$I$2/(1+EXP($I$3*(COUNT($H$8:AN$8)+$I$4))),TREND($D76:$E76,$D$8:$E$8,AN$8))</f>
        <v>0</v>
      </c>
      <c r="AO76">
        <f>IF($F76="s-curve",$D76+($E76-$D76)*$I$2/(1+EXP($I$3*(COUNT($H$8:AO$8)+$I$4))),TREND($D76:$E76,$D$8:$E$8,AO$8))</f>
        <v>0</v>
      </c>
      <c r="AP76">
        <f>IF($F76="s-curve",$D76+($E76-$D76)*$I$2/(1+EXP($I$3*(COUNT($H$8:AP$8)+$I$4))),TREND($D76:$E76,$D$8:$E$8,AP$8))</f>
        <v>0</v>
      </c>
      <c r="AQ76">
        <f>IF($F76="s-curve",$D76+($E76-$D76)*$I$2/(1+EXP($I$3*(COUNT($H$8:AQ$8)+$I$4))),TREND($D76:$E76,$D$8:$E$8,AQ$8))</f>
        <v>0</v>
      </c>
      <c r="AR76">
        <f>IF($F76="s-curve",$D76+($E76-$D76)*$I$2/(1+EXP($I$3*(COUNT($H$8:AR$8)+$I$4))),TREND($D76:$E76,$D$8:$E$8,AR$8))</f>
        <v>0</v>
      </c>
      <c r="AS76">
        <f>IF($F76="s-curve",$D76+($E76-$D76)*$I$2/(1+EXP($I$3*(COUNT($H$8:AS$8)+$I$4))),TREND($D76:$E76,$D$8:$E$8,AS$8))</f>
        <v>0</v>
      </c>
      <c r="AT76">
        <f>IF($F76="s-curve",$D76+($E76-$D76)*$I$2/(1+EXP($I$3*(COUNT($H$8:AT$8)+$I$4))),TREND($D76:$E76,$D$8:$E$8,AT$8))</f>
        <v>0</v>
      </c>
      <c r="AU76">
        <f>IF($F76="s-curve",$D76+($E76-$D76)*$I$2/(1+EXP($I$3*(COUNT($H$8:AU$8)+$I$4))),TREND($D76:$E76,$D$8:$E$8,AU$8))</f>
        <v>0</v>
      </c>
      <c r="AV76">
        <f>IF($F76="s-curve",$D76+($E76-$D76)*$I$2/(1+EXP($I$3*(COUNT($H$8:AV$8)+$I$4))),TREND($D76:$E76,$D$8:$E$8,AV$8))</f>
        <v>0</v>
      </c>
    </row>
    <row r="77" spans="1:48" x14ac:dyDescent="0.15">
      <c r="C77" t="s">
        <v>125</v>
      </c>
      <c r="D77">
        <v>0</v>
      </c>
      <c r="E77">
        <v>0</v>
      </c>
      <c r="F77" s="7" t="str">
        <f>IF(D77=E77,"n/a",IF(OR(C77="battery electric vehicle",C77="natural gas vehicle",C77="plugin hybrid vehicle",C77="hydrogen vehicle"),"s-curve","linear"))</f>
        <v>n/a</v>
      </c>
      <c r="H77" s="22">
        <f t="shared" si="24"/>
        <v>0</v>
      </c>
      <c r="I77">
        <f>IF($F77="s-curve",$D77+($E77-$D77)*$I$2/(1+EXP($I$3*(COUNT($H$8:I$8)+$I$4))),TREND($D77:$E77,$D$8:$E$8,I$8))</f>
        <v>0</v>
      </c>
      <c r="J77">
        <f>IF($F77="s-curve",$D77+($E77-$D77)*$I$2/(1+EXP($I$3*(COUNT($H$8:J$8)+$I$4))),TREND($D77:$E77,$D$8:$E$8,J$8))</f>
        <v>0</v>
      </c>
      <c r="K77">
        <f>IF($F77="s-curve",$D77+($E77-$D77)*$I$2/(1+EXP($I$3*(COUNT($H$8:K$8)+$I$4))),TREND($D77:$E77,$D$8:$E$8,K$8))</f>
        <v>0</v>
      </c>
      <c r="L77">
        <f>IF($F77="s-curve",$D77+($E77-$D77)*$I$2/(1+EXP($I$3*(COUNT($H$8:L$8)+$I$4))),TREND($D77:$E77,$D$8:$E$8,L$8))</f>
        <v>0</v>
      </c>
      <c r="M77">
        <f>IF($F77="s-curve",$D77+($E77-$D77)*$I$2/(1+EXP($I$3*(COUNT($H$8:M$8)+$I$4))),TREND($D77:$E77,$D$8:$E$8,M$8))</f>
        <v>0</v>
      </c>
      <c r="N77">
        <f>IF($F77="s-curve",$D77+($E77-$D77)*$I$2/(1+EXP($I$3*(COUNT($H$8:N$8)+$I$4))),TREND($D77:$E77,$D$8:$E$8,N$8))</f>
        <v>0</v>
      </c>
      <c r="O77">
        <f>IF($F77="s-curve",$D77+($E77-$D77)*$I$2/(1+EXP($I$3*(COUNT($H$8:O$8)+$I$4))),TREND($D77:$E77,$D$8:$E$8,O$8))</f>
        <v>0</v>
      </c>
      <c r="P77">
        <f>IF($F77="s-curve",$D77+($E77-$D77)*$I$2/(1+EXP($I$3*(COUNT($H$8:P$8)+$I$4))),TREND($D77:$E77,$D$8:$E$8,P$8))</f>
        <v>0</v>
      </c>
      <c r="Q77">
        <f>IF($F77="s-curve",$D77+($E77-$D77)*$I$2/(1+EXP($I$3*(COUNT($H$8:Q$8)+$I$4))),TREND($D77:$E77,$D$8:$E$8,Q$8))</f>
        <v>0</v>
      </c>
      <c r="R77">
        <f>IF($F77="s-curve",$D77+($E77-$D77)*$I$2/(1+EXP($I$3*(COUNT($H$8:R$8)+$I$4))),TREND($D77:$E77,$D$8:$E$8,R$8))</f>
        <v>0</v>
      </c>
      <c r="S77">
        <f>IF($F77="s-curve",$D77+($E77-$D77)*$I$2/(1+EXP($I$3*(COUNT($H$8:S$8)+$I$4))),TREND($D77:$E77,$D$8:$E$8,S$8))</f>
        <v>0</v>
      </c>
      <c r="T77">
        <f>IF($F77="s-curve",$D77+($E77-$D77)*$I$2/(1+EXP($I$3*(COUNT($H$8:T$8)+$I$4))),TREND($D77:$E77,$D$8:$E$8,T$8))</f>
        <v>0</v>
      </c>
      <c r="U77">
        <f>IF($F77="s-curve",$D77+($E77-$D77)*$I$2/(1+EXP($I$3*(COUNT($H$8:U$8)+$I$4))),TREND($D77:$E77,$D$8:$E$8,U$8))</f>
        <v>0</v>
      </c>
      <c r="V77">
        <f>IF($F77="s-curve",$D77+($E77-$D77)*$I$2/(1+EXP($I$3*(COUNT($H$8:V$8)+$I$4))),TREND($D77:$E77,$D$8:$E$8,V$8))</f>
        <v>0</v>
      </c>
      <c r="W77">
        <f>IF($F77="s-curve",$D77+($E77-$D77)*$I$2/(1+EXP($I$3*(COUNT($H$8:W$8)+$I$4))),TREND($D77:$E77,$D$8:$E$8,W$8))</f>
        <v>0</v>
      </c>
      <c r="X77">
        <f>IF($F77="s-curve",$D77+($E77-$D77)*$I$2/(1+EXP($I$3*(COUNT($H$8:X$8)+$I$4))),TREND($D77:$E77,$D$8:$E$8,X$8))</f>
        <v>0</v>
      </c>
      <c r="Y77">
        <f>IF($F77="s-curve",$D77+($E77-$D77)*$I$2/(1+EXP($I$3*(COUNT($H$8:Y$8)+$I$4))),TREND($D77:$E77,$D$8:$E$8,Y$8))</f>
        <v>0</v>
      </c>
      <c r="Z77">
        <f>IF($F77="s-curve",$D77+($E77-$D77)*$I$2/(1+EXP($I$3*(COUNT($H$8:Z$8)+$I$4))),TREND($D77:$E77,$D$8:$E$8,Z$8))</f>
        <v>0</v>
      </c>
      <c r="AA77">
        <f>IF($F77="s-curve",$D77+($E77-$D77)*$I$2/(1+EXP($I$3*(COUNT($H$8:AA$8)+$I$4))),TREND($D77:$E77,$D$8:$E$8,AA$8))</f>
        <v>0</v>
      </c>
      <c r="AB77">
        <f>IF($F77="s-curve",$D77+($E77-$D77)*$I$2/(1+EXP($I$3*(COUNT($H$8:AB$8)+$I$4))),TREND($D77:$E77,$D$8:$E$8,AB$8))</f>
        <v>0</v>
      </c>
      <c r="AC77">
        <f>IF($F77="s-curve",$D77+($E77-$D77)*$I$2/(1+EXP($I$3*(COUNT($H$8:AC$8)+$I$4))),TREND($D77:$E77,$D$8:$E$8,AC$8))</f>
        <v>0</v>
      </c>
      <c r="AD77">
        <f>IF($F77="s-curve",$D77+($E77-$D77)*$I$2/(1+EXP($I$3*(COUNT($H$8:AD$8)+$I$4))),TREND($D77:$E77,$D$8:$E$8,AD$8))</f>
        <v>0</v>
      </c>
      <c r="AE77">
        <f>IF($F77="s-curve",$D77+($E77-$D77)*$I$2/(1+EXP($I$3*(COUNT($H$8:AE$8)+$I$4))),TREND($D77:$E77,$D$8:$E$8,AE$8))</f>
        <v>0</v>
      </c>
      <c r="AF77">
        <f>IF($F77="s-curve",$D77+($E77-$D77)*$I$2/(1+EXP($I$3*(COUNT($H$8:AF$8)+$I$4))),TREND($D77:$E77,$D$8:$E$8,AF$8))</f>
        <v>0</v>
      </c>
      <c r="AG77">
        <f>IF($F77="s-curve",$D77+($E77-$D77)*$I$2/(1+EXP($I$3*(COUNT($H$8:AG$8)+$I$4))),TREND($D77:$E77,$D$8:$E$8,AG$8))</f>
        <v>0</v>
      </c>
      <c r="AH77">
        <f>IF($F77="s-curve",$D77+($E77-$D77)*$I$2/(1+EXP($I$3*(COUNT($H$8:AH$8)+$I$4))),TREND($D77:$E77,$D$8:$E$8,AH$8))</f>
        <v>0</v>
      </c>
      <c r="AI77">
        <f>IF($F77="s-curve",$D77+($E77-$D77)*$I$2/(1+EXP($I$3*(COUNT($H$8:AI$8)+$I$4))),TREND($D77:$E77,$D$8:$E$8,AI$8))</f>
        <v>0</v>
      </c>
      <c r="AJ77">
        <f>IF($F77="s-curve",$D77+($E77-$D77)*$I$2/(1+EXP($I$3*(COUNT($H$8:AJ$8)+$I$4))),TREND($D77:$E77,$D$8:$E$8,AJ$8))</f>
        <v>0</v>
      </c>
      <c r="AK77">
        <f>IF($F77="s-curve",$D77+($E77-$D77)*$I$2/(1+EXP($I$3*(COUNT($H$8:AK$8)+$I$4))),TREND($D77:$E77,$D$8:$E$8,AK$8))</f>
        <v>0</v>
      </c>
      <c r="AL77">
        <f>IF($F77="s-curve",$D77+($E77-$D77)*$I$2/(1+EXP($I$3*(COUNT($H$8:AL$8)+$I$4))),TREND($D77:$E77,$D$8:$E$8,AL$8))</f>
        <v>0</v>
      </c>
      <c r="AM77">
        <f>IF($F77="s-curve",$D77+($E77-$D77)*$I$2/(1+EXP($I$3*(COUNT($H$8:AM$8)+$I$4))),TREND($D77:$E77,$D$8:$E$8,AM$8))</f>
        <v>0</v>
      </c>
      <c r="AN77">
        <f>IF($F77="s-curve",$D77+($E77-$D77)*$I$2/(1+EXP($I$3*(COUNT($H$8:AN$8)+$I$4))),TREND($D77:$E77,$D$8:$E$8,AN$8))</f>
        <v>0</v>
      </c>
      <c r="AO77">
        <f>IF($F77="s-curve",$D77+($E77-$D77)*$I$2/(1+EXP($I$3*(COUNT($H$8:AO$8)+$I$4))),TREND($D77:$E77,$D$8:$E$8,AO$8))</f>
        <v>0</v>
      </c>
      <c r="AP77">
        <f>IF($F77="s-curve",$D77+($E77-$D77)*$I$2/(1+EXP($I$3*(COUNT($H$8:AP$8)+$I$4))),TREND($D77:$E77,$D$8:$E$8,AP$8))</f>
        <v>0</v>
      </c>
      <c r="AQ77">
        <f>IF($F77="s-curve",$D77+($E77-$D77)*$I$2/(1+EXP($I$3*(COUNT($H$8:AQ$8)+$I$4))),TREND($D77:$E77,$D$8:$E$8,AQ$8))</f>
        <v>0</v>
      </c>
      <c r="AR77">
        <f>IF($F77="s-curve",$D77+($E77-$D77)*$I$2/(1+EXP($I$3*(COUNT($H$8:AR$8)+$I$4))),TREND($D77:$E77,$D$8:$E$8,AR$8))</f>
        <v>0</v>
      </c>
      <c r="AS77">
        <f>IF($F77="s-curve",$D77+($E77-$D77)*$I$2/(1+EXP($I$3*(COUNT($H$8:AS$8)+$I$4))),TREND($D77:$E77,$D$8:$E$8,AS$8))</f>
        <v>0</v>
      </c>
      <c r="AT77">
        <f>IF($F77="s-curve",$D77+($E77-$D77)*$I$2/(1+EXP($I$3*(COUNT($H$8:AT$8)+$I$4))),TREND($D77:$E77,$D$8:$E$8,AT$8))</f>
        <v>0</v>
      </c>
      <c r="AU77">
        <f>IF($F77="s-curve",$D77+($E77-$D77)*$I$2/(1+EXP($I$3*(COUNT($H$8:AU$8)+$I$4))),TREND($D77:$E77,$D$8:$E$8,AU$8))</f>
        <v>0</v>
      </c>
      <c r="AV77">
        <f>IF($F77="s-curve",$D77+($E77-$D77)*$I$2/(1+EXP($I$3*(COUNT($H$8:AV$8)+$I$4))),TREND($D77:$E77,$D$8:$E$8,AV$8))</f>
        <v>0</v>
      </c>
    </row>
    <row r="78" spans="1:48" ht="13.6" thickBot="1" x14ac:dyDescent="0.2">
      <c r="A78" s="23"/>
      <c r="B78" s="23"/>
      <c r="C78" s="23" t="s">
        <v>126</v>
      </c>
      <c r="D78" s="23">
        <v>0</v>
      </c>
      <c r="E78" s="23">
        <v>0.4</v>
      </c>
      <c r="F78" s="8" t="str">
        <f>IF(D78=E78,"n/a",IF(OR(C78="battery electric vehicle",C78="natural gas vehicle",C78="plugin hybrid vehicle",C78="hydrogen vehicle"),"s-curve","linear"))</f>
        <v>s-curve</v>
      </c>
      <c r="H78" s="22">
        <f t="shared" si="24"/>
        <v>0</v>
      </c>
      <c r="I78">
        <f>IF($F78="s-curve",$D78+($E78-$D78)*$I$2/(1+EXP($I$3*(COUNT($H$8:I$8)+$I$4))),TREND($D78:$E78,$D$8:$E$8,I$8))</f>
        <v>5.9096126773092224E-3</v>
      </c>
      <c r="J78">
        <f>IF($F78="s-curve",$D78+($E78-$D78)*$I$2/(1+EXP($I$3*(COUNT($H$8:J$8)+$I$4))),TREND($D78:$E78,$D$8:$E$8,J$8))</f>
        <v>7.9361222936310035E-3</v>
      </c>
      <c r="K78">
        <f>IF($F78="s-curve",$D78+($E78-$D78)*$I$2/(1+EXP($I$3*(COUNT($H$8:K$8)+$I$4))),TREND($D78:$E78,$D$8:$E$8,K$8))</f>
        <v>1.0638797430746347E-2</v>
      </c>
      <c r="L78">
        <f>IF($F78="s-curve",$D78+($E78-$D78)*$I$2/(1+EXP($I$3*(COUNT($H$8:L$8)+$I$4))),TREND($D78:$E78,$D$8:$E$8,L$8))</f>
        <v>1.4228475709054472E-2</v>
      </c>
      <c r="M78">
        <f>IF($F78="s-curve",$D78+($E78-$D78)*$I$2/(1+EXP($I$3*(COUNT($H$8:M$8)+$I$4))),TREND($D78:$E78,$D$8:$E$8,M$8))</f>
        <v>1.8970349271026712E-2</v>
      </c>
      <c r="N78">
        <f>IF($F78="s-curve",$D78+($E78-$D78)*$I$2/(1+EXP($I$3*(COUNT($H$8:N$8)+$I$4))),TREND($D78:$E78,$D$8:$E$8,N$8))</f>
        <v>2.5189342422798605E-2</v>
      </c>
      <c r="O78">
        <f>IF($F78="s-curve",$D78+($E78-$D78)*$I$2/(1+EXP($I$3*(COUNT($H$8:O$8)+$I$4))),TREND($D78:$E78,$D$8:$E$8,O$8))</f>
        <v>3.3269078597568953E-2</v>
      </c>
      <c r="P78">
        <f>IF($F78="s-curve",$D78+($E78-$D78)*$I$2/(1+EXP($I$3*(COUNT($H$8:P$8)+$I$4))),TREND($D78:$E78,$D$8:$E$8,P$8))</f>
        <v>4.3638728478245167E-2</v>
      </c>
      <c r="Q78">
        <f>IF($F78="s-curve",$D78+($E78-$D78)*$I$2/(1+EXP($I$3*(COUNT($H$8:Q$8)+$I$4))),TREND($D78:$E78,$D$8:$E$8,Q$8))</f>
        <v>5.6740425960195129E-2</v>
      </c>
      <c r="R78">
        <f>IF($F78="s-curve",$D78+($E78-$D78)*$I$2/(1+EXP($I$3*(COUNT($H$8:R$8)+$I$4))),TREND($D78:$E78,$D$8:$E$8,R$8))</f>
        <v>7.2970209522542545E-2</v>
      </c>
      <c r="S78">
        <f>IF($F78="s-curve",$D78+($E78-$D78)*$I$2/(1+EXP($I$3*(COUNT($H$8:S$8)+$I$4))),TREND($D78:$E78,$D$8:$E$8,S$8))</f>
        <v>9.259008660039296E-2</v>
      </c>
      <c r="T78">
        <f>IF($F78="s-curve",$D78+($E78-$D78)*$I$2/(1+EXP($I$3*(COUNT($H$8:T$8)+$I$4))),TREND($D78:$E78,$D$8:$E$8,T$8))</f>
        <v>0.11562019894999843</v>
      </c>
      <c r="U78">
        <f>IF($F78="s-curve",$D78+($E78-$D78)*$I$2/(1+EXP($I$3*(COUNT($H$8:U$8)+$I$4))),TREND($D78:$E78,$D$8:$E$8,U$8))</f>
        <v>0.14173747750968183</v>
      </c>
      <c r="V78">
        <f>IF($F78="s-curve",$D78+($E78-$D78)*$I$2/(1+EXP($I$3*(COUNT($H$8:V$8)+$I$4))),TREND($D78:$E78,$D$8:$E$8,V$8))</f>
        <v>0.17022299327533641</v>
      </c>
      <c r="W78">
        <f>IF($F78="s-curve",$D78+($E78-$D78)*$I$2/(1+EXP($I$3*(COUNT($H$8:W$8)+$I$4))),TREND($D78:$E78,$D$8:$E$8,W$8))</f>
        <v>0.2</v>
      </c>
      <c r="X78">
        <f>IF($F78="s-curve",$D78+($E78-$D78)*$I$2/(1+EXP($I$3*(COUNT($H$8:X$8)+$I$4))),TREND($D78:$E78,$D$8:$E$8,X$8))</f>
        <v>0.22977700672466361</v>
      </c>
      <c r="Y78">
        <f>IF($F78="s-curve",$D78+($E78-$D78)*$I$2/(1+EXP($I$3*(COUNT($H$8:Y$8)+$I$4))),TREND($D78:$E78,$D$8:$E$8,Y$8))</f>
        <v>0.25826252249031817</v>
      </c>
      <c r="Z78">
        <f>IF($F78="s-curve",$D78+($E78-$D78)*$I$2/(1+EXP($I$3*(COUNT($H$8:Z$8)+$I$4))),TREND($D78:$E78,$D$8:$E$8,Z$8))</f>
        <v>0.2843798010500016</v>
      </c>
      <c r="AA78">
        <f>IF($F78="s-curve",$D78+($E78-$D78)*$I$2/(1+EXP($I$3*(COUNT($H$8:AA$8)+$I$4))),TREND($D78:$E78,$D$8:$E$8,AA$8))</f>
        <v>0.30740991339960705</v>
      </c>
      <c r="AB78">
        <f>IF($F78="s-curve",$D78+($E78-$D78)*$I$2/(1+EXP($I$3*(COUNT($H$8:AB$8)+$I$4))),TREND($D78:$E78,$D$8:$E$8,AB$8))</f>
        <v>0.32702979047745745</v>
      </c>
      <c r="AC78">
        <f>IF($F78="s-curve",$D78+($E78-$D78)*$I$2/(1+EXP($I$3*(COUNT($H$8:AC$8)+$I$4))),TREND($D78:$E78,$D$8:$E$8,AC$8))</f>
        <v>0.34325957403980495</v>
      </c>
      <c r="AD78">
        <f>IF($F78="s-curve",$D78+($E78-$D78)*$I$2/(1+EXP($I$3*(COUNT($H$8:AD$8)+$I$4))),TREND($D78:$E78,$D$8:$E$8,AD$8))</f>
        <v>0.35636127152175484</v>
      </c>
      <c r="AE78">
        <f>IF($F78="s-curve",$D78+($E78-$D78)*$I$2/(1+EXP($I$3*(COUNT($H$8:AE$8)+$I$4))),TREND($D78:$E78,$D$8:$E$8,AE$8))</f>
        <v>0.36673092140243108</v>
      </c>
      <c r="AF78">
        <f>IF($F78="s-curve",$D78+($E78-$D78)*$I$2/(1+EXP($I$3*(COUNT($H$8:AF$8)+$I$4))),TREND($D78:$E78,$D$8:$E$8,AF$8))</f>
        <v>0.37481065757720144</v>
      </c>
      <c r="AG78">
        <f>IF($F78="s-curve",$D78+($E78-$D78)*$I$2/(1+EXP($I$3*(COUNT($H$8:AG$8)+$I$4))),TREND($D78:$E78,$D$8:$E$8,AG$8))</f>
        <v>0.38102965072897332</v>
      </c>
      <c r="AH78">
        <f>IF($F78="s-curve",$D78+($E78-$D78)*$I$2/(1+EXP($I$3*(COUNT($H$8:AH$8)+$I$4))),TREND($D78:$E78,$D$8:$E$8,AH$8))</f>
        <v>0.38577152429094558</v>
      </c>
      <c r="AI78">
        <f>IF($F78="s-curve",$D78+($E78-$D78)*$I$2/(1+EXP($I$3*(COUNT($H$8:AI$8)+$I$4))),TREND($D78:$E78,$D$8:$E$8,AI$8))</f>
        <v>0.38936120256925366</v>
      </c>
      <c r="AJ78">
        <f>IF($F78="s-curve",$D78+($E78-$D78)*$I$2/(1+EXP($I$3*(COUNT($H$8:AJ$8)+$I$4))),TREND($D78:$E78,$D$8:$E$8,AJ$8))</f>
        <v>0.39206387770636902</v>
      </c>
      <c r="AK78">
        <f>IF($F78="s-curve",$D78+($E78-$D78)*$I$2/(1+EXP($I$3*(COUNT($H$8:AK$8)+$I$4))),TREND($D78:$E78,$D$8:$E$8,AK$8))</f>
        <v>0.3940903873226908</v>
      </c>
      <c r="AL78">
        <f>IF($F78="s-curve",$D78+($E78-$D78)*$I$2/(1+EXP($I$3*(COUNT($H$8:AL$8)+$I$4))),TREND($D78:$E78,$D$8:$E$8,AL$8))</f>
        <v>0.39560522294776279</v>
      </c>
      <c r="AM78">
        <f>IF($F78="s-curve",$D78+($E78-$D78)*$I$2/(1+EXP($I$3*(COUNT($H$8:AM$8)+$I$4))),TREND($D78:$E78,$D$8:$E$8,AM$8))</f>
        <v>0.39673497153873605</v>
      </c>
      <c r="AN78">
        <f>IF($F78="s-curve",$D78+($E78-$D78)*$I$2/(1+EXP($I$3*(COUNT($H$8:AN$8)+$I$4))),TREND($D78:$E78,$D$8:$E$8,AN$8))</f>
        <v>0.39757607940336631</v>
      </c>
      <c r="AO78">
        <f>IF($F78="s-curve",$D78+($E78-$D78)*$I$2/(1+EXP($I$3*(COUNT($H$8:AO$8)+$I$4))),TREND($D78:$E78,$D$8:$E$8,AO$8))</f>
        <v>0.39820149073562355</v>
      </c>
      <c r="AP78">
        <f>IF($F78="s-curve",$D78+($E78-$D78)*$I$2/(1+EXP($I$3*(COUNT($H$8:AP$8)+$I$4))),TREND($D78:$E78,$D$8:$E$8,AP$8))</f>
        <v>0.39866607707703472</v>
      </c>
      <c r="AQ78">
        <f>IF($F78="s-curve",$D78+($E78-$D78)*$I$2/(1+EXP($I$3*(COUNT($H$8:AQ$8)+$I$4))),TREND($D78:$E78,$D$8:$E$8,AQ$8))</f>
        <v>0.39901095073734616</v>
      </c>
      <c r="AR78">
        <f>IF($F78="s-curve",$D78+($E78-$D78)*$I$2/(1+EXP($I$3*(COUNT($H$8:AR$8)+$I$4))),TREND($D78:$E78,$D$8:$E$8,AR$8))</f>
        <v>0.39926682442300293</v>
      </c>
      <c r="AS78">
        <f>IF($F78="s-curve",$D78+($E78-$D78)*$I$2/(1+EXP($I$3*(COUNT($H$8:AS$8)+$I$4))),TREND($D78:$E78,$D$8:$E$8,AS$8))</f>
        <v>0.39945659201982847</v>
      </c>
      <c r="AT78">
        <f>IF($F78="s-curve",$D78+($E78-$D78)*$I$2/(1+EXP($I$3*(COUNT($H$8:AT$8)+$I$4))),TREND($D78:$E78,$D$8:$E$8,AT$8))</f>
        <v>0.39959729167196578</v>
      </c>
      <c r="AU78">
        <f>IF($F78="s-curve",$D78+($E78-$D78)*$I$2/(1+EXP($I$3*(COUNT($H$8:AU$8)+$I$4))),TREND($D78:$E78,$D$8:$E$8,AU$8))</f>
        <v>0.39970158846646536</v>
      </c>
      <c r="AV78">
        <f>IF($F78="s-curve",$D78+($E78-$D78)*$I$2/(1+EXP($I$3*(COUNT($H$8:AV$8)+$I$4))),TREND($D78:$E78,$D$8:$E$8,AV$8))</f>
        <v>0.39977888854523058</v>
      </c>
    </row>
    <row r="79" spans="1:48" x14ac:dyDescent="0.15">
      <c r="A79" t="s">
        <v>17</v>
      </c>
      <c r="B79" t="s">
        <v>19</v>
      </c>
      <c r="C79" t="s">
        <v>1</v>
      </c>
      <c r="D79" s="22">
        <f>'SYVbT-passenger'!B7/SUM('SYVbT-passenger'!7:7)</f>
        <v>0.859291196178258</v>
      </c>
      <c r="E79">
        <v>1</v>
      </c>
      <c r="F79" s="7" t="str">
        <f>IF(D79=E79,"n/a",IF(OR(C79="battery electric vehicle",C79="natural gas vehicle",C79="plugin hybrid vehicle"),"s-curve","linear"))</f>
        <v>s-curve</v>
      </c>
      <c r="H79" s="22">
        <f t="shared" si="24"/>
        <v>0.859291196178258</v>
      </c>
      <c r="I79">
        <f>IF($F79="s-curve",$D79+($E79-$D79)*$I$2/(1+EXP($I$3*(COUNT($H$8:I$8)+$I$4))),TREND($D79:$E79,$D$8:$E$8,I$8))</f>
        <v>0.86137003250544297</v>
      </c>
      <c r="J79">
        <f>IF($F79="s-curve",$D79+($E79-$D79)*$I$2/(1+EXP($I$3*(COUNT($H$8:J$8)+$I$4))),TREND($D79:$E79,$D$8:$E$8,J$8))</f>
        <v>0.86208290186555769</v>
      </c>
      <c r="K79">
        <f>IF($F79="s-curve",$D79+($E79-$D79)*$I$2/(1+EXP($I$3*(COUNT($H$8:K$8)+$I$4))),TREND($D79:$E79,$D$8:$E$8,K$8))</f>
        <v>0.86303362732971334</v>
      </c>
      <c r="L79">
        <f>IF($F79="s-curve",$D79+($E79-$D79)*$I$2/(1+EXP($I$3*(COUNT($H$8:L$8)+$I$4))),TREND($D79:$E79,$D$8:$E$8,L$8))</f>
        <v>0.86429637567132744</v>
      </c>
      <c r="M79">
        <f>IF($F79="s-curve",$D79+($E79-$D79)*$I$2/(1+EXP($I$3*(COUNT($H$8:M$8)+$I$4))),TREND($D79:$E79,$D$8:$E$8,M$8))</f>
        <v>0.86596443406327506</v>
      </c>
      <c r="N79">
        <f>IF($F79="s-curve",$D79+($E79-$D79)*$I$2/(1+EXP($I$3*(COUNT($H$8:N$8)+$I$4))),TREND($D79:$E79,$D$8:$E$8,N$8))</f>
        <v>0.86815210178167868</v>
      </c>
      <c r="O79">
        <f>IF($F79="s-curve",$D79+($E79-$D79)*$I$2/(1+EXP($I$3*(COUNT($H$8:O$8)+$I$4))),TREND($D79:$E79,$D$8:$E$8,O$8))</f>
        <v>0.87099432681254663</v>
      </c>
      <c r="P79">
        <f>IF($F79="s-curve",$D79+($E79-$D79)*$I$2/(1+EXP($I$3*(COUNT($H$8:P$8)+$I$4))),TREND($D79:$E79,$D$8:$E$8,P$8))</f>
        <v>0.87464207938944716</v>
      </c>
      <c r="Q79">
        <f>IF($F79="s-curve",$D79+($E79-$D79)*$I$2/(1+EXP($I$3*(COUNT($H$8:Q$8)+$I$4))),TREND($D79:$E79,$D$8:$E$8,Q$8))</f>
        <v>0.87925088984124589</v>
      </c>
      <c r="R79">
        <f>IF($F79="s-curve",$D79+($E79-$D79)*$I$2/(1+EXP($I$3*(COUNT($H$8:R$8)+$I$4))),TREND($D79:$E79,$D$8:$E$8,R$8))</f>
        <v>0.88496007341960514</v>
      </c>
      <c r="S79">
        <f>IF($F79="s-curve",$D79+($E79-$D79)*$I$2/(1+EXP($I$3*(COUNT($H$8:S$8)+$I$4))),TREND($D79:$E79,$D$8:$E$8,S$8))</f>
        <v>0.89186179700648993</v>
      </c>
      <c r="T79">
        <f>IF($F79="s-curve",$D79+($E79-$D79)*$I$2/(1+EXP($I$3*(COUNT($H$8:T$8)+$I$4))),TREND($D79:$E79,$D$8:$E$8,T$8))</f>
        <v>0.89996314590797333</v>
      </c>
      <c r="U79">
        <f>IF($F79="s-curve",$D79+($E79-$D79)*$I$2/(1+EXP($I$3*(COUNT($H$8:U$8)+$I$4))),TREND($D79:$E79,$D$8:$E$8,U$8))</f>
        <v>0.90915047347100397</v>
      </c>
      <c r="V79">
        <f>IF($F79="s-curve",$D79+($E79-$D79)*$I$2/(1+EXP($I$3*(COUNT($H$8:V$8)+$I$4))),TREND($D79:$E79,$D$8:$E$8,V$8))</f>
        <v>0.91917088059508056</v>
      </c>
      <c r="W79">
        <f>IF($F79="s-curve",$D79+($E79-$D79)*$I$2/(1+EXP($I$3*(COUNT($H$8:W$8)+$I$4))),TREND($D79:$E79,$D$8:$E$8,W$8))</f>
        <v>0.92964559808912894</v>
      </c>
      <c r="X79">
        <f>IF($F79="s-curve",$D79+($E79-$D79)*$I$2/(1+EXP($I$3*(COUNT($H$8:X$8)+$I$4))),TREND($D79:$E79,$D$8:$E$8,X$8))</f>
        <v>0.94012031558317743</v>
      </c>
      <c r="Y79">
        <f>IF($F79="s-curve",$D79+($E79-$D79)*$I$2/(1+EXP($I$3*(COUNT($H$8:Y$8)+$I$4))),TREND($D79:$E79,$D$8:$E$8,Y$8))</f>
        <v>0.95014072270725403</v>
      </c>
      <c r="Z79">
        <f>IF($F79="s-curve",$D79+($E79-$D79)*$I$2/(1+EXP($I$3*(COUNT($H$8:Z$8)+$I$4))),TREND($D79:$E79,$D$8:$E$8,Z$8))</f>
        <v>0.95932805027028478</v>
      </c>
      <c r="AA79">
        <f>IF($F79="s-curve",$D79+($E79-$D79)*$I$2/(1+EXP($I$3*(COUNT($H$8:AA$8)+$I$4))),TREND($D79:$E79,$D$8:$E$8,AA$8))</f>
        <v>0.96742939917176796</v>
      </c>
      <c r="AB79">
        <f>IF($F79="s-curve",$D79+($E79-$D79)*$I$2/(1+EXP($I$3*(COUNT($H$8:AB$8)+$I$4))),TREND($D79:$E79,$D$8:$E$8,AB$8))</f>
        <v>0.97433112275865286</v>
      </c>
      <c r="AC79">
        <f>IF($F79="s-curve",$D79+($E79-$D79)*$I$2/(1+EXP($I$3*(COUNT($H$8:AC$8)+$I$4))),TREND($D79:$E79,$D$8:$E$8,AC$8))</f>
        <v>0.98004030633701211</v>
      </c>
      <c r="AD79">
        <f>IF($F79="s-curve",$D79+($E79-$D79)*$I$2/(1+EXP($I$3*(COUNT($H$8:AD$8)+$I$4))),TREND($D79:$E79,$D$8:$E$8,AD$8))</f>
        <v>0.98464911678881084</v>
      </c>
      <c r="AE79">
        <f>IF($F79="s-curve",$D79+($E79-$D79)*$I$2/(1+EXP($I$3*(COUNT($H$8:AE$8)+$I$4))),TREND($D79:$E79,$D$8:$E$8,AE$8))</f>
        <v>0.98829686936571137</v>
      </c>
      <c r="AF79">
        <f>IF($F79="s-curve",$D79+($E79-$D79)*$I$2/(1+EXP($I$3*(COUNT($H$8:AF$8)+$I$4))),TREND($D79:$E79,$D$8:$E$8,AF$8))</f>
        <v>0.99113909439657943</v>
      </c>
      <c r="AG79">
        <f>IF($F79="s-curve",$D79+($E79-$D79)*$I$2/(1+EXP($I$3*(COUNT($H$8:AG$8)+$I$4))),TREND($D79:$E79,$D$8:$E$8,AG$8))</f>
        <v>0.99332676211498294</v>
      </c>
      <c r="AH79">
        <f>IF($F79="s-curve",$D79+($E79-$D79)*$I$2/(1+EXP($I$3*(COUNT($H$8:AH$8)+$I$4))),TREND($D79:$E79,$D$8:$E$8,AH$8))</f>
        <v>0.99499482050693056</v>
      </c>
      <c r="AI79">
        <f>IF($F79="s-curve",$D79+($E79-$D79)*$I$2/(1+EXP($I$3*(COUNT($H$8:AI$8)+$I$4))),TREND($D79:$E79,$D$8:$E$8,AI$8))</f>
        <v>0.99625756884854466</v>
      </c>
      <c r="AJ79">
        <f>IF($F79="s-curve",$D79+($E79-$D79)*$I$2/(1+EXP($I$3*(COUNT($H$8:AJ$8)+$I$4))),TREND($D79:$E79,$D$8:$E$8,AJ$8))</f>
        <v>0.99720829431270031</v>
      </c>
      <c r="AK79">
        <f>IF($F79="s-curve",$D79+($E79-$D79)*$I$2/(1+EXP($I$3*(COUNT($H$8:AK$8)+$I$4))),TREND($D79:$E79,$D$8:$E$8,AK$8))</f>
        <v>0.99792116367281503</v>
      </c>
      <c r="AL79">
        <f>IF($F79="s-curve",$D79+($E79-$D79)*$I$2/(1+EXP($I$3*(COUNT($H$8:AL$8)+$I$4))),TREND($D79:$E79,$D$8:$E$8,AL$8))</f>
        <v>0.99845404044479114</v>
      </c>
      <c r="AM79">
        <f>IF($F79="s-curve",$D79+($E79-$D79)*$I$2/(1+EXP($I$3*(COUNT($H$8:AM$8)+$I$4))),TREND($D79:$E79,$D$8:$E$8,AM$8))</f>
        <v>0.99885145437692902</v>
      </c>
      <c r="AN79">
        <f>IF($F79="s-curve",$D79+($E79-$D79)*$I$2/(1+EXP($I$3*(COUNT($H$8:AN$8)+$I$4))),TREND($D79:$E79,$D$8:$E$8,AN$8))</f>
        <v>0.99914733258072197</v>
      </c>
      <c r="AO79">
        <f>IF($F79="s-curve",$D79+($E79-$D79)*$I$2/(1+EXP($I$3*(COUNT($H$8:AO$8)+$I$4))),TREND($D79:$E79,$D$8:$E$8,AO$8))</f>
        <v>0.99936733478186812</v>
      </c>
      <c r="AP79">
        <f>IF($F79="s-curve",$D79+($E79-$D79)*$I$2/(1+EXP($I$3*(COUNT($H$8:AP$8)+$I$4))),TREND($D79:$E79,$D$8:$E$8,AP$8))</f>
        <v>0.99953076325279788</v>
      </c>
      <c r="AQ79">
        <f>IF($F79="s-curve",$D79+($E79-$D79)*$I$2/(1+EXP($I$3*(COUNT($H$8:AQ$8)+$I$4))),TREND($D79:$E79,$D$8:$E$8,AQ$8))</f>
        <v>0.99965208015332796</v>
      </c>
      <c r="AR79">
        <f>IF($F79="s-curve",$D79+($E79-$D79)*$I$2/(1+EXP($I$3*(COUNT($H$8:AR$8)+$I$4))),TREND($D79:$E79,$D$8:$E$8,AR$8))</f>
        <v>0.9997420893539235</v>
      </c>
      <c r="AS79">
        <f>IF($F79="s-curve",$D79+($E79-$D79)*$I$2/(1+EXP($I$3*(COUNT($H$8:AS$8)+$I$4))),TREND($D79:$E79,$D$8:$E$8,AS$8))</f>
        <v>0.99980884428280714</v>
      </c>
      <c r="AT79">
        <f>IF($F79="s-curve",$D79+($E79-$D79)*$I$2/(1+EXP($I$3*(COUNT($H$8:AT$8)+$I$4))),TREND($D79:$E79,$D$8:$E$8,AT$8))</f>
        <v>0.99985833848218308</v>
      </c>
      <c r="AU79">
        <f>IF($F79="s-curve",$D79+($E79-$D79)*$I$2/(1+EXP($I$3*(COUNT($H$8:AU$8)+$I$4))),TREND($D79:$E79,$D$8:$E$8,AU$8))</f>
        <v>0.99989502717517431</v>
      </c>
      <c r="AV79">
        <f>IF($F79="s-curve",$D79+($E79-$D79)*$I$2/(1+EXP($I$3*(COUNT($H$8:AV$8)+$I$4))),TREND($D79:$E79,$D$8:$E$8,AV$8))</f>
        <v>0.99992221917922031</v>
      </c>
    </row>
    <row r="80" spans="1:48" x14ac:dyDescent="0.15">
      <c r="C80" t="s">
        <v>2</v>
      </c>
      <c r="D80" s="22">
        <f>'SYVbT-passenger'!C7/SUM('SYVbT-passenger'!7:7)</f>
        <v>0</v>
      </c>
      <c r="E80">
        <v>0</v>
      </c>
      <c r="F80" s="7" t="str">
        <f>IF(D80=E80,"n/a",IF(OR(C80="battery electric vehicle",C80="natural gas vehicle",C80="plugin hybrid vehicle"),"s-curve","linear"))</f>
        <v>n/a</v>
      </c>
      <c r="H80" s="22">
        <f t="shared" si="24"/>
        <v>0</v>
      </c>
      <c r="I80">
        <f>IF($F80="s-curve",$D80+($E80-$D80)*$I$2/(1+EXP($I$3*(COUNT($H$8:I$8)+$I$4))),TREND($D80:$E80,$D$8:$E$8,I$8))</f>
        <v>0</v>
      </c>
      <c r="J80">
        <f>IF($F80="s-curve",$D80+($E80-$D80)*$I$2/(1+EXP($I$3*(COUNT($H$8:J$8)+$I$4))),TREND($D80:$E80,$D$8:$E$8,J$8))</f>
        <v>0</v>
      </c>
      <c r="K80">
        <f>IF($F80="s-curve",$D80+($E80-$D80)*$I$2/(1+EXP($I$3*(COUNT($H$8:K$8)+$I$4))),TREND($D80:$E80,$D$8:$E$8,K$8))</f>
        <v>0</v>
      </c>
      <c r="L80">
        <f>IF($F80="s-curve",$D80+($E80-$D80)*$I$2/(1+EXP($I$3*(COUNT($H$8:L$8)+$I$4))),TREND($D80:$E80,$D$8:$E$8,L$8))</f>
        <v>0</v>
      </c>
      <c r="M80">
        <f>IF($F80="s-curve",$D80+($E80-$D80)*$I$2/(1+EXP($I$3*(COUNT($H$8:M$8)+$I$4))),TREND($D80:$E80,$D$8:$E$8,M$8))</f>
        <v>0</v>
      </c>
      <c r="N80">
        <f>IF($F80="s-curve",$D80+($E80-$D80)*$I$2/(1+EXP($I$3*(COUNT($H$8:N$8)+$I$4))),TREND($D80:$E80,$D$8:$E$8,N$8))</f>
        <v>0</v>
      </c>
      <c r="O80">
        <f>IF($F80="s-curve",$D80+($E80-$D80)*$I$2/(1+EXP($I$3*(COUNT($H$8:O$8)+$I$4))),TREND($D80:$E80,$D$8:$E$8,O$8))</f>
        <v>0</v>
      </c>
      <c r="P80">
        <f>IF($F80="s-curve",$D80+($E80-$D80)*$I$2/(1+EXP($I$3*(COUNT($H$8:P$8)+$I$4))),TREND($D80:$E80,$D$8:$E$8,P$8))</f>
        <v>0</v>
      </c>
      <c r="Q80">
        <f>IF($F80="s-curve",$D80+($E80-$D80)*$I$2/(1+EXP($I$3*(COUNT($H$8:Q$8)+$I$4))),TREND($D80:$E80,$D$8:$E$8,Q$8))</f>
        <v>0</v>
      </c>
      <c r="R80">
        <f>IF($F80="s-curve",$D80+($E80-$D80)*$I$2/(1+EXP($I$3*(COUNT($H$8:R$8)+$I$4))),TREND($D80:$E80,$D$8:$E$8,R$8))</f>
        <v>0</v>
      </c>
      <c r="S80">
        <f>IF($F80="s-curve",$D80+($E80-$D80)*$I$2/(1+EXP($I$3*(COUNT($H$8:S$8)+$I$4))),TREND($D80:$E80,$D$8:$E$8,S$8))</f>
        <v>0</v>
      </c>
      <c r="T80">
        <f>IF($F80="s-curve",$D80+($E80-$D80)*$I$2/(1+EXP($I$3*(COUNT($H$8:T$8)+$I$4))),TREND($D80:$E80,$D$8:$E$8,T$8))</f>
        <v>0</v>
      </c>
      <c r="U80">
        <f>IF($F80="s-curve",$D80+($E80-$D80)*$I$2/(1+EXP($I$3*(COUNT($H$8:U$8)+$I$4))),TREND($D80:$E80,$D$8:$E$8,U$8))</f>
        <v>0</v>
      </c>
      <c r="V80">
        <f>IF($F80="s-curve",$D80+($E80-$D80)*$I$2/(1+EXP($I$3*(COUNT($H$8:V$8)+$I$4))),TREND($D80:$E80,$D$8:$E$8,V$8))</f>
        <v>0</v>
      </c>
      <c r="W80">
        <f>IF($F80="s-curve",$D80+($E80-$D80)*$I$2/(1+EXP($I$3*(COUNT($H$8:W$8)+$I$4))),TREND($D80:$E80,$D$8:$E$8,W$8))</f>
        <v>0</v>
      </c>
      <c r="X80">
        <f>IF($F80="s-curve",$D80+($E80-$D80)*$I$2/(1+EXP($I$3*(COUNT($H$8:X$8)+$I$4))),TREND($D80:$E80,$D$8:$E$8,X$8))</f>
        <v>0</v>
      </c>
      <c r="Y80">
        <f>IF($F80="s-curve",$D80+($E80-$D80)*$I$2/(1+EXP($I$3*(COUNT($H$8:Y$8)+$I$4))),TREND($D80:$E80,$D$8:$E$8,Y$8))</f>
        <v>0</v>
      </c>
      <c r="Z80">
        <f>IF($F80="s-curve",$D80+($E80-$D80)*$I$2/(1+EXP($I$3*(COUNT($H$8:Z$8)+$I$4))),TREND($D80:$E80,$D$8:$E$8,Z$8))</f>
        <v>0</v>
      </c>
      <c r="AA80">
        <f>IF($F80="s-curve",$D80+($E80-$D80)*$I$2/(1+EXP($I$3*(COUNT($H$8:AA$8)+$I$4))),TREND($D80:$E80,$D$8:$E$8,AA$8))</f>
        <v>0</v>
      </c>
      <c r="AB80">
        <f>IF($F80="s-curve",$D80+($E80-$D80)*$I$2/(1+EXP($I$3*(COUNT($H$8:AB$8)+$I$4))),TREND($D80:$E80,$D$8:$E$8,AB$8))</f>
        <v>0</v>
      </c>
      <c r="AC80">
        <f>IF($F80="s-curve",$D80+($E80-$D80)*$I$2/(1+EXP($I$3*(COUNT($H$8:AC$8)+$I$4))),TREND($D80:$E80,$D$8:$E$8,AC$8))</f>
        <v>0</v>
      </c>
      <c r="AD80">
        <f>IF($F80="s-curve",$D80+($E80-$D80)*$I$2/(1+EXP($I$3*(COUNT($H$8:AD$8)+$I$4))),TREND($D80:$E80,$D$8:$E$8,AD$8))</f>
        <v>0</v>
      </c>
      <c r="AE80">
        <f>IF($F80="s-curve",$D80+($E80-$D80)*$I$2/(1+EXP($I$3*(COUNT($H$8:AE$8)+$I$4))),TREND($D80:$E80,$D$8:$E$8,AE$8))</f>
        <v>0</v>
      </c>
      <c r="AF80">
        <f>IF($F80="s-curve",$D80+($E80-$D80)*$I$2/(1+EXP($I$3*(COUNT($H$8:AF$8)+$I$4))),TREND($D80:$E80,$D$8:$E$8,AF$8))</f>
        <v>0</v>
      </c>
      <c r="AG80">
        <f>IF($F80="s-curve",$D80+($E80-$D80)*$I$2/(1+EXP($I$3*(COUNT($H$8:AG$8)+$I$4))),TREND($D80:$E80,$D$8:$E$8,AG$8))</f>
        <v>0</v>
      </c>
      <c r="AH80">
        <f>IF($F80="s-curve",$D80+($E80-$D80)*$I$2/(1+EXP($I$3*(COUNT($H$8:AH$8)+$I$4))),TREND($D80:$E80,$D$8:$E$8,AH$8))</f>
        <v>0</v>
      </c>
      <c r="AI80">
        <f>IF($F80="s-curve",$D80+($E80-$D80)*$I$2/(1+EXP($I$3*(COUNT($H$8:AI$8)+$I$4))),TREND($D80:$E80,$D$8:$E$8,AI$8))</f>
        <v>0</v>
      </c>
      <c r="AJ80">
        <f>IF($F80="s-curve",$D80+($E80-$D80)*$I$2/(1+EXP($I$3*(COUNT($H$8:AJ$8)+$I$4))),TREND($D80:$E80,$D$8:$E$8,AJ$8))</f>
        <v>0</v>
      </c>
      <c r="AK80">
        <f>IF($F80="s-curve",$D80+($E80-$D80)*$I$2/(1+EXP($I$3*(COUNT($H$8:AK$8)+$I$4))),TREND($D80:$E80,$D$8:$E$8,AK$8))</f>
        <v>0</v>
      </c>
      <c r="AL80">
        <f>IF($F80="s-curve",$D80+($E80-$D80)*$I$2/(1+EXP($I$3*(COUNT($H$8:AL$8)+$I$4))),TREND($D80:$E80,$D$8:$E$8,AL$8))</f>
        <v>0</v>
      </c>
      <c r="AM80">
        <f>IF($F80="s-curve",$D80+($E80-$D80)*$I$2/(1+EXP($I$3*(COUNT($H$8:AM$8)+$I$4))),TREND($D80:$E80,$D$8:$E$8,AM$8))</f>
        <v>0</v>
      </c>
      <c r="AN80">
        <f>IF($F80="s-curve",$D80+($E80-$D80)*$I$2/(1+EXP($I$3*(COUNT($H$8:AN$8)+$I$4))),TREND($D80:$E80,$D$8:$E$8,AN$8))</f>
        <v>0</v>
      </c>
      <c r="AO80">
        <f>IF($F80="s-curve",$D80+($E80-$D80)*$I$2/(1+EXP($I$3*(COUNT($H$8:AO$8)+$I$4))),TREND($D80:$E80,$D$8:$E$8,AO$8))</f>
        <v>0</v>
      </c>
      <c r="AP80">
        <f>IF($F80="s-curve",$D80+($E80-$D80)*$I$2/(1+EXP($I$3*(COUNT($H$8:AP$8)+$I$4))),TREND($D80:$E80,$D$8:$E$8,AP$8))</f>
        <v>0</v>
      </c>
      <c r="AQ80">
        <f>IF($F80="s-curve",$D80+($E80-$D80)*$I$2/(1+EXP($I$3*(COUNT($H$8:AQ$8)+$I$4))),TREND($D80:$E80,$D$8:$E$8,AQ$8))</f>
        <v>0</v>
      </c>
      <c r="AR80">
        <f>IF($F80="s-curve",$D80+($E80-$D80)*$I$2/(1+EXP($I$3*(COUNT($H$8:AR$8)+$I$4))),TREND($D80:$E80,$D$8:$E$8,AR$8))</f>
        <v>0</v>
      </c>
      <c r="AS80">
        <f>IF($F80="s-curve",$D80+($E80-$D80)*$I$2/(1+EXP($I$3*(COUNT($H$8:AS$8)+$I$4))),TREND($D80:$E80,$D$8:$E$8,AS$8))</f>
        <v>0</v>
      </c>
      <c r="AT80">
        <f>IF($F80="s-curve",$D80+($E80-$D80)*$I$2/(1+EXP($I$3*(COUNT($H$8:AT$8)+$I$4))),TREND($D80:$E80,$D$8:$E$8,AT$8))</f>
        <v>0</v>
      </c>
      <c r="AU80">
        <f>IF($F80="s-curve",$D80+($E80-$D80)*$I$2/(1+EXP($I$3*(COUNT($H$8:AU$8)+$I$4))),TREND($D80:$E80,$D$8:$E$8,AU$8))</f>
        <v>0</v>
      </c>
      <c r="AV80">
        <f>IF($F80="s-curve",$D80+($E80-$D80)*$I$2/(1+EXP($I$3*(COUNT($H$8:AV$8)+$I$4))),TREND($D80:$E80,$D$8:$E$8,AV$8))</f>
        <v>0</v>
      </c>
    </row>
    <row r="81" spans="1:48" x14ac:dyDescent="0.15">
      <c r="C81" t="s">
        <v>3</v>
      </c>
      <c r="D81">
        <v>1</v>
      </c>
      <c r="E81">
        <v>1</v>
      </c>
      <c r="F81" s="7" t="str">
        <f>IF(D81=E81,"n/a",IF(OR(C81="battery electric vehicle",C81="natural gas vehicle",C81="plugin hybrid vehicle"),"s-curve","linear"))</f>
        <v>n/a</v>
      </c>
      <c r="H81" s="22">
        <f t="shared" si="24"/>
        <v>1</v>
      </c>
      <c r="I81">
        <f>IF($F81="s-curve",$D81+($E81-$D81)*$I$2/(1+EXP($I$3*(COUNT($H$8:I$8)+$I$4))),TREND($D81:$E81,$D$8:$E$8,I$8))</f>
        <v>1</v>
      </c>
      <c r="J81">
        <f>IF($F81="s-curve",$D81+($E81-$D81)*$I$2/(1+EXP($I$3*(COUNT($H$8:J$8)+$I$4))),TREND($D81:$E81,$D$8:$E$8,J$8))</f>
        <v>1</v>
      </c>
      <c r="K81">
        <f>IF($F81="s-curve",$D81+($E81-$D81)*$I$2/(1+EXP($I$3*(COUNT($H$8:K$8)+$I$4))),TREND($D81:$E81,$D$8:$E$8,K$8))</f>
        <v>1</v>
      </c>
      <c r="L81">
        <f>IF($F81="s-curve",$D81+($E81-$D81)*$I$2/(1+EXP($I$3*(COUNT($H$8:L$8)+$I$4))),TREND($D81:$E81,$D$8:$E$8,L$8))</f>
        <v>1</v>
      </c>
      <c r="M81">
        <f>IF($F81="s-curve",$D81+($E81-$D81)*$I$2/(1+EXP($I$3*(COUNT($H$8:M$8)+$I$4))),TREND($D81:$E81,$D$8:$E$8,M$8))</f>
        <v>1</v>
      </c>
      <c r="N81">
        <f>IF($F81="s-curve",$D81+($E81-$D81)*$I$2/(1+EXP($I$3*(COUNT($H$8:N$8)+$I$4))),TREND($D81:$E81,$D$8:$E$8,N$8))</f>
        <v>1</v>
      </c>
      <c r="O81">
        <f>IF($F81="s-curve",$D81+($E81-$D81)*$I$2/(1+EXP($I$3*(COUNT($H$8:O$8)+$I$4))),TREND($D81:$E81,$D$8:$E$8,O$8))</f>
        <v>1</v>
      </c>
      <c r="P81">
        <f>IF($F81="s-curve",$D81+($E81-$D81)*$I$2/(1+EXP($I$3*(COUNT($H$8:P$8)+$I$4))),TREND($D81:$E81,$D$8:$E$8,P$8))</f>
        <v>1</v>
      </c>
      <c r="Q81">
        <f>IF($F81="s-curve",$D81+($E81-$D81)*$I$2/(1+EXP($I$3*(COUNT($H$8:Q$8)+$I$4))),TREND($D81:$E81,$D$8:$E$8,Q$8))</f>
        <v>1</v>
      </c>
      <c r="R81">
        <f>IF($F81="s-curve",$D81+($E81-$D81)*$I$2/(1+EXP($I$3*(COUNT($H$8:R$8)+$I$4))),TREND($D81:$E81,$D$8:$E$8,R$8))</f>
        <v>1</v>
      </c>
      <c r="S81">
        <f>IF($F81="s-curve",$D81+($E81-$D81)*$I$2/(1+EXP($I$3*(COUNT($H$8:S$8)+$I$4))),TREND($D81:$E81,$D$8:$E$8,S$8))</f>
        <v>1</v>
      </c>
      <c r="T81">
        <f>IF($F81="s-curve",$D81+($E81-$D81)*$I$2/(1+EXP($I$3*(COUNT($H$8:T$8)+$I$4))),TREND($D81:$E81,$D$8:$E$8,T$8))</f>
        <v>1</v>
      </c>
      <c r="U81">
        <f>IF($F81="s-curve",$D81+($E81-$D81)*$I$2/(1+EXP($I$3*(COUNT($H$8:U$8)+$I$4))),TREND($D81:$E81,$D$8:$E$8,U$8))</f>
        <v>1</v>
      </c>
      <c r="V81">
        <f>IF($F81="s-curve",$D81+($E81-$D81)*$I$2/(1+EXP($I$3*(COUNT($H$8:V$8)+$I$4))),TREND($D81:$E81,$D$8:$E$8,V$8))</f>
        <v>1</v>
      </c>
      <c r="W81">
        <f>IF($F81="s-curve",$D81+($E81-$D81)*$I$2/(1+EXP($I$3*(COUNT($H$8:W$8)+$I$4))),TREND($D81:$E81,$D$8:$E$8,W$8))</f>
        <v>1</v>
      </c>
      <c r="X81">
        <f>IF($F81="s-curve",$D81+($E81-$D81)*$I$2/(1+EXP($I$3*(COUNT($H$8:X$8)+$I$4))),TREND($D81:$E81,$D$8:$E$8,X$8))</f>
        <v>1</v>
      </c>
      <c r="Y81">
        <f>IF($F81="s-curve",$D81+($E81-$D81)*$I$2/(1+EXP($I$3*(COUNT($H$8:Y$8)+$I$4))),TREND($D81:$E81,$D$8:$E$8,Y$8))</f>
        <v>1</v>
      </c>
      <c r="Z81">
        <f>IF($F81="s-curve",$D81+($E81-$D81)*$I$2/(1+EXP($I$3*(COUNT($H$8:Z$8)+$I$4))),TREND($D81:$E81,$D$8:$E$8,Z$8))</f>
        <v>1</v>
      </c>
      <c r="AA81">
        <f>IF($F81="s-curve",$D81+($E81-$D81)*$I$2/(1+EXP($I$3*(COUNT($H$8:AA$8)+$I$4))),TREND($D81:$E81,$D$8:$E$8,AA$8))</f>
        <v>1</v>
      </c>
      <c r="AB81">
        <f>IF($F81="s-curve",$D81+($E81-$D81)*$I$2/(1+EXP($I$3*(COUNT($H$8:AB$8)+$I$4))),TREND($D81:$E81,$D$8:$E$8,AB$8))</f>
        <v>1</v>
      </c>
      <c r="AC81">
        <f>IF($F81="s-curve",$D81+($E81-$D81)*$I$2/(1+EXP($I$3*(COUNT($H$8:AC$8)+$I$4))),TREND($D81:$E81,$D$8:$E$8,AC$8))</f>
        <v>1</v>
      </c>
      <c r="AD81">
        <f>IF($F81="s-curve",$D81+($E81-$D81)*$I$2/(1+EXP($I$3*(COUNT($H$8:AD$8)+$I$4))),TREND($D81:$E81,$D$8:$E$8,AD$8))</f>
        <v>1</v>
      </c>
      <c r="AE81">
        <f>IF($F81="s-curve",$D81+($E81-$D81)*$I$2/(1+EXP($I$3*(COUNT($H$8:AE$8)+$I$4))),TREND($D81:$E81,$D$8:$E$8,AE$8))</f>
        <v>1</v>
      </c>
      <c r="AF81">
        <f>IF($F81="s-curve",$D81+($E81-$D81)*$I$2/(1+EXP($I$3*(COUNT($H$8:AF$8)+$I$4))),TREND($D81:$E81,$D$8:$E$8,AF$8))</f>
        <v>1</v>
      </c>
      <c r="AG81">
        <f>IF($F81="s-curve",$D81+($E81-$D81)*$I$2/(1+EXP($I$3*(COUNT($H$8:AG$8)+$I$4))),TREND($D81:$E81,$D$8:$E$8,AG$8))</f>
        <v>1</v>
      </c>
      <c r="AH81">
        <f>IF($F81="s-curve",$D81+($E81-$D81)*$I$2/(1+EXP($I$3*(COUNT($H$8:AH$8)+$I$4))),TREND($D81:$E81,$D$8:$E$8,AH$8))</f>
        <v>1</v>
      </c>
      <c r="AI81">
        <f>IF($F81="s-curve",$D81+($E81-$D81)*$I$2/(1+EXP($I$3*(COUNT($H$8:AI$8)+$I$4))),TREND($D81:$E81,$D$8:$E$8,AI$8))</f>
        <v>1</v>
      </c>
      <c r="AJ81">
        <f>IF($F81="s-curve",$D81+($E81-$D81)*$I$2/(1+EXP($I$3*(COUNT($H$8:AJ$8)+$I$4))),TREND($D81:$E81,$D$8:$E$8,AJ$8))</f>
        <v>1</v>
      </c>
      <c r="AK81">
        <f>IF($F81="s-curve",$D81+($E81-$D81)*$I$2/(1+EXP($I$3*(COUNT($H$8:AK$8)+$I$4))),TREND($D81:$E81,$D$8:$E$8,AK$8))</f>
        <v>1</v>
      </c>
      <c r="AL81">
        <f>IF($F81="s-curve",$D81+($E81-$D81)*$I$2/(1+EXP($I$3*(COUNT($H$8:AL$8)+$I$4))),TREND($D81:$E81,$D$8:$E$8,AL$8))</f>
        <v>1</v>
      </c>
      <c r="AM81">
        <f>IF($F81="s-curve",$D81+($E81-$D81)*$I$2/(1+EXP($I$3*(COUNT($H$8:AM$8)+$I$4))),TREND($D81:$E81,$D$8:$E$8,AM$8))</f>
        <v>1</v>
      </c>
      <c r="AN81">
        <f>IF($F81="s-curve",$D81+($E81-$D81)*$I$2/(1+EXP($I$3*(COUNT($H$8:AN$8)+$I$4))),TREND($D81:$E81,$D$8:$E$8,AN$8))</f>
        <v>1</v>
      </c>
      <c r="AO81">
        <f>IF($F81="s-curve",$D81+($E81-$D81)*$I$2/(1+EXP($I$3*(COUNT($H$8:AO$8)+$I$4))),TREND($D81:$E81,$D$8:$E$8,AO$8))</f>
        <v>1</v>
      </c>
      <c r="AP81">
        <f>IF($F81="s-curve",$D81+($E81-$D81)*$I$2/(1+EXP($I$3*(COUNT($H$8:AP$8)+$I$4))),TREND($D81:$E81,$D$8:$E$8,AP$8))</f>
        <v>1</v>
      </c>
      <c r="AQ81">
        <f>IF($F81="s-curve",$D81+($E81-$D81)*$I$2/(1+EXP($I$3*(COUNT($H$8:AQ$8)+$I$4))),TREND($D81:$E81,$D$8:$E$8,AQ$8))</f>
        <v>1</v>
      </c>
      <c r="AR81">
        <f>IF($F81="s-curve",$D81+($E81-$D81)*$I$2/(1+EXP($I$3*(COUNT($H$8:AR$8)+$I$4))),TREND($D81:$E81,$D$8:$E$8,AR$8))</f>
        <v>1</v>
      </c>
      <c r="AS81">
        <f>IF($F81="s-curve",$D81+($E81-$D81)*$I$2/(1+EXP($I$3*(COUNT($H$8:AS$8)+$I$4))),TREND($D81:$E81,$D$8:$E$8,AS$8))</f>
        <v>1</v>
      </c>
      <c r="AT81">
        <f>IF($F81="s-curve",$D81+($E81-$D81)*$I$2/(1+EXP($I$3*(COUNT($H$8:AT$8)+$I$4))),TREND($D81:$E81,$D$8:$E$8,AT$8))</f>
        <v>1</v>
      </c>
      <c r="AU81">
        <f>IF($F81="s-curve",$D81+($E81-$D81)*$I$2/(1+EXP($I$3*(COUNT($H$8:AU$8)+$I$4))),TREND($D81:$E81,$D$8:$E$8,AU$8))</f>
        <v>1</v>
      </c>
      <c r="AV81">
        <f>IF($F81="s-curve",$D81+($E81-$D81)*$I$2/(1+EXP($I$3*(COUNT($H$8:AV$8)+$I$4))),TREND($D81:$E81,$D$8:$E$8,AV$8))</f>
        <v>1</v>
      </c>
    </row>
    <row r="82" spans="1:48" x14ac:dyDescent="0.15">
      <c r="C82" t="s">
        <v>4</v>
      </c>
      <c r="D82" s="22">
        <f>'SYVbT-passenger'!E7/SUM('SYVbT-passenger'!7:7)</f>
        <v>0</v>
      </c>
      <c r="E82">
        <v>0</v>
      </c>
      <c r="F82" s="7" t="str">
        <f>IF(D82=E82,"n/a",IF(OR(C82="battery electric vehicle",C82="natural gas vehicle",C82="plugin hybrid vehicle"),"s-curve","linear"))</f>
        <v>n/a</v>
      </c>
      <c r="H82" s="22">
        <f t="shared" si="24"/>
        <v>0</v>
      </c>
      <c r="I82">
        <f>IF($F82="s-curve",$D82+($E82-$D82)*$I$2/(1+EXP($I$3*(COUNT($H$8:I$8)+$I$4))),TREND($D82:$E82,$D$8:$E$8,I$8))</f>
        <v>0</v>
      </c>
      <c r="J82">
        <f>IF($F82="s-curve",$D82+($E82-$D82)*$I$2/(1+EXP($I$3*(COUNT($H$8:J$8)+$I$4))),TREND($D82:$E82,$D$8:$E$8,J$8))</f>
        <v>0</v>
      </c>
      <c r="K82">
        <f>IF($F82="s-curve",$D82+($E82-$D82)*$I$2/(1+EXP($I$3*(COUNT($H$8:K$8)+$I$4))),TREND($D82:$E82,$D$8:$E$8,K$8))</f>
        <v>0</v>
      </c>
      <c r="L82">
        <f>IF($F82="s-curve",$D82+($E82-$D82)*$I$2/(1+EXP($I$3*(COUNT($H$8:L$8)+$I$4))),TREND($D82:$E82,$D$8:$E$8,L$8))</f>
        <v>0</v>
      </c>
      <c r="M82">
        <f>IF($F82="s-curve",$D82+($E82-$D82)*$I$2/(1+EXP($I$3*(COUNT($H$8:M$8)+$I$4))),TREND($D82:$E82,$D$8:$E$8,M$8))</f>
        <v>0</v>
      </c>
      <c r="N82">
        <f>IF($F82="s-curve",$D82+($E82-$D82)*$I$2/(1+EXP($I$3*(COUNT($H$8:N$8)+$I$4))),TREND($D82:$E82,$D$8:$E$8,N$8))</f>
        <v>0</v>
      </c>
      <c r="O82">
        <f>IF($F82="s-curve",$D82+($E82-$D82)*$I$2/(1+EXP($I$3*(COUNT($H$8:O$8)+$I$4))),TREND($D82:$E82,$D$8:$E$8,O$8))</f>
        <v>0</v>
      </c>
      <c r="P82">
        <f>IF($F82="s-curve",$D82+($E82-$D82)*$I$2/(1+EXP($I$3*(COUNT($H$8:P$8)+$I$4))),TREND($D82:$E82,$D$8:$E$8,P$8))</f>
        <v>0</v>
      </c>
      <c r="Q82">
        <f>IF($F82="s-curve",$D82+($E82-$D82)*$I$2/(1+EXP($I$3*(COUNT($H$8:Q$8)+$I$4))),TREND($D82:$E82,$D$8:$E$8,Q$8))</f>
        <v>0</v>
      </c>
      <c r="R82">
        <f>IF($F82="s-curve",$D82+($E82-$D82)*$I$2/(1+EXP($I$3*(COUNT($H$8:R$8)+$I$4))),TREND($D82:$E82,$D$8:$E$8,R$8))</f>
        <v>0</v>
      </c>
      <c r="S82">
        <f>IF($F82="s-curve",$D82+($E82-$D82)*$I$2/(1+EXP($I$3*(COUNT($H$8:S$8)+$I$4))),TREND($D82:$E82,$D$8:$E$8,S$8))</f>
        <v>0</v>
      </c>
      <c r="T82">
        <f>IF($F82="s-curve",$D82+($E82-$D82)*$I$2/(1+EXP($I$3*(COUNT($H$8:T$8)+$I$4))),TREND($D82:$E82,$D$8:$E$8,T$8))</f>
        <v>0</v>
      </c>
      <c r="U82">
        <f>IF($F82="s-curve",$D82+($E82-$D82)*$I$2/(1+EXP($I$3*(COUNT($H$8:U$8)+$I$4))),TREND($D82:$E82,$D$8:$E$8,U$8))</f>
        <v>0</v>
      </c>
      <c r="V82">
        <f>IF($F82="s-curve",$D82+($E82-$D82)*$I$2/(1+EXP($I$3*(COUNT($H$8:V$8)+$I$4))),TREND($D82:$E82,$D$8:$E$8,V$8))</f>
        <v>0</v>
      </c>
      <c r="W82">
        <f>IF($F82="s-curve",$D82+($E82-$D82)*$I$2/(1+EXP($I$3*(COUNT($H$8:W$8)+$I$4))),TREND($D82:$E82,$D$8:$E$8,W$8))</f>
        <v>0</v>
      </c>
      <c r="X82">
        <f>IF($F82="s-curve",$D82+($E82-$D82)*$I$2/(1+EXP($I$3*(COUNT($H$8:X$8)+$I$4))),TREND($D82:$E82,$D$8:$E$8,X$8))</f>
        <v>0</v>
      </c>
      <c r="Y82">
        <f>IF($F82="s-curve",$D82+($E82-$D82)*$I$2/(1+EXP($I$3*(COUNT($H$8:Y$8)+$I$4))),TREND($D82:$E82,$D$8:$E$8,Y$8))</f>
        <v>0</v>
      </c>
      <c r="Z82">
        <f>IF($F82="s-curve",$D82+($E82-$D82)*$I$2/(1+EXP($I$3*(COUNT($H$8:Z$8)+$I$4))),TREND($D82:$E82,$D$8:$E$8,Z$8))</f>
        <v>0</v>
      </c>
      <c r="AA82">
        <f>IF($F82="s-curve",$D82+($E82-$D82)*$I$2/(1+EXP($I$3*(COUNT($H$8:AA$8)+$I$4))),TREND($D82:$E82,$D$8:$E$8,AA$8))</f>
        <v>0</v>
      </c>
      <c r="AB82">
        <f>IF($F82="s-curve",$D82+($E82-$D82)*$I$2/(1+EXP($I$3*(COUNT($H$8:AB$8)+$I$4))),TREND($D82:$E82,$D$8:$E$8,AB$8))</f>
        <v>0</v>
      </c>
      <c r="AC82">
        <f>IF($F82="s-curve",$D82+($E82-$D82)*$I$2/(1+EXP($I$3*(COUNT($H$8:AC$8)+$I$4))),TREND($D82:$E82,$D$8:$E$8,AC$8))</f>
        <v>0</v>
      </c>
      <c r="AD82">
        <f>IF($F82="s-curve",$D82+($E82-$D82)*$I$2/(1+EXP($I$3*(COUNT($H$8:AD$8)+$I$4))),TREND($D82:$E82,$D$8:$E$8,AD$8))</f>
        <v>0</v>
      </c>
      <c r="AE82">
        <f>IF($F82="s-curve",$D82+($E82-$D82)*$I$2/(1+EXP($I$3*(COUNT($H$8:AE$8)+$I$4))),TREND($D82:$E82,$D$8:$E$8,AE$8))</f>
        <v>0</v>
      </c>
      <c r="AF82">
        <f>IF($F82="s-curve",$D82+($E82-$D82)*$I$2/(1+EXP($I$3*(COUNT($H$8:AF$8)+$I$4))),TREND($D82:$E82,$D$8:$E$8,AF$8))</f>
        <v>0</v>
      </c>
      <c r="AG82">
        <f>IF($F82="s-curve",$D82+($E82-$D82)*$I$2/(1+EXP($I$3*(COUNT($H$8:AG$8)+$I$4))),TREND($D82:$E82,$D$8:$E$8,AG$8))</f>
        <v>0</v>
      </c>
      <c r="AH82">
        <f>IF($F82="s-curve",$D82+($E82-$D82)*$I$2/(1+EXP($I$3*(COUNT($H$8:AH$8)+$I$4))),TREND($D82:$E82,$D$8:$E$8,AH$8))</f>
        <v>0</v>
      </c>
      <c r="AI82">
        <f>IF($F82="s-curve",$D82+($E82-$D82)*$I$2/(1+EXP($I$3*(COUNT($H$8:AI$8)+$I$4))),TREND($D82:$E82,$D$8:$E$8,AI$8))</f>
        <v>0</v>
      </c>
      <c r="AJ82">
        <f>IF($F82="s-curve",$D82+($E82-$D82)*$I$2/(1+EXP($I$3*(COUNT($H$8:AJ$8)+$I$4))),TREND($D82:$E82,$D$8:$E$8,AJ$8))</f>
        <v>0</v>
      </c>
      <c r="AK82">
        <f>IF($F82="s-curve",$D82+($E82-$D82)*$I$2/(1+EXP($I$3*(COUNT($H$8:AK$8)+$I$4))),TREND($D82:$E82,$D$8:$E$8,AK$8))</f>
        <v>0</v>
      </c>
      <c r="AL82">
        <f>IF($F82="s-curve",$D82+($E82-$D82)*$I$2/(1+EXP($I$3*(COUNT($H$8:AL$8)+$I$4))),TREND($D82:$E82,$D$8:$E$8,AL$8))</f>
        <v>0</v>
      </c>
      <c r="AM82">
        <f>IF($F82="s-curve",$D82+($E82-$D82)*$I$2/(1+EXP($I$3*(COUNT($H$8:AM$8)+$I$4))),TREND($D82:$E82,$D$8:$E$8,AM$8))</f>
        <v>0</v>
      </c>
      <c r="AN82">
        <f>IF($F82="s-curve",$D82+($E82-$D82)*$I$2/(1+EXP($I$3*(COUNT($H$8:AN$8)+$I$4))),TREND($D82:$E82,$D$8:$E$8,AN$8))</f>
        <v>0</v>
      </c>
      <c r="AO82">
        <f>IF($F82="s-curve",$D82+($E82-$D82)*$I$2/(1+EXP($I$3*(COUNT($H$8:AO$8)+$I$4))),TREND($D82:$E82,$D$8:$E$8,AO$8))</f>
        <v>0</v>
      </c>
      <c r="AP82">
        <f>IF($F82="s-curve",$D82+($E82-$D82)*$I$2/(1+EXP($I$3*(COUNT($H$8:AP$8)+$I$4))),TREND($D82:$E82,$D$8:$E$8,AP$8))</f>
        <v>0</v>
      </c>
      <c r="AQ82">
        <f>IF($F82="s-curve",$D82+($E82-$D82)*$I$2/(1+EXP($I$3*(COUNT($H$8:AQ$8)+$I$4))),TREND($D82:$E82,$D$8:$E$8,AQ$8))</f>
        <v>0</v>
      </c>
      <c r="AR82">
        <f>IF($F82="s-curve",$D82+($E82-$D82)*$I$2/(1+EXP($I$3*(COUNT($H$8:AR$8)+$I$4))),TREND($D82:$E82,$D$8:$E$8,AR$8))</f>
        <v>0</v>
      </c>
      <c r="AS82">
        <f>IF($F82="s-curve",$D82+($E82-$D82)*$I$2/(1+EXP($I$3*(COUNT($H$8:AS$8)+$I$4))),TREND($D82:$E82,$D$8:$E$8,AS$8))</f>
        <v>0</v>
      </c>
      <c r="AT82">
        <f>IF($F82="s-curve",$D82+($E82-$D82)*$I$2/(1+EXP($I$3*(COUNT($H$8:AT$8)+$I$4))),TREND($D82:$E82,$D$8:$E$8,AT$8))</f>
        <v>0</v>
      </c>
      <c r="AU82">
        <f>IF($F82="s-curve",$D82+($E82-$D82)*$I$2/(1+EXP($I$3*(COUNT($H$8:AU$8)+$I$4))),TREND($D82:$E82,$D$8:$E$8,AU$8))</f>
        <v>0</v>
      </c>
      <c r="AV82">
        <f>IF($F82="s-curve",$D82+($E82-$D82)*$I$2/(1+EXP($I$3*(COUNT($H$8:AV$8)+$I$4))),TREND($D82:$E82,$D$8:$E$8,AV$8))</f>
        <v>0</v>
      </c>
    </row>
    <row r="83" spans="1:48" x14ac:dyDescent="0.15">
      <c r="C83" t="s">
        <v>5</v>
      </c>
      <c r="D83" s="22">
        <f>'SYVbT-passenger'!F7/SUM('SYVbT-passenger'!7:7)</f>
        <v>0</v>
      </c>
      <c r="E83">
        <v>0</v>
      </c>
      <c r="F83" s="7" t="str">
        <f>IF(D83=E83,"n/a",IF(OR(C83="battery electric vehicle",C83="natural gas vehicle",C83="plugin hybrid vehicle"),"s-curve","linear"))</f>
        <v>n/a</v>
      </c>
      <c r="H83" s="22">
        <f t="shared" si="24"/>
        <v>0</v>
      </c>
      <c r="I83">
        <f>IF($F83="s-curve",$D83+($E83-$D83)*$I$2/(1+EXP($I$3*(COUNT($H$8:I$8)+$I$4))),TREND($D83:$E83,$D$8:$E$8,I$8))</f>
        <v>0</v>
      </c>
      <c r="J83">
        <f>IF($F83="s-curve",$D83+($E83-$D83)*$I$2/(1+EXP($I$3*(COUNT($H$8:J$8)+$I$4))),TREND($D83:$E83,$D$8:$E$8,J$8))</f>
        <v>0</v>
      </c>
      <c r="K83">
        <f>IF($F83="s-curve",$D83+($E83-$D83)*$I$2/(1+EXP($I$3*(COUNT($H$8:K$8)+$I$4))),TREND($D83:$E83,$D$8:$E$8,K$8))</f>
        <v>0</v>
      </c>
      <c r="L83">
        <f>IF($F83="s-curve",$D83+($E83-$D83)*$I$2/(1+EXP($I$3*(COUNT($H$8:L$8)+$I$4))),TREND($D83:$E83,$D$8:$E$8,L$8))</f>
        <v>0</v>
      </c>
      <c r="M83">
        <f>IF($F83="s-curve",$D83+($E83-$D83)*$I$2/(1+EXP($I$3*(COUNT($H$8:M$8)+$I$4))),TREND($D83:$E83,$D$8:$E$8,M$8))</f>
        <v>0</v>
      </c>
      <c r="N83">
        <f>IF($F83="s-curve",$D83+($E83-$D83)*$I$2/(1+EXP($I$3*(COUNT($H$8:N$8)+$I$4))),TREND($D83:$E83,$D$8:$E$8,N$8))</f>
        <v>0</v>
      </c>
      <c r="O83">
        <f>IF($F83="s-curve",$D83+($E83-$D83)*$I$2/(1+EXP($I$3*(COUNT($H$8:O$8)+$I$4))),TREND($D83:$E83,$D$8:$E$8,O$8))</f>
        <v>0</v>
      </c>
      <c r="P83">
        <f>IF($F83="s-curve",$D83+($E83-$D83)*$I$2/(1+EXP($I$3*(COUNT($H$8:P$8)+$I$4))),TREND($D83:$E83,$D$8:$E$8,P$8))</f>
        <v>0</v>
      </c>
      <c r="Q83">
        <f>IF($F83="s-curve",$D83+($E83-$D83)*$I$2/(1+EXP($I$3*(COUNT($H$8:Q$8)+$I$4))),TREND($D83:$E83,$D$8:$E$8,Q$8))</f>
        <v>0</v>
      </c>
      <c r="R83">
        <f>IF($F83="s-curve",$D83+($E83-$D83)*$I$2/(1+EXP($I$3*(COUNT($H$8:R$8)+$I$4))),TREND($D83:$E83,$D$8:$E$8,R$8))</f>
        <v>0</v>
      </c>
      <c r="S83">
        <f>IF($F83="s-curve",$D83+($E83-$D83)*$I$2/(1+EXP($I$3*(COUNT($H$8:S$8)+$I$4))),TREND($D83:$E83,$D$8:$E$8,S$8))</f>
        <v>0</v>
      </c>
      <c r="T83">
        <f>IF($F83="s-curve",$D83+($E83-$D83)*$I$2/(1+EXP($I$3*(COUNT($H$8:T$8)+$I$4))),TREND($D83:$E83,$D$8:$E$8,T$8))</f>
        <v>0</v>
      </c>
      <c r="U83">
        <f>IF($F83="s-curve",$D83+($E83-$D83)*$I$2/(1+EXP($I$3*(COUNT($H$8:U$8)+$I$4))),TREND($D83:$E83,$D$8:$E$8,U$8))</f>
        <v>0</v>
      </c>
      <c r="V83">
        <f>IF($F83="s-curve",$D83+($E83-$D83)*$I$2/(1+EXP($I$3*(COUNT($H$8:V$8)+$I$4))),TREND($D83:$E83,$D$8:$E$8,V$8))</f>
        <v>0</v>
      </c>
      <c r="W83">
        <f>IF($F83="s-curve",$D83+($E83-$D83)*$I$2/(1+EXP($I$3*(COUNT($H$8:W$8)+$I$4))),TREND($D83:$E83,$D$8:$E$8,W$8))</f>
        <v>0</v>
      </c>
      <c r="X83">
        <f>IF($F83="s-curve",$D83+($E83-$D83)*$I$2/(1+EXP($I$3*(COUNT($H$8:X$8)+$I$4))),TREND($D83:$E83,$D$8:$E$8,X$8))</f>
        <v>0</v>
      </c>
      <c r="Y83">
        <f>IF($F83="s-curve",$D83+($E83-$D83)*$I$2/(1+EXP($I$3*(COUNT($H$8:Y$8)+$I$4))),TREND($D83:$E83,$D$8:$E$8,Y$8))</f>
        <v>0</v>
      </c>
      <c r="Z83">
        <f>IF($F83="s-curve",$D83+($E83-$D83)*$I$2/(1+EXP($I$3*(COUNT($H$8:Z$8)+$I$4))),TREND($D83:$E83,$D$8:$E$8,Z$8))</f>
        <v>0</v>
      </c>
      <c r="AA83">
        <f>IF($F83="s-curve",$D83+($E83-$D83)*$I$2/(1+EXP($I$3*(COUNT($H$8:AA$8)+$I$4))),TREND($D83:$E83,$D$8:$E$8,AA$8))</f>
        <v>0</v>
      </c>
      <c r="AB83">
        <f>IF($F83="s-curve",$D83+($E83-$D83)*$I$2/(1+EXP($I$3*(COUNT($H$8:AB$8)+$I$4))),TREND($D83:$E83,$D$8:$E$8,AB$8))</f>
        <v>0</v>
      </c>
      <c r="AC83">
        <f>IF($F83="s-curve",$D83+($E83-$D83)*$I$2/(1+EXP($I$3*(COUNT($H$8:AC$8)+$I$4))),TREND($D83:$E83,$D$8:$E$8,AC$8))</f>
        <v>0</v>
      </c>
      <c r="AD83">
        <f>IF($F83="s-curve",$D83+($E83-$D83)*$I$2/(1+EXP($I$3*(COUNT($H$8:AD$8)+$I$4))),TREND($D83:$E83,$D$8:$E$8,AD$8))</f>
        <v>0</v>
      </c>
      <c r="AE83">
        <f>IF($F83="s-curve",$D83+($E83-$D83)*$I$2/(1+EXP($I$3*(COUNT($H$8:AE$8)+$I$4))),TREND($D83:$E83,$D$8:$E$8,AE$8))</f>
        <v>0</v>
      </c>
      <c r="AF83">
        <f>IF($F83="s-curve",$D83+($E83-$D83)*$I$2/(1+EXP($I$3*(COUNT($H$8:AF$8)+$I$4))),TREND($D83:$E83,$D$8:$E$8,AF$8))</f>
        <v>0</v>
      </c>
      <c r="AG83">
        <f>IF($F83="s-curve",$D83+($E83-$D83)*$I$2/(1+EXP($I$3*(COUNT($H$8:AG$8)+$I$4))),TREND($D83:$E83,$D$8:$E$8,AG$8))</f>
        <v>0</v>
      </c>
      <c r="AH83">
        <f>IF($F83="s-curve",$D83+($E83-$D83)*$I$2/(1+EXP($I$3*(COUNT($H$8:AH$8)+$I$4))),TREND($D83:$E83,$D$8:$E$8,AH$8))</f>
        <v>0</v>
      </c>
      <c r="AI83">
        <f>IF($F83="s-curve",$D83+($E83-$D83)*$I$2/(1+EXP($I$3*(COUNT($H$8:AI$8)+$I$4))),TREND($D83:$E83,$D$8:$E$8,AI$8))</f>
        <v>0</v>
      </c>
      <c r="AJ83">
        <f>IF($F83="s-curve",$D83+($E83-$D83)*$I$2/(1+EXP($I$3*(COUNT($H$8:AJ$8)+$I$4))),TREND($D83:$E83,$D$8:$E$8,AJ$8))</f>
        <v>0</v>
      </c>
      <c r="AK83">
        <f>IF($F83="s-curve",$D83+($E83-$D83)*$I$2/(1+EXP($I$3*(COUNT($H$8:AK$8)+$I$4))),TREND($D83:$E83,$D$8:$E$8,AK$8))</f>
        <v>0</v>
      </c>
      <c r="AL83">
        <f>IF($F83="s-curve",$D83+($E83-$D83)*$I$2/(1+EXP($I$3*(COUNT($H$8:AL$8)+$I$4))),TREND($D83:$E83,$D$8:$E$8,AL$8))</f>
        <v>0</v>
      </c>
      <c r="AM83">
        <f>IF($F83="s-curve",$D83+($E83-$D83)*$I$2/(1+EXP($I$3*(COUNT($H$8:AM$8)+$I$4))),TREND($D83:$E83,$D$8:$E$8,AM$8))</f>
        <v>0</v>
      </c>
      <c r="AN83">
        <f>IF($F83="s-curve",$D83+($E83-$D83)*$I$2/(1+EXP($I$3*(COUNT($H$8:AN$8)+$I$4))),TREND($D83:$E83,$D$8:$E$8,AN$8))</f>
        <v>0</v>
      </c>
      <c r="AO83">
        <f>IF($F83="s-curve",$D83+($E83-$D83)*$I$2/(1+EXP($I$3*(COUNT($H$8:AO$8)+$I$4))),TREND($D83:$E83,$D$8:$E$8,AO$8))</f>
        <v>0</v>
      </c>
      <c r="AP83">
        <f>IF($F83="s-curve",$D83+($E83-$D83)*$I$2/(1+EXP($I$3*(COUNT($H$8:AP$8)+$I$4))),TREND($D83:$E83,$D$8:$E$8,AP$8))</f>
        <v>0</v>
      </c>
      <c r="AQ83">
        <f>IF($F83="s-curve",$D83+($E83-$D83)*$I$2/(1+EXP($I$3*(COUNT($H$8:AQ$8)+$I$4))),TREND($D83:$E83,$D$8:$E$8,AQ$8))</f>
        <v>0</v>
      </c>
      <c r="AR83">
        <f>IF($F83="s-curve",$D83+($E83-$D83)*$I$2/(1+EXP($I$3*(COUNT($H$8:AR$8)+$I$4))),TREND($D83:$E83,$D$8:$E$8,AR$8))</f>
        <v>0</v>
      </c>
      <c r="AS83">
        <f>IF($F83="s-curve",$D83+($E83-$D83)*$I$2/(1+EXP($I$3*(COUNT($H$8:AS$8)+$I$4))),TREND($D83:$E83,$D$8:$E$8,AS$8))</f>
        <v>0</v>
      </c>
      <c r="AT83">
        <f>IF($F83="s-curve",$D83+($E83-$D83)*$I$2/(1+EXP($I$3*(COUNT($H$8:AT$8)+$I$4))),TREND($D83:$E83,$D$8:$E$8,AT$8))</f>
        <v>0</v>
      </c>
      <c r="AU83">
        <f>IF($F83="s-curve",$D83+($E83-$D83)*$I$2/(1+EXP($I$3*(COUNT($H$8:AU$8)+$I$4))),TREND($D83:$E83,$D$8:$E$8,AU$8))</f>
        <v>0</v>
      </c>
      <c r="AV83">
        <f>IF($F83="s-curve",$D83+($E83-$D83)*$I$2/(1+EXP($I$3*(COUNT($H$8:AV$8)+$I$4))),TREND($D83:$E83,$D$8:$E$8,AV$8))</f>
        <v>0</v>
      </c>
    </row>
    <row r="84" spans="1:48" x14ac:dyDescent="0.15">
      <c r="C84" t="s">
        <v>125</v>
      </c>
      <c r="D84" s="22">
        <f>'SYVbT-passenger'!G7/SUM('SYVbT-passenger'!7:7)</f>
        <v>0</v>
      </c>
      <c r="E84">
        <v>0</v>
      </c>
      <c r="F84" s="7" t="str">
        <f>IF(D84=E84,"n/a",IF(OR(C84="battery electric vehicle",C84="natural gas vehicle",C84="plugin hybrid vehicle",C84="hydrogen vehicle"),"s-curve","linear"))</f>
        <v>n/a</v>
      </c>
      <c r="H84" s="22">
        <f t="shared" si="24"/>
        <v>0</v>
      </c>
      <c r="I84">
        <f>IF($F84="s-curve",$D84+($E84-$D84)*$I$2/(1+EXP($I$3*(COUNT($H$8:I$8)+$I$4))),TREND($D84:$E84,$D$8:$E$8,I$8))</f>
        <v>0</v>
      </c>
      <c r="J84">
        <f>IF($F84="s-curve",$D84+($E84-$D84)*$I$2/(1+EXP($I$3*(COUNT($H$8:J$8)+$I$4))),TREND($D84:$E84,$D$8:$E$8,J$8))</f>
        <v>0</v>
      </c>
      <c r="K84">
        <f>IF($F84="s-curve",$D84+($E84-$D84)*$I$2/(1+EXP($I$3*(COUNT($H$8:K$8)+$I$4))),TREND($D84:$E84,$D$8:$E$8,K$8))</f>
        <v>0</v>
      </c>
      <c r="L84">
        <f>IF($F84="s-curve",$D84+($E84-$D84)*$I$2/(1+EXP($I$3*(COUNT($H$8:L$8)+$I$4))),TREND($D84:$E84,$D$8:$E$8,L$8))</f>
        <v>0</v>
      </c>
      <c r="M84">
        <f>IF($F84="s-curve",$D84+($E84-$D84)*$I$2/(1+EXP($I$3*(COUNT($H$8:M$8)+$I$4))),TREND($D84:$E84,$D$8:$E$8,M$8))</f>
        <v>0</v>
      </c>
      <c r="N84">
        <f>IF($F84="s-curve",$D84+($E84-$D84)*$I$2/(1+EXP($I$3*(COUNT($H$8:N$8)+$I$4))),TREND($D84:$E84,$D$8:$E$8,N$8))</f>
        <v>0</v>
      </c>
      <c r="O84">
        <f>IF($F84="s-curve",$D84+($E84-$D84)*$I$2/(1+EXP($I$3*(COUNT($H$8:O$8)+$I$4))),TREND($D84:$E84,$D$8:$E$8,O$8))</f>
        <v>0</v>
      </c>
      <c r="P84">
        <f>IF($F84="s-curve",$D84+($E84-$D84)*$I$2/(1+EXP($I$3*(COUNT($H$8:P$8)+$I$4))),TREND($D84:$E84,$D$8:$E$8,P$8))</f>
        <v>0</v>
      </c>
      <c r="Q84">
        <f>IF($F84="s-curve",$D84+($E84-$D84)*$I$2/(1+EXP($I$3*(COUNT($H$8:Q$8)+$I$4))),TREND($D84:$E84,$D$8:$E$8,Q$8))</f>
        <v>0</v>
      </c>
      <c r="R84">
        <f>IF($F84="s-curve",$D84+($E84-$D84)*$I$2/(1+EXP($I$3*(COUNT($H$8:R$8)+$I$4))),TREND($D84:$E84,$D$8:$E$8,R$8))</f>
        <v>0</v>
      </c>
      <c r="S84">
        <f>IF($F84="s-curve",$D84+($E84-$D84)*$I$2/(1+EXP($I$3*(COUNT($H$8:S$8)+$I$4))),TREND($D84:$E84,$D$8:$E$8,S$8))</f>
        <v>0</v>
      </c>
      <c r="T84">
        <f>IF($F84="s-curve",$D84+($E84-$D84)*$I$2/(1+EXP($I$3*(COUNT($H$8:T$8)+$I$4))),TREND($D84:$E84,$D$8:$E$8,T$8))</f>
        <v>0</v>
      </c>
      <c r="U84">
        <f>IF($F84="s-curve",$D84+($E84-$D84)*$I$2/(1+EXP($I$3*(COUNT($H$8:U$8)+$I$4))),TREND($D84:$E84,$D$8:$E$8,U$8))</f>
        <v>0</v>
      </c>
      <c r="V84">
        <f>IF($F84="s-curve",$D84+($E84-$D84)*$I$2/(1+EXP($I$3*(COUNT($H$8:V$8)+$I$4))),TREND($D84:$E84,$D$8:$E$8,V$8))</f>
        <v>0</v>
      </c>
      <c r="W84">
        <f>IF($F84="s-curve",$D84+($E84-$D84)*$I$2/(1+EXP($I$3*(COUNT($H$8:W$8)+$I$4))),TREND($D84:$E84,$D$8:$E$8,W$8))</f>
        <v>0</v>
      </c>
      <c r="X84">
        <f>IF($F84="s-curve",$D84+($E84-$D84)*$I$2/(1+EXP($I$3*(COUNT($H$8:X$8)+$I$4))),TREND($D84:$E84,$D$8:$E$8,X$8))</f>
        <v>0</v>
      </c>
      <c r="Y84">
        <f>IF($F84="s-curve",$D84+($E84-$D84)*$I$2/(1+EXP($I$3*(COUNT($H$8:Y$8)+$I$4))),TREND($D84:$E84,$D$8:$E$8,Y$8))</f>
        <v>0</v>
      </c>
      <c r="Z84">
        <f>IF($F84="s-curve",$D84+($E84-$D84)*$I$2/(1+EXP($I$3*(COUNT($H$8:Z$8)+$I$4))),TREND($D84:$E84,$D$8:$E$8,Z$8))</f>
        <v>0</v>
      </c>
      <c r="AA84">
        <f>IF($F84="s-curve",$D84+($E84-$D84)*$I$2/(1+EXP($I$3*(COUNT($H$8:AA$8)+$I$4))),TREND($D84:$E84,$D$8:$E$8,AA$8))</f>
        <v>0</v>
      </c>
      <c r="AB84">
        <f>IF($F84="s-curve",$D84+($E84-$D84)*$I$2/(1+EXP($I$3*(COUNT($H$8:AB$8)+$I$4))),TREND($D84:$E84,$D$8:$E$8,AB$8))</f>
        <v>0</v>
      </c>
      <c r="AC84">
        <f>IF($F84="s-curve",$D84+($E84-$D84)*$I$2/(1+EXP($I$3*(COUNT($H$8:AC$8)+$I$4))),TREND($D84:$E84,$D$8:$E$8,AC$8))</f>
        <v>0</v>
      </c>
      <c r="AD84">
        <f>IF($F84="s-curve",$D84+($E84-$D84)*$I$2/(1+EXP($I$3*(COUNT($H$8:AD$8)+$I$4))),TREND($D84:$E84,$D$8:$E$8,AD$8))</f>
        <v>0</v>
      </c>
      <c r="AE84">
        <f>IF($F84="s-curve",$D84+($E84-$D84)*$I$2/(1+EXP($I$3*(COUNT($H$8:AE$8)+$I$4))),TREND($D84:$E84,$D$8:$E$8,AE$8))</f>
        <v>0</v>
      </c>
      <c r="AF84">
        <f>IF($F84="s-curve",$D84+($E84-$D84)*$I$2/(1+EXP($I$3*(COUNT($H$8:AF$8)+$I$4))),TREND($D84:$E84,$D$8:$E$8,AF$8))</f>
        <v>0</v>
      </c>
      <c r="AG84">
        <f>IF($F84="s-curve",$D84+($E84-$D84)*$I$2/(1+EXP($I$3*(COUNT($H$8:AG$8)+$I$4))),TREND($D84:$E84,$D$8:$E$8,AG$8))</f>
        <v>0</v>
      </c>
      <c r="AH84">
        <f>IF($F84="s-curve",$D84+($E84-$D84)*$I$2/(1+EXP($I$3*(COUNT($H$8:AH$8)+$I$4))),TREND($D84:$E84,$D$8:$E$8,AH$8))</f>
        <v>0</v>
      </c>
      <c r="AI84">
        <f>IF($F84="s-curve",$D84+($E84-$D84)*$I$2/(1+EXP($I$3*(COUNT($H$8:AI$8)+$I$4))),TREND($D84:$E84,$D$8:$E$8,AI$8))</f>
        <v>0</v>
      </c>
      <c r="AJ84">
        <f>IF($F84="s-curve",$D84+($E84-$D84)*$I$2/(1+EXP($I$3*(COUNT($H$8:AJ$8)+$I$4))),TREND($D84:$E84,$D$8:$E$8,AJ$8))</f>
        <v>0</v>
      </c>
      <c r="AK84">
        <f>IF($F84="s-curve",$D84+($E84-$D84)*$I$2/(1+EXP($I$3*(COUNT($H$8:AK$8)+$I$4))),TREND($D84:$E84,$D$8:$E$8,AK$8))</f>
        <v>0</v>
      </c>
      <c r="AL84">
        <f>IF($F84="s-curve",$D84+($E84-$D84)*$I$2/(1+EXP($I$3*(COUNT($H$8:AL$8)+$I$4))),TREND($D84:$E84,$D$8:$E$8,AL$8))</f>
        <v>0</v>
      </c>
      <c r="AM84">
        <f>IF($F84="s-curve",$D84+($E84-$D84)*$I$2/(1+EXP($I$3*(COUNT($H$8:AM$8)+$I$4))),TREND($D84:$E84,$D$8:$E$8,AM$8))</f>
        <v>0</v>
      </c>
      <c r="AN84">
        <f>IF($F84="s-curve",$D84+($E84-$D84)*$I$2/(1+EXP($I$3*(COUNT($H$8:AN$8)+$I$4))),TREND($D84:$E84,$D$8:$E$8,AN$8))</f>
        <v>0</v>
      </c>
      <c r="AO84">
        <f>IF($F84="s-curve",$D84+($E84-$D84)*$I$2/(1+EXP($I$3*(COUNT($H$8:AO$8)+$I$4))),TREND($D84:$E84,$D$8:$E$8,AO$8))</f>
        <v>0</v>
      </c>
      <c r="AP84">
        <f>IF($F84="s-curve",$D84+($E84-$D84)*$I$2/(1+EXP($I$3*(COUNT($H$8:AP$8)+$I$4))),TREND($D84:$E84,$D$8:$E$8,AP$8))</f>
        <v>0</v>
      </c>
      <c r="AQ84">
        <f>IF($F84="s-curve",$D84+($E84-$D84)*$I$2/(1+EXP($I$3*(COUNT($H$8:AQ$8)+$I$4))),TREND($D84:$E84,$D$8:$E$8,AQ$8))</f>
        <v>0</v>
      </c>
      <c r="AR84">
        <f>IF($F84="s-curve",$D84+($E84-$D84)*$I$2/(1+EXP($I$3*(COUNT($H$8:AR$8)+$I$4))),TREND($D84:$E84,$D$8:$E$8,AR$8))</f>
        <v>0</v>
      </c>
      <c r="AS84">
        <f>IF($F84="s-curve",$D84+($E84-$D84)*$I$2/(1+EXP($I$3*(COUNT($H$8:AS$8)+$I$4))),TREND($D84:$E84,$D$8:$E$8,AS$8))</f>
        <v>0</v>
      </c>
      <c r="AT84">
        <f>IF($F84="s-curve",$D84+($E84-$D84)*$I$2/(1+EXP($I$3*(COUNT($H$8:AT$8)+$I$4))),TREND($D84:$E84,$D$8:$E$8,AT$8))</f>
        <v>0</v>
      </c>
      <c r="AU84">
        <f>IF($F84="s-curve",$D84+($E84-$D84)*$I$2/(1+EXP($I$3*(COUNT($H$8:AU$8)+$I$4))),TREND($D84:$E84,$D$8:$E$8,AU$8))</f>
        <v>0</v>
      </c>
      <c r="AV84">
        <f>IF($F84="s-curve",$D84+($E84-$D84)*$I$2/(1+EXP($I$3*(COUNT($H$8:AV$8)+$I$4))),TREND($D84:$E84,$D$8:$E$8,AV$8))</f>
        <v>0</v>
      </c>
    </row>
    <row r="85" spans="1:48" ht="13.6" thickBot="1" x14ac:dyDescent="0.2">
      <c r="A85" s="23"/>
      <c r="B85" s="23"/>
      <c r="C85" s="23" t="s">
        <v>126</v>
      </c>
      <c r="D85" s="26">
        <f>'SYVbT-passenger'!H7/SUM('SYVbT-passenger'!7:7)</f>
        <v>0</v>
      </c>
      <c r="E85" s="23">
        <v>0</v>
      </c>
      <c r="F85" s="8" t="str">
        <f>IF(D85=E85,"n/a",IF(OR(C85="battery electric vehicle",C85="natural gas vehicle",C85="plugin hybrid vehicle",C85="hydrogen vehicle"),"s-curve","linear"))</f>
        <v>n/a</v>
      </c>
      <c r="H85" s="22">
        <f t="shared" si="24"/>
        <v>0</v>
      </c>
      <c r="I85">
        <f>IF($F85="s-curve",$D85+($E85-$D85)*$I$2/(1+EXP($I$3*(COUNT($H$8:I$8)+$I$4))),TREND($D85:$E85,$D$8:$E$8,I$8))</f>
        <v>0</v>
      </c>
      <c r="J85">
        <f>IF($F85="s-curve",$D85+($E85-$D85)*$I$2/(1+EXP($I$3*(COUNT($H$8:J$8)+$I$4))),TREND($D85:$E85,$D$8:$E$8,J$8))</f>
        <v>0</v>
      </c>
      <c r="K85">
        <f>IF($F85="s-curve",$D85+($E85-$D85)*$I$2/(1+EXP($I$3*(COUNT($H$8:K$8)+$I$4))),TREND($D85:$E85,$D$8:$E$8,K$8))</f>
        <v>0</v>
      </c>
      <c r="L85">
        <f>IF($F85="s-curve",$D85+($E85-$D85)*$I$2/(1+EXP($I$3*(COUNT($H$8:L$8)+$I$4))),TREND($D85:$E85,$D$8:$E$8,L$8))</f>
        <v>0</v>
      </c>
      <c r="M85">
        <f>IF($F85="s-curve",$D85+($E85-$D85)*$I$2/(1+EXP($I$3*(COUNT($H$8:M$8)+$I$4))),TREND($D85:$E85,$D$8:$E$8,M$8))</f>
        <v>0</v>
      </c>
      <c r="N85">
        <f>IF($F85="s-curve",$D85+($E85-$D85)*$I$2/(1+EXP($I$3*(COUNT($H$8:N$8)+$I$4))),TREND($D85:$E85,$D$8:$E$8,N$8))</f>
        <v>0</v>
      </c>
      <c r="O85">
        <f>IF($F85="s-curve",$D85+($E85-$D85)*$I$2/(1+EXP($I$3*(COUNT($H$8:O$8)+$I$4))),TREND($D85:$E85,$D$8:$E$8,O$8))</f>
        <v>0</v>
      </c>
      <c r="P85">
        <f>IF($F85="s-curve",$D85+($E85-$D85)*$I$2/(1+EXP($I$3*(COUNT($H$8:P$8)+$I$4))),TREND($D85:$E85,$D$8:$E$8,P$8))</f>
        <v>0</v>
      </c>
      <c r="Q85">
        <f>IF($F85="s-curve",$D85+($E85-$D85)*$I$2/(1+EXP($I$3*(COUNT($H$8:Q$8)+$I$4))),TREND($D85:$E85,$D$8:$E$8,Q$8))</f>
        <v>0</v>
      </c>
      <c r="R85">
        <f>IF($F85="s-curve",$D85+($E85-$D85)*$I$2/(1+EXP($I$3*(COUNT($H$8:R$8)+$I$4))),TREND($D85:$E85,$D$8:$E$8,R$8))</f>
        <v>0</v>
      </c>
      <c r="S85">
        <f>IF($F85="s-curve",$D85+($E85-$D85)*$I$2/(1+EXP($I$3*(COUNT($H$8:S$8)+$I$4))),TREND($D85:$E85,$D$8:$E$8,S$8))</f>
        <v>0</v>
      </c>
      <c r="T85">
        <f>IF($F85="s-curve",$D85+($E85-$D85)*$I$2/(1+EXP($I$3*(COUNT($H$8:T$8)+$I$4))),TREND($D85:$E85,$D$8:$E$8,T$8))</f>
        <v>0</v>
      </c>
      <c r="U85">
        <f>IF($F85="s-curve",$D85+($E85-$D85)*$I$2/(1+EXP($I$3*(COUNT($H$8:U$8)+$I$4))),TREND($D85:$E85,$D$8:$E$8,U$8))</f>
        <v>0</v>
      </c>
      <c r="V85">
        <f>IF($F85="s-curve",$D85+($E85-$D85)*$I$2/(1+EXP($I$3*(COUNT($H$8:V$8)+$I$4))),TREND($D85:$E85,$D$8:$E$8,V$8))</f>
        <v>0</v>
      </c>
      <c r="W85">
        <f>IF($F85="s-curve",$D85+($E85-$D85)*$I$2/(1+EXP($I$3*(COUNT($H$8:W$8)+$I$4))),TREND($D85:$E85,$D$8:$E$8,W$8))</f>
        <v>0</v>
      </c>
      <c r="X85">
        <f>IF($F85="s-curve",$D85+($E85-$D85)*$I$2/(1+EXP($I$3*(COUNT($H$8:X$8)+$I$4))),TREND($D85:$E85,$D$8:$E$8,X$8))</f>
        <v>0</v>
      </c>
      <c r="Y85">
        <f>IF($F85="s-curve",$D85+($E85-$D85)*$I$2/(1+EXP($I$3*(COUNT($H$8:Y$8)+$I$4))),TREND($D85:$E85,$D$8:$E$8,Y$8))</f>
        <v>0</v>
      </c>
      <c r="Z85">
        <f>IF($F85="s-curve",$D85+($E85-$D85)*$I$2/(1+EXP($I$3*(COUNT($H$8:Z$8)+$I$4))),TREND($D85:$E85,$D$8:$E$8,Z$8))</f>
        <v>0</v>
      </c>
      <c r="AA85">
        <f>IF($F85="s-curve",$D85+($E85-$D85)*$I$2/(1+EXP($I$3*(COUNT($H$8:AA$8)+$I$4))),TREND($D85:$E85,$D$8:$E$8,AA$8))</f>
        <v>0</v>
      </c>
      <c r="AB85">
        <f>IF($F85="s-curve",$D85+($E85-$D85)*$I$2/(1+EXP($I$3*(COUNT($H$8:AB$8)+$I$4))),TREND($D85:$E85,$D$8:$E$8,AB$8))</f>
        <v>0</v>
      </c>
      <c r="AC85">
        <f>IF($F85="s-curve",$D85+($E85-$D85)*$I$2/(1+EXP($I$3*(COUNT($H$8:AC$8)+$I$4))),TREND($D85:$E85,$D$8:$E$8,AC$8))</f>
        <v>0</v>
      </c>
      <c r="AD85">
        <f>IF($F85="s-curve",$D85+($E85-$D85)*$I$2/(1+EXP($I$3*(COUNT($H$8:AD$8)+$I$4))),TREND($D85:$E85,$D$8:$E$8,AD$8))</f>
        <v>0</v>
      </c>
      <c r="AE85">
        <f>IF($F85="s-curve",$D85+($E85-$D85)*$I$2/(1+EXP($I$3*(COUNT($H$8:AE$8)+$I$4))),TREND($D85:$E85,$D$8:$E$8,AE$8))</f>
        <v>0</v>
      </c>
      <c r="AF85">
        <f>IF($F85="s-curve",$D85+($E85-$D85)*$I$2/(1+EXP($I$3*(COUNT($H$8:AF$8)+$I$4))),TREND($D85:$E85,$D$8:$E$8,AF$8))</f>
        <v>0</v>
      </c>
      <c r="AG85">
        <f>IF($F85="s-curve",$D85+($E85-$D85)*$I$2/(1+EXP($I$3*(COUNT($H$8:AG$8)+$I$4))),TREND($D85:$E85,$D$8:$E$8,AG$8))</f>
        <v>0</v>
      </c>
      <c r="AH85">
        <f>IF($F85="s-curve",$D85+($E85-$D85)*$I$2/(1+EXP($I$3*(COUNT($H$8:AH$8)+$I$4))),TREND($D85:$E85,$D$8:$E$8,AH$8))</f>
        <v>0</v>
      </c>
      <c r="AI85">
        <f>IF($F85="s-curve",$D85+($E85-$D85)*$I$2/(1+EXP($I$3*(COUNT($H$8:AI$8)+$I$4))),TREND($D85:$E85,$D$8:$E$8,AI$8))</f>
        <v>0</v>
      </c>
      <c r="AJ85">
        <f>IF($F85="s-curve",$D85+($E85-$D85)*$I$2/(1+EXP($I$3*(COUNT($H$8:AJ$8)+$I$4))),TREND($D85:$E85,$D$8:$E$8,AJ$8))</f>
        <v>0</v>
      </c>
      <c r="AK85">
        <f>IF($F85="s-curve",$D85+($E85-$D85)*$I$2/(1+EXP($I$3*(COUNT($H$8:AK$8)+$I$4))),TREND($D85:$E85,$D$8:$E$8,AK$8))</f>
        <v>0</v>
      </c>
      <c r="AL85">
        <f>IF($F85="s-curve",$D85+($E85-$D85)*$I$2/(1+EXP($I$3*(COUNT($H$8:AL$8)+$I$4))),TREND($D85:$E85,$D$8:$E$8,AL$8))</f>
        <v>0</v>
      </c>
      <c r="AM85">
        <f>IF($F85="s-curve",$D85+($E85-$D85)*$I$2/(1+EXP($I$3*(COUNT($H$8:AM$8)+$I$4))),TREND($D85:$E85,$D$8:$E$8,AM$8))</f>
        <v>0</v>
      </c>
      <c r="AN85">
        <f>IF($F85="s-curve",$D85+($E85-$D85)*$I$2/(1+EXP($I$3*(COUNT($H$8:AN$8)+$I$4))),TREND($D85:$E85,$D$8:$E$8,AN$8))</f>
        <v>0</v>
      </c>
      <c r="AO85">
        <f>IF($F85="s-curve",$D85+($E85-$D85)*$I$2/(1+EXP($I$3*(COUNT($H$8:AO$8)+$I$4))),TREND($D85:$E85,$D$8:$E$8,AO$8))</f>
        <v>0</v>
      </c>
      <c r="AP85">
        <f>IF($F85="s-curve",$D85+($E85-$D85)*$I$2/(1+EXP($I$3*(COUNT($H$8:AP$8)+$I$4))),TREND($D85:$E85,$D$8:$E$8,AP$8))</f>
        <v>0</v>
      </c>
      <c r="AQ85">
        <f>IF($F85="s-curve",$D85+($E85-$D85)*$I$2/(1+EXP($I$3*(COUNT($H$8:AQ$8)+$I$4))),TREND($D85:$E85,$D$8:$E$8,AQ$8))</f>
        <v>0</v>
      </c>
      <c r="AR85">
        <f>IF($F85="s-curve",$D85+($E85-$D85)*$I$2/(1+EXP($I$3*(COUNT($H$8:AR$8)+$I$4))),TREND($D85:$E85,$D$8:$E$8,AR$8))</f>
        <v>0</v>
      </c>
      <c r="AS85">
        <f>IF($F85="s-curve",$D85+($E85-$D85)*$I$2/(1+EXP($I$3*(COUNT($H$8:AS$8)+$I$4))),TREND($D85:$E85,$D$8:$E$8,AS$8))</f>
        <v>0</v>
      </c>
      <c r="AT85">
        <f>IF($F85="s-curve",$D85+($E85-$D85)*$I$2/(1+EXP($I$3*(COUNT($H$8:AT$8)+$I$4))),TREND($D85:$E85,$D$8:$E$8,AT$8))</f>
        <v>0</v>
      </c>
      <c r="AU85">
        <f>IF($F85="s-curve",$D85+($E85-$D85)*$I$2/(1+EXP($I$3*(COUNT($H$8:AU$8)+$I$4))),TREND($D85:$E85,$D$8:$E$8,AU$8))</f>
        <v>0</v>
      </c>
      <c r="AV85">
        <f>IF($F85="s-curve",$D85+($E85-$D85)*$I$2/(1+EXP($I$3*(COUNT($H$8:AV$8)+$I$4))),TREND($D85:$E85,$D$8:$E$8,AV$8))</f>
        <v>0</v>
      </c>
    </row>
    <row r="86" spans="1:48" x14ac:dyDescent="0.15">
      <c r="A86" t="s">
        <v>17</v>
      </c>
      <c r="B86" t="s">
        <v>18</v>
      </c>
      <c r="C86" t="s">
        <v>1</v>
      </c>
      <c r="D86">
        <v>0</v>
      </c>
      <c r="E86">
        <v>0</v>
      </c>
      <c r="F86" s="7" t="str">
        <f>IF(D86=E86,"n/a",IF(OR(C86="battery electric vehicle",C86="natural gas vehicle",C86="plugin hybrid vehicle"),"s-curve","linear"))</f>
        <v>n/a</v>
      </c>
      <c r="H86" s="22">
        <f t="shared" si="24"/>
        <v>0</v>
      </c>
      <c r="I86">
        <f>IF($F86="s-curve",$D86+($E86-$D86)*$I$2/(1+EXP($I$3*(COUNT($H$8:I$8)+$I$4))),TREND($D86:$E86,$D$8:$E$8,I$8))</f>
        <v>0</v>
      </c>
      <c r="J86">
        <f>IF($F86="s-curve",$D86+($E86-$D86)*$I$2/(1+EXP($I$3*(COUNT($H$8:J$8)+$I$4))),TREND($D86:$E86,$D$8:$E$8,J$8))</f>
        <v>0</v>
      </c>
      <c r="K86">
        <f>IF($F86="s-curve",$D86+($E86-$D86)*$I$2/(1+EXP($I$3*(COUNT($H$8:K$8)+$I$4))),TREND($D86:$E86,$D$8:$E$8,K$8))</f>
        <v>0</v>
      </c>
      <c r="L86">
        <f>IF($F86="s-curve",$D86+($E86-$D86)*$I$2/(1+EXP($I$3*(COUNT($H$8:L$8)+$I$4))),TREND($D86:$E86,$D$8:$E$8,L$8))</f>
        <v>0</v>
      </c>
      <c r="M86">
        <f>IF($F86="s-curve",$D86+($E86-$D86)*$I$2/(1+EXP($I$3*(COUNT($H$8:M$8)+$I$4))),TREND($D86:$E86,$D$8:$E$8,M$8))</f>
        <v>0</v>
      </c>
      <c r="N86">
        <f>IF($F86="s-curve",$D86+($E86-$D86)*$I$2/(1+EXP($I$3*(COUNT($H$8:N$8)+$I$4))),TREND($D86:$E86,$D$8:$E$8,N$8))</f>
        <v>0</v>
      </c>
      <c r="O86">
        <f>IF($F86="s-curve",$D86+($E86-$D86)*$I$2/(1+EXP($I$3*(COUNT($H$8:O$8)+$I$4))),TREND($D86:$E86,$D$8:$E$8,O$8))</f>
        <v>0</v>
      </c>
      <c r="P86">
        <f>IF($F86="s-curve",$D86+($E86-$D86)*$I$2/(1+EXP($I$3*(COUNT($H$8:P$8)+$I$4))),TREND($D86:$E86,$D$8:$E$8,P$8))</f>
        <v>0</v>
      </c>
      <c r="Q86">
        <f>IF($F86="s-curve",$D86+($E86-$D86)*$I$2/(1+EXP($I$3*(COUNT($H$8:Q$8)+$I$4))),TREND($D86:$E86,$D$8:$E$8,Q$8))</f>
        <v>0</v>
      </c>
      <c r="R86">
        <f>IF($F86="s-curve",$D86+($E86-$D86)*$I$2/(1+EXP($I$3*(COUNT($H$8:R$8)+$I$4))),TREND($D86:$E86,$D$8:$E$8,R$8))</f>
        <v>0</v>
      </c>
      <c r="S86">
        <f>IF($F86="s-curve",$D86+($E86-$D86)*$I$2/(1+EXP($I$3*(COUNT($H$8:S$8)+$I$4))),TREND($D86:$E86,$D$8:$E$8,S$8))</f>
        <v>0</v>
      </c>
      <c r="T86">
        <f>IF($F86="s-curve",$D86+($E86-$D86)*$I$2/(1+EXP($I$3*(COUNT($H$8:T$8)+$I$4))),TREND($D86:$E86,$D$8:$E$8,T$8))</f>
        <v>0</v>
      </c>
      <c r="U86">
        <f>IF($F86="s-curve",$D86+($E86-$D86)*$I$2/(1+EXP($I$3*(COUNT($H$8:U$8)+$I$4))),TREND($D86:$E86,$D$8:$E$8,U$8))</f>
        <v>0</v>
      </c>
      <c r="V86">
        <f>IF($F86="s-curve",$D86+($E86-$D86)*$I$2/(1+EXP($I$3*(COUNT($H$8:V$8)+$I$4))),TREND($D86:$E86,$D$8:$E$8,V$8))</f>
        <v>0</v>
      </c>
      <c r="W86">
        <f>IF($F86="s-curve",$D86+($E86-$D86)*$I$2/(1+EXP($I$3*(COUNT($H$8:W$8)+$I$4))),TREND($D86:$E86,$D$8:$E$8,W$8))</f>
        <v>0</v>
      </c>
      <c r="X86">
        <f>IF($F86="s-curve",$D86+($E86-$D86)*$I$2/(1+EXP($I$3*(COUNT($H$8:X$8)+$I$4))),TREND($D86:$E86,$D$8:$E$8,X$8))</f>
        <v>0</v>
      </c>
      <c r="Y86">
        <f>IF($F86="s-curve",$D86+($E86-$D86)*$I$2/(1+EXP($I$3*(COUNT($H$8:Y$8)+$I$4))),TREND($D86:$E86,$D$8:$E$8,Y$8))</f>
        <v>0</v>
      </c>
      <c r="Z86">
        <f>IF($F86="s-curve",$D86+($E86-$D86)*$I$2/(1+EXP($I$3*(COUNT($H$8:Z$8)+$I$4))),TREND($D86:$E86,$D$8:$E$8,Z$8))</f>
        <v>0</v>
      </c>
      <c r="AA86">
        <f>IF($F86="s-curve",$D86+($E86-$D86)*$I$2/(1+EXP($I$3*(COUNT($H$8:AA$8)+$I$4))),TREND($D86:$E86,$D$8:$E$8,AA$8))</f>
        <v>0</v>
      </c>
      <c r="AB86">
        <f>IF($F86="s-curve",$D86+($E86-$D86)*$I$2/(1+EXP($I$3*(COUNT($H$8:AB$8)+$I$4))),TREND($D86:$E86,$D$8:$E$8,AB$8))</f>
        <v>0</v>
      </c>
      <c r="AC86">
        <f>IF($F86="s-curve",$D86+($E86-$D86)*$I$2/(1+EXP($I$3*(COUNT($H$8:AC$8)+$I$4))),TREND($D86:$E86,$D$8:$E$8,AC$8))</f>
        <v>0</v>
      </c>
      <c r="AD86">
        <f>IF($F86="s-curve",$D86+($E86-$D86)*$I$2/(1+EXP($I$3*(COUNT($H$8:AD$8)+$I$4))),TREND($D86:$E86,$D$8:$E$8,AD$8))</f>
        <v>0</v>
      </c>
      <c r="AE86">
        <f>IF($F86="s-curve",$D86+($E86-$D86)*$I$2/(1+EXP($I$3*(COUNT($H$8:AE$8)+$I$4))),TREND($D86:$E86,$D$8:$E$8,AE$8))</f>
        <v>0</v>
      </c>
      <c r="AF86">
        <f>IF($F86="s-curve",$D86+($E86-$D86)*$I$2/(1+EXP($I$3*(COUNT($H$8:AF$8)+$I$4))),TREND($D86:$E86,$D$8:$E$8,AF$8))</f>
        <v>0</v>
      </c>
      <c r="AG86">
        <f>IF($F86="s-curve",$D86+($E86-$D86)*$I$2/(1+EXP($I$3*(COUNT($H$8:AG$8)+$I$4))),TREND($D86:$E86,$D$8:$E$8,AG$8))</f>
        <v>0</v>
      </c>
      <c r="AH86">
        <f>IF($F86="s-curve",$D86+($E86-$D86)*$I$2/(1+EXP($I$3*(COUNT($H$8:AH$8)+$I$4))),TREND($D86:$E86,$D$8:$E$8,AH$8))</f>
        <v>0</v>
      </c>
      <c r="AI86">
        <f>IF($F86="s-curve",$D86+($E86-$D86)*$I$2/(1+EXP($I$3*(COUNT($H$8:AI$8)+$I$4))),TREND($D86:$E86,$D$8:$E$8,AI$8))</f>
        <v>0</v>
      </c>
      <c r="AJ86">
        <f>IF($F86="s-curve",$D86+($E86-$D86)*$I$2/(1+EXP($I$3*(COUNT($H$8:AJ$8)+$I$4))),TREND($D86:$E86,$D$8:$E$8,AJ$8))</f>
        <v>0</v>
      </c>
      <c r="AK86">
        <f>IF($F86="s-curve",$D86+($E86-$D86)*$I$2/(1+EXP($I$3*(COUNT($H$8:AK$8)+$I$4))),TREND($D86:$E86,$D$8:$E$8,AK$8))</f>
        <v>0</v>
      </c>
      <c r="AL86">
        <f>IF($F86="s-curve",$D86+($E86-$D86)*$I$2/(1+EXP($I$3*(COUNT($H$8:AL$8)+$I$4))),TREND($D86:$E86,$D$8:$E$8,AL$8))</f>
        <v>0</v>
      </c>
      <c r="AM86">
        <f>IF($F86="s-curve",$D86+($E86-$D86)*$I$2/(1+EXP($I$3*(COUNT($H$8:AM$8)+$I$4))),TREND($D86:$E86,$D$8:$E$8,AM$8))</f>
        <v>0</v>
      </c>
      <c r="AN86">
        <f>IF($F86="s-curve",$D86+($E86-$D86)*$I$2/(1+EXP($I$3*(COUNT($H$8:AN$8)+$I$4))),TREND($D86:$E86,$D$8:$E$8,AN$8))</f>
        <v>0</v>
      </c>
      <c r="AO86">
        <f>IF($F86="s-curve",$D86+($E86-$D86)*$I$2/(1+EXP($I$3*(COUNT($H$8:AO$8)+$I$4))),TREND($D86:$E86,$D$8:$E$8,AO$8))</f>
        <v>0</v>
      </c>
      <c r="AP86">
        <f>IF($F86="s-curve",$D86+($E86-$D86)*$I$2/(1+EXP($I$3*(COUNT($H$8:AP$8)+$I$4))),TREND($D86:$E86,$D$8:$E$8,AP$8))</f>
        <v>0</v>
      </c>
      <c r="AQ86">
        <f>IF($F86="s-curve",$D86+($E86-$D86)*$I$2/(1+EXP($I$3*(COUNT($H$8:AQ$8)+$I$4))),TREND($D86:$E86,$D$8:$E$8,AQ$8))</f>
        <v>0</v>
      </c>
      <c r="AR86">
        <f>IF($F86="s-curve",$D86+($E86-$D86)*$I$2/(1+EXP($I$3*(COUNT($H$8:AR$8)+$I$4))),TREND($D86:$E86,$D$8:$E$8,AR$8))</f>
        <v>0</v>
      </c>
      <c r="AS86">
        <f>IF($F86="s-curve",$D86+($E86-$D86)*$I$2/(1+EXP($I$3*(COUNT($H$8:AS$8)+$I$4))),TREND($D86:$E86,$D$8:$E$8,AS$8))</f>
        <v>0</v>
      </c>
      <c r="AT86">
        <f>IF($F86="s-curve",$D86+($E86-$D86)*$I$2/(1+EXP($I$3*(COUNT($H$8:AT$8)+$I$4))),TREND($D86:$E86,$D$8:$E$8,AT$8))</f>
        <v>0</v>
      </c>
      <c r="AU86">
        <f>IF($F86="s-curve",$D86+($E86-$D86)*$I$2/(1+EXP($I$3*(COUNT($H$8:AU$8)+$I$4))),TREND($D86:$E86,$D$8:$E$8,AU$8))</f>
        <v>0</v>
      </c>
      <c r="AV86">
        <f>IF($F86="s-curve",$D86+($E86-$D86)*$I$2/(1+EXP($I$3*(COUNT($H$8:AV$8)+$I$4))),TREND($D86:$E86,$D$8:$E$8,AV$8))</f>
        <v>0</v>
      </c>
    </row>
    <row r="87" spans="1:48" x14ac:dyDescent="0.15">
      <c r="C87" t="s">
        <v>2</v>
      </c>
      <c r="D87">
        <v>0</v>
      </c>
      <c r="E87">
        <v>0</v>
      </c>
      <c r="F87" s="7" t="str">
        <f>IF(D87=E87,"n/a",IF(OR(C87="battery electric vehicle",C87="natural gas vehicle",C87="plugin hybrid vehicle"),"s-curve","linear"))</f>
        <v>n/a</v>
      </c>
      <c r="H87" s="22">
        <f t="shared" si="24"/>
        <v>0</v>
      </c>
      <c r="I87">
        <f>IF($F87="s-curve",$D87+($E87-$D87)*$I$2/(1+EXP($I$3*(COUNT($H$8:I$8)+$I$4))),TREND($D87:$E87,$D$8:$E$8,I$8))</f>
        <v>0</v>
      </c>
      <c r="J87">
        <f>IF($F87="s-curve",$D87+($E87-$D87)*$I$2/(1+EXP($I$3*(COUNT($H$8:J$8)+$I$4))),TREND($D87:$E87,$D$8:$E$8,J$8))</f>
        <v>0</v>
      </c>
      <c r="K87">
        <f>IF($F87="s-curve",$D87+($E87-$D87)*$I$2/(1+EXP($I$3*(COUNT($H$8:K$8)+$I$4))),TREND($D87:$E87,$D$8:$E$8,K$8))</f>
        <v>0</v>
      </c>
      <c r="L87">
        <f>IF($F87="s-curve",$D87+($E87-$D87)*$I$2/(1+EXP($I$3*(COUNT($H$8:L$8)+$I$4))),TREND($D87:$E87,$D$8:$E$8,L$8))</f>
        <v>0</v>
      </c>
      <c r="M87">
        <f>IF($F87="s-curve",$D87+($E87-$D87)*$I$2/(1+EXP($I$3*(COUNT($H$8:M$8)+$I$4))),TREND($D87:$E87,$D$8:$E$8,M$8))</f>
        <v>0</v>
      </c>
      <c r="N87">
        <f>IF($F87="s-curve",$D87+($E87-$D87)*$I$2/(1+EXP($I$3*(COUNT($H$8:N$8)+$I$4))),TREND($D87:$E87,$D$8:$E$8,N$8))</f>
        <v>0</v>
      </c>
      <c r="O87">
        <f>IF($F87="s-curve",$D87+($E87-$D87)*$I$2/(1+EXP($I$3*(COUNT($H$8:O$8)+$I$4))),TREND($D87:$E87,$D$8:$E$8,O$8))</f>
        <v>0</v>
      </c>
      <c r="P87">
        <f>IF($F87="s-curve",$D87+($E87-$D87)*$I$2/(1+EXP($I$3*(COUNT($H$8:P$8)+$I$4))),TREND($D87:$E87,$D$8:$E$8,P$8))</f>
        <v>0</v>
      </c>
      <c r="Q87">
        <f>IF($F87="s-curve",$D87+($E87-$D87)*$I$2/(1+EXP($I$3*(COUNT($H$8:Q$8)+$I$4))),TREND($D87:$E87,$D$8:$E$8,Q$8))</f>
        <v>0</v>
      </c>
      <c r="R87">
        <f>IF($F87="s-curve",$D87+($E87-$D87)*$I$2/(1+EXP($I$3*(COUNT($H$8:R$8)+$I$4))),TREND($D87:$E87,$D$8:$E$8,R$8))</f>
        <v>0</v>
      </c>
      <c r="S87">
        <f>IF($F87="s-curve",$D87+($E87-$D87)*$I$2/(1+EXP($I$3*(COUNT($H$8:S$8)+$I$4))),TREND($D87:$E87,$D$8:$E$8,S$8))</f>
        <v>0</v>
      </c>
      <c r="T87">
        <f>IF($F87="s-curve",$D87+($E87-$D87)*$I$2/(1+EXP($I$3*(COUNT($H$8:T$8)+$I$4))),TREND($D87:$E87,$D$8:$E$8,T$8))</f>
        <v>0</v>
      </c>
      <c r="U87">
        <f>IF($F87="s-curve",$D87+($E87-$D87)*$I$2/(1+EXP($I$3*(COUNT($H$8:U$8)+$I$4))),TREND($D87:$E87,$D$8:$E$8,U$8))</f>
        <v>0</v>
      </c>
      <c r="V87">
        <f>IF($F87="s-curve",$D87+($E87-$D87)*$I$2/(1+EXP($I$3*(COUNT($H$8:V$8)+$I$4))),TREND($D87:$E87,$D$8:$E$8,V$8))</f>
        <v>0</v>
      </c>
      <c r="W87">
        <f>IF($F87="s-curve",$D87+($E87-$D87)*$I$2/(1+EXP($I$3*(COUNT($H$8:W$8)+$I$4))),TREND($D87:$E87,$D$8:$E$8,W$8))</f>
        <v>0</v>
      </c>
      <c r="X87">
        <f>IF($F87="s-curve",$D87+($E87-$D87)*$I$2/(1+EXP($I$3*(COUNT($H$8:X$8)+$I$4))),TREND($D87:$E87,$D$8:$E$8,X$8))</f>
        <v>0</v>
      </c>
      <c r="Y87">
        <f>IF($F87="s-curve",$D87+($E87-$D87)*$I$2/(1+EXP($I$3*(COUNT($H$8:Y$8)+$I$4))),TREND($D87:$E87,$D$8:$E$8,Y$8))</f>
        <v>0</v>
      </c>
      <c r="Z87">
        <f>IF($F87="s-curve",$D87+($E87-$D87)*$I$2/(1+EXP($I$3*(COUNT($H$8:Z$8)+$I$4))),TREND($D87:$E87,$D$8:$E$8,Z$8))</f>
        <v>0</v>
      </c>
      <c r="AA87">
        <f>IF($F87="s-curve",$D87+($E87-$D87)*$I$2/(1+EXP($I$3*(COUNT($H$8:AA$8)+$I$4))),TREND($D87:$E87,$D$8:$E$8,AA$8))</f>
        <v>0</v>
      </c>
      <c r="AB87">
        <f>IF($F87="s-curve",$D87+($E87-$D87)*$I$2/(1+EXP($I$3*(COUNT($H$8:AB$8)+$I$4))),TREND($D87:$E87,$D$8:$E$8,AB$8))</f>
        <v>0</v>
      </c>
      <c r="AC87">
        <f>IF($F87="s-curve",$D87+($E87-$D87)*$I$2/(1+EXP($I$3*(COUNT($H$8:AC$8)+$I$4))),TREND($D87:$E87,$D$8:$E$8,AC$8))</f>
        <v>0</v>
      </c>
      <c r="AD87">
        <f>IF($F87="s-curve",$D87+($E87-$D87)*$I$2/(1+EXP($I$3*(COUNT($H$8:AD$8)+$I$4))),TREND($D87:$E87,$D$8:$E$8,AD$8))</f>
        <v>0</v>
      </c>
      <c r="AE87">
        <f>IF($F87="s-curve",$D87+($E87-$D87)*$I$2/(1+EXP($I$3*(COUNT($H$8:AE$8)+$I$4))),TREND($D87:$E87,$D$8:$E$8,AE$8))</f>
        <v>0</v>
      </c>
      <c r="AF87">
        <f>IF($F87="s-curve",$D87+($E87-$D87)*$I$2/(1+EXP($I$3*(COUNT($H$8:AF$8)+$I$4))),TREND($D87:$E87,$D$8:$E$8,AF$8))</f>
        <v>0</v>
      </c>
      <c r="AG87">
        <f>IF($F87="s-curve",$D87+($E87-$D87)*$I$2/(1+EXP($I$3*(COUNT($H$8:AG$8)+$I$4))),TREND($D87:$E87,$D$8:$E$8,AG$8))</f>
        <v>0</v>
      </c>
      <c r="AH87">
        <f>IF($F87="s-curve",$D87+($E87-$D87)*$I$2/(1+EXP($I$3*(COUNT($H$8:AH$8)+$I$4))),TREND($D87:$E87,$D$8:$E$8,AH$8))</f>
        <v>0</v>
      </c>
      <c r="AI87">
        <f>IF($F87="s-curve",$D87+($E87-$D87)*$I$2/(1+EXP($I$3*(COUNT($H$8:AI$8)+$I$4))),TREND($D87:$E87,$D$8:$E$8,AI$8))</f>
        <v>0</v>
      </c>
      <c r="AJ87">
        <f>IF($F87="s-curve",$D87+($E87-$D87)*$I$2/(1+EXP($I$3*(COUNT($H$8:AJ$8)+$I$4))),TREND($D87:$E87,$D$8:$E$8,AJ$8))</f>
        <v>0</v>
      </c>
      <c r="AK87">
        <f>IF($F87="s-curve",$D87+($E87-$D87)*$I$2/(1+EXP($I$3*(COUNT($H$8:AK$8)+$I$4))),TREND($D87:$E87,$D$8:$E$8,AK$8))</f>
        <v>0</v>
      </c>
      <c r="AL87">
        <f>IF($F87="s-curve",$D87+($E87-$D87)*$I$2/(1+EXP($I$3*(COUNT($H$8:AL$8)+$I$4))),TREND($D87:$E87,$D$8:$E$8,AL$8))</f>
        <v>0</v>
      </c>
      <c r="AM87">
        <f>IF($F87="s-curve",$D87+($E87-$D87)*$I$2/(1+EXP($I$3*(COUNT($H$8:AM$8)+$I$4))),TREND($D87:$E87,$D$8:$E$8,AM$8))</f>
        <v>0</v>
      </c>
      <c r="AN87">
        <f>IF($F87="s-curve",$D87+($E87-$D87)*$I$2/(1+EXP($I$3*(COUNT($H$8:AN$8)+$I$4))),TREND($D87:$E87,$D$8:$E$8,AN$8))</f>
        <v>0</v>
      </c>
      <c r="AO87">
        <f>IF($F87="s-curve",$D87+($E87-$D87)*$I$2/(1+EXP($I$3*(COUNT($H$8:AO$8)+$I$4))),TREND($D87:$E87,$D$8:$E$8,AO$8))</f>
        <v>0</v>
      </c>
      <c r="AP87">
        <f>IF($F87="s-curve",$D87+($E87-$D87)*$I$2/(1+EXP($I$3*(COUNT($H$8:AP$8)+$I$4))),TREND($D87:$E87,$D$8:$E$8,AP$8))</f>
        <v>0</v>
      </c>
      <c r="AQ87">
        <f>IF($F87="s-curve",$D87+($E87-$D87)*$I$2/(1+EXP($I$3*(COUNT($H$8:AQ$8)+$I$4))),TREND($D87:$E87,$D$8:$E$8,AQ$8))</f>
        <v>0</v>
      </c>
      <c r="AR87">
        <f>IF($F87="s-curve",$D87+($E87-$D87)*$I$2/(1+EXP($I$3*(COUNT($H$8:AR$8)+$I$4))),TREND($D87:$E87,$D$8:$E$8,AR$8))</f>
        <v>0</v>
      </c>
      <c r="AS87">
        <f>IF($F87="s-curve",$D87+($E87-$D87)*$I$2/(1+EXP($I$3*(COUNT($H$8:AS$8)+$I$4))),TREND($D87:$E87,$D$8:$E$8,AS$8))</f>
        <v>0</v>
      </c>
      <c r="AT87">
        <f>IF($F87="s-curve",$D87+($E87-$D87)*$I$2/(1+EXP($I$3*(COUNT($H$8:AT$8)+$I$4))),TREND($D87:$E87,$D$8:$E$8,AT$8))</f>
        <v>0</v>
      </c>
      <c r="AU87">
        <f>IF($F87="s-curve",$D87+($E87-$D87)*$I$2/(1+EXP($I$3*(COUNT($H$8:AU$8)+$I$4))),TREND($D87:$E87,$D$8:$E$8,AU$8))</f>
        <v>0</v>
      </c>
      <c r="AV87">
        <f>IF($F87="s-curve",$D87+($E87-$D87)*$I$2/(1+EXP($I$3*(COUNT($H$8:AV$8)+$I$4))),TREND($D87:$E87,$D$8:$E$8,AV$8))</f>
        <v>0</v>
      </c>
    </row>
    <row r="88" spans="1:48" x14ac:dyDescent="0.15">
      <c r="C88" t="s">
        <v>3</v>
      </c>
      <c r="D88">
        <v>0</v>
      </c>
      <c r="E88">
        <v>0</v>
      </c>
      <c r="F88" s="7" t="str">
        <f>IF(D88=E88,"n/a",IF(OR(C88="battery electric vehicle",C88="natural gas vehicle",C88="plugin hybrid vehicle"),"s-curve","linear"))</f>
        <v>n/a</v>
      </c>
      <c r="H88" s="22">
        <f t="shared" si="24"/>
        <v>0</v>
      </c>
      <c r="I88">
        <f>IF($F88="s-curve",$D88+($E88-$D88)*$I$2/(1+EXP($I$3*(COUNT($H$8:I$8)+$I$4))),TREND($D88:$E88,$D$8:$E$8,I$8))</f>
        <v>0</v>
      </c>
      <c r="J88">
        <f>IF($F88="s-curve",$D88+($E88-$D88)*$I$2/(1+EXP($I$3*(COUNT($H$8:J$8)+$I$4))),TREND($D88:$E88,$D$8:$E$8,J$8))</f>
        <v>0</v>
      </c>
      <c r="K88">
        <f>IF($F88="s-curve",$D88+($E88-$D88)*$I$2/(1+EXP($I$3*(COUNT($H$8:K$8)+$I$4))),TREND($D88:$E88,$D$8:$E$8,K$8))</f>
        <v>0</v>
      </c>
      <c r="L88">
        <f>IF($F88="s-curve",$D88+($E88-$D88)*$I$2/(1+EXP($I$3*(COUNT($H$8:L$8)+$I$4))),TREND($D88:$E88,$D$8:$E$8,L$8))</f>
        <v>0</v>
      </c>
      <c r="M88">
        <f>IF($F88="s-curve",$D88+($E88-$D88)*$I$2/(1+EXP($I$3*(COUNT($H$8:M$8)+$I$4))),TREND($D88:$E88,$D$8:$E$8,M$8))</f>
        <v>0</v>
      </c>
      <c r="N88">
        <f>IF($F88="s-curve",$D88+($E88-$D88)*$I$2/(1+EXP($I$3*(COUNT($H$8:N$8)+$I$4))),TREND($D88:$E88,$D$8:$E$8,N$8))</f>
        <v>0</v>
      </c>
      <c r="O88">
        <f>IF($F88="s-curve",$D88+($E88-$D88)*$I$2/(1+EXP($I$3*(COUNT($H$8:O$8)+$I$4))),TREND($D88:$E88,$D$8:$E$8,O$8))</f>
        <v>0</v>
      </c>
      <c r="P88">
        <f>IF($F88="s-curve",$D88+($E88-$D88)*$I$2/(1+EXP($I$3*(COUNT($H$8:P$8)+$I$4))),TREND($D88:$E88,$D$8:$E$8,P$8))</f>
        <v>0</v>
      </c>
      <c r="Q88">
        <f>IF($F88="s-curve",$D88+($E88-$D88)*$I$2/(1+EXP($I$3*(COUNT($H$8:Q$8)+$I$4))),TREND($D88:$E88,$D$8:$E$8,Q$8))</f>
        <v>0</v>
      </c>
      <c r="R88">
        <f>IF($F88="s-curve",$D88+($E88-$D88)*$I$2/(1+EXP($I$3*(COUNT($H$8:R$8)+$I$4))),TREND($D88:$E88,$D$8:$E$8,R$8))</f>
        <v>0</v>
      </c>
      <c r="S88">
        <f>IF($F88="s-curve",$D88+($E88-$D88)*$I$2/(1+EXP($I$3*(COUNT($H$8:S$8)+$I$4))),TREND($D88:$E88,$D$8:$E$8,S$8))</f>
        <v>0</v>
      </c>
      <c r="T88">
        <f>IF($F88="s-curve",$D88+($E88-$D88)*$I$2/(1+EXP($I$3*(COUNT($H$8:T$8)+$I$4))),TREND($D88:$E88,$D$8:$E$8,T$8))</f>
        <v>0</v>
      </c>
      <c r="U88">
        <f>IF($F88="s-curve",$D88+($E88-$D88)*$I$2/(1+EXP($I$3*(COUNT($H$8:U$8)+$I$4))),TREND($D88:$E88,$D$8:$E$8,U$8))</f>
        <v>0</v>
      </c>
      <c r="V88">
        <f>IF($F88="s-curve",$D88+($E88-$D88)*$I$2/(1+EXP($I$3*(COUNT($H$8:V$8)+$I$4))),TREND($D88:$E88,$D$8:$E$8,V$8))</f>
        <v>0</v>
      </c>
      <c r="W88">
        <f>IF($F88="s-curve",$D88+($E88-$D88)*$I$2/(1+EXP($I$3*(COUNT($H$8:W$8)+$I$4))),TREND($D88:$E88,$D$8:$E$8,W$8))</f>
        <v>0</v>
      </c>
      <c r="X88">
        <f>IF($F88="s-curve",$D88+($E88-$D88)*$I$2/(1+EXP($I$3*(COUNT($H$8:X$8)+$I$4))),TREND($D88:$E88,$D$8:$E$8,X$8))</f>
        <v>0</v>
      </c>
      <c r="Y88">
        <f>IF($F88="s-curve",$D88+($E88-$D88)*$I$2/(1+EXP($I$3*(COUNT($H$8:Y$8)+$I$4))),TREND($D88:$E88,$D$8:$E$8,Y$8))</f>
        <v>0</v>
      </c>
      <c r="Z88">
        <f>IF($F88="s-curve",$D88+($E88-$D88)*$I$2/(1+EXP($I$3*(COUNT($H$8:Z$8)+$I$4))),TREND($D88:$E88,$D$8:$E$8,Z$8))</f>
        <v>0</v>
      </c>
      <c r="AA88">
        <f>IF($F88="s-curve",$D88+($E88-$D88)*$I$2/(1+EXP($I$3*(COUNT($H$8:AA$8)+$I$4))),TREND($D88:$E88,$D$8:$E$8,AA$8))</f>
        <v>0</v>
      </c>
      <c r="AB88">
        <f>IF($F88="s-curve",$D88+($E88-$D88)*$I$2/(1+EXP($I$3*(COUNT($H$8:AB$8)+$I$4))),TREND($D88:$E88,$D$8:$E$8,AB$8))</f>
        <v>0</v>
      </c>
      <c r="AC88">
        <f>IF($F88="s-curve",$D88+($E88-$D88)*$I$2/(1+EXP($I$3*(COUNT($H$8:AC$8)+$I$4))),TREND($D88:$E88,$D$8:$E$8,AC$8))</f>
        <v>0</v>
      </c>
      <c r="AD88">
        <f>IF($F88="s-curve",$D88+($E88-$D88)*$I$2/(1+EXP($I$3*(COUNT($H$8:AD$8)+$I$4))),TREND($D88:$E88,$D$8:$E$8,AD$8))</f>
        <v>0</v>
      </c>
      <c r="AE88">
        <f>IF($F88="s-curve",$D88+($E88-$D88)*$I$2/(1+EXP($I$3*(COUNT($H$8:AE$8)+$I$4))),TREND($D88:$E88,$D$8:$E$8,AE$8))</f>
        <v>0</v>
      </c>
      <c r="AF88">
        <f>IF($F88="s-curve",$D88+($E88-$D88)*$I$2/(1+EXP($I$3*(COUNT($H$8:AF$8)+$I$4))),TREND($D88:$E88,$D$8:$E$8,AF$8))</f>
        <v>0</v>
      </c>
      <c r="AG88">
        <f>IF($F88="s-curve",$D88+($E88-$D88)*$I$2/(1+EXP($I$3*(COUNT($H$8:AG$8)+$I$4))),TREND($D88:$E88,$D$8:$E$8,AG$8))</f>
        <v>0</v>
      </c>
      <c r="AH88">
        <f>IF($F88="s-curve",$D88+($E88-$D88)*$I$2/(1+EXP($I$3*(COUNT($H$8:AH$8)+$I$4))),TREND($D88:$E88,$D$8:$E$8,AH$8))</f>
        <v>0</v>
      </c>
      <c r="AI88">
        <f>IF($F88="s-curve",$D88+($E88-$D88)*$I$2/(1+EXP($I$3*(COUNT($H$8:AI$8)+$I$4))),TREND($D88:$E88,$D$8:$E$8,AI$8))</f>
        <v>0</v>
      </c>
      <c r="AJ88">
        <f>IF($F88="s-curve",$D88+($E88-$D88)*$I$2/(1+EXP($I$3*(COUNT($H$8:AJ$8)+$I$4))),TREND($D88:$E88,$D$8:$E$8,AJ$8))</f>
        <v>0</v>
      </c>
      <c r="AK88">
        <f>IF($F88="s-curve",$D88+($E88-$D88)*$I$2/(1+EXP($I$3*(COUNT($H$8:AK$8)+$I$4))),TREND($D88:$E88,$D$8:$E$8,AK$8))</f>
        <v>0</v>
      </c>
      <c r="AL88">
        <f>IF($F88="s-curve",$D88+($E88-$D88)*$I$2/(1+EXP($I$3*(COUNT($H$8:AL$8)+$I$4))),TREND($D88:$E88,$D$8:$E$8,AL$8))</f>
        <v>0</v>
      </c>
      <c r="AM88">
        <f>IF($F88="s-curve",$D88+($E88-$D88)*$I$2/(1+EXP($I$3*(COUNT($H$8:AM$8)+$I$4))),TREND($D88:$E88,$D$8:$E$8,AM$8))</f>
        <v>0</v>
      </c>
      <c r="AN88">
        <f>IF($F88="s-curve",$D88+($E88-$D88)*$I$2/(1+EXP($I$3*(COUNT($H$8:AN$8)+$I$4))),TREND($D88:$E88,$D$8:$E$8,AN$8))</f>
        <v>0</v>
      </c>
      <c r="AO88">
        <f>IF($F88="s-curve",$D88+($E88-$D88)*$I$2/(1+EXP($I$3*(COUNT($H$8:AO$8)+$I$4))),TREND($D88:$E88,$D$8:$E$8,AO$8))</f>
        <v>0</v>
      </c>
      <c r="AP88">
        <f>IF($F88="s-curve",$D88+($E88-$D88)*$I$2/(1+EXP($I$3*(COUNT($H$8:AP$8)+$I$4))),TREND($D88:$E88,$D$8:$E$8,AP$8))</f>
        <v>0</v>
      </c>
      <c r="AQ88">
        <f>IF($F88="s-curve",$D88+($E88-$D88)*$I$2/(1+EXP($I$3*(COUNT($H$8:AQ$8)+$I$4))),TREND($D88:$E88,$D$8:$E$8,AQ$8))</f>
        <v>0</v>
      </c>
      <c r="AR88">
        <f>IF($F88="s-curve",$D88+($E88-$D88)*$I$2/(1+EXP($I$3*(COUNT($H$8:AR$8)+$I$4))),TREND($D88:$E88,$D$8:$E$8,AR$8))</f>
        <v>0</v>
      </c>
      <c r="AS88">
        <f>IF($F88="s-curve",$D88+($E88-$D88)*$I$2/(1+EXP($I$3*(COUNT($H$8:AS$8)+$I$4))),TREND($D88:$E88,$D$8:$E$8,AS$8))</f>
        <v>0</v>
      </c>
      <c r="AT88">
        <f>IF($F88="s-curve",$D88+($E88-$D88)*$I$2/(1+EXP($I$3*(COUNT($H$8:AT$8)+$I$4))),TREND($D88:$E88,$D$8:$E$8,AT$8))</f>
        <v>0</v>
      </c>
      <c r="AU88">
        <f>IF($F88="s-curve",$D88+($E88-$D88)*$I$2/(1+EXP($I$3*(COUNT($H$8:AU$8)+$I$4))),TREND($D88:$E88,$D$8:$E$8,AU$8))</f>
        <v>0</v>
      </c>
      <c r="AV88">
        <f>IF($F88="s-curve",$D88+($E88-$D88)*$I$2/(1+EXP($I$3*(COUNT($H$8:AV$8)+$I$4))),TREND($D88:$E88,$D$8:$E$8,AV$8))</f>
        <v>0</v>
      </c>
    </row>
    <row r="89" spans="1:48" x14ac:dyDescent="0.15">
      <c r="C89" t="s">
        <v>4</v>
      </c>
      <c r="D89">
        <v>0</v>
      </c>
      <c r="E89">
        <v>0</v>
      </c>
      <c r="F89" s="7" t="str">
        <f>IF(D89=E89,"n/a",IF(OR(C89="battery electric vehicle",C89="natural gas vehicle",C89="plugin hybrid vehicle"),"s-curve","linear"))</f>
        <v>n/a</v>
      </c>
      <c r="H89" s="22">
        <f t="shared" si="24"/>
        <v>0</v>
      </c>
      <c r="I89">
        <f>IF($F89="s-curve",$D89+($E89-$D89)*$I$2/(1+EXP($I$3*(COUNT($H$8:I$8)+$I$4))),TREND($D89:$E89,$D$8:$E$8,I$8))</f>
        <v>0</v>
      </c>
      <c r="J89">
        <f>IF($F89="s-curve",$D89+($E89-$D89)*$I$2/(1+EXP($I$3*(COUNT($H$8:J$8)+$I$4))),TREND($D89:$E89,$D$8:$E$8,J$8))</f>
        <v>0</v>
      </c>
      <c r="K89">
        <f>IF($F89="s-curve",$D89+($E89-$D89)*$I$2/(1+EXP($I$3*(COUNT($H$8:K$8)+$I$4))),TREND($D89:$E89,$D$8:$E$8,K$8))</f>
        <v>0</v>
      </c>
      <c r="L89">
        <f>IF($F89="s-curve",$D89+($E89-$D89)*$I$2/(1+EXP($I$3*(COUNT($H$8:L$8)+$I$4))),TREND($D89:$E89,$D$8:$E$8,L$8))</f>
        <v>0</v>
      </c>
      <c r="M89">
        <f>IF($F89="s-curve",$D89+($E89-$D89)*$I$2/(1+EXP($I$3*(COUNT($H$8:M$8)+$I$4))),TREND($D89:$E89,$D$8:$E$8,M$8))</f>
        <v>0</v>
      </c>
      <c r="N89">
        <f>IF($F89="s-curve",$D89+($E89-$D89)*$I$2/(1+EXP($I$3*(COUNT($H$8:N$8)+$I$4))),TREND($D89:$E89,$D$8:$E$8,N$8))</f>
        <v>0</v>
      </c>
      <c r="O89">
        <f>IF($F89="s-curve",$D89+($E89-$D89)*$I$2/(1+EXP($I$3*(COUNT($H$8:O$8)+$I$4))),TREND($D89:$E89,$D$8:$E$8,O$8))</f>
        <v>0</v>
      </c>
      <c r="P89">
        <f>IF($F89="s-curve",$D89+($E89-$D89)*$I$2/(1+EXP($I$3*(COUNT($H$8:P$8)+$I$4))),TREND($D89:$E89,$D$8:$E$8,P$8))</f>
        <v>0</v>
      </c>
      <c r="Q89">
        <f>IF($F89="s-curve",$D89+($E89-$D89)*$I$2/(1+EXP($I$3*(COUNT($H$8:Q$8)+$I$4))),TREND($D89:$E89,$D$8:$E$8,Q$8))</f>
        <v>0</v>
      </c>
      <c r="R89">
        <f>IF($F89="s-curve",$D89+($E89-$D89)*$I$2/(1+EXP($I$3*(COUNT($H$8:R$8)+$I$4))),TREND($D89:$E89,$D$8:$E$8,R$8))</f>
        <v>0</v>
      </c>
      <c r="S89">
        <f>IF($F89="s-curve",$D89+($E89-$D89)*$I$2/(1+EXP($I$3*(COUNT($H$8:S$8)+$I$4))),TREND($D89:$E89,$D$8:$E$8,S$8))</f>
        <v>0</v>
      </c>
      <c r="T89">
        <f>IF($F89="s-curve",$D89+($E89-$D89)*$I$2/(1+EXP($I$3*(COUNT($H$8:T$8)+$I$4))),TREND($D89:$E89,$D$8:$E$8,T$8))</f>
        <v>0</v>
      </c>
      <c r="U89">
        <f>IF($F89="s-curve",$D89+($E89-$D89)*$I$2/(1+EXP($I$3*(COUNT($H$8:U$8)+$I$4))),TREND($D89:$E89,$D$8:$E$8,U$8))</f>
        <v>0</v>
      </c>
      <c r="V89">
        <f>IF($F89="s-curve",$D89+($E89-$D89)*$I$2/(1+EXP($I$3*(COUNT($H$8:V$8)+$I$4))),TREND($D89:$E89,$D$8:$E$8,V$8))</f>
        <v>0</v>
      </c>
      <c r="W89">
        <f>IF($F89="s-curve",$D89+($E89-$D89)*$I$2/(1+EXP($I$3*(COUNT($H$8:W$8)+$I$4))),TREND($D89:$E89,$D$8:$E$8,W$8))</f>
        <v>0</v>
      </c>
      <c r="X89">
        <f>IF($F89="s-curve",$D89+($E89-$D89)*$I$2/(1+EXP($I$3*(COUNT($H$8:X$8)+$I$4))),TREND($D89:$E89,$D$8:$E$8,X$8))</f>
        <v>0</v>
      </c>
      <c r="Y89">
        <f>IF($F89="s-curve",$D89+($E89-$D89)*$I$2/(1+EXP($I$3*(COUNT($H$8:Y$8)+$I$4))),TREND($D89:$E89,$D$8:$E$8,Y$8))</f>
        <v>0</v>
      </c>
      <c r="Z89">
        <f>IF($F89="s-curve",$D89+($E89-$D89)*$I$2/(1+EXP($I$3*(COUNT($H$8:Z$8)+$I$4))),TREND($D89:$E89,$D$8:$E$8,Z$8))</f>
        <v>0</v>
      </c>
      <c r="AA89">
        <f>IF($F89="s-curve",$D89+($E89-$D89)*$I$2/(1+EXP($I$3*(COUNT($H$8:AA$8)+$I$4))),TREND($D89:$E89,$D$8:$E$8,AA$8))</f>
        <v>0</v>
      </c>
      <c r="AB89">
        <f>IF($F89="s-curve",$D89+($E89-$D89)*$I$2/(1+EXP($I$3*(COUNT($H$8:AB$8)+$I$4))),TREND($D89:$E89,$D$8:$E$8,AB$8))</f>
        <v>0</v>
      </c>
      <c r="AC89">
        <f>IF($F89="s-curve",$D89+($E89-$D89)*$I$2/(1+EXP($I$3*(COUNT($H$8:AC$8)+$I$4))),TREND($D89:$E89,$D$8:$E$8,AC$8))</f>
        <v>0</v>
      </c>
      <c r="AD89">
        <f>IF($F89="s-curve",$D89+($E89-$D89)*$I$2/(1+EXP($I$3*(COUNT($H$8:AD$8)+$I$4))),TREND($D89:$E89,$D$8:$E$8,AD$8))</f>
        <v>0</v>
      </c>
      <c r="AE89">
        <f>IF($F89="s-curve",$D89+($E89-$D89)*$I$2/(1+EXP($I$3*(COUNT($H$8:AE$8)+$I$4))),TREND($D89:$E89,$D$8:$E$8,AE$8))</f>
        <v>0</v>
      </c>
      <c r="AF89">
        <f>IF($F89="s-curve",$D89+($E89-$D89)*$I$2/(1+EXP($I$3*(COUNT($H$8:AF$8)+$I$4))),TREND($D89:$E89,$D$8:$E$8,AF$8))</f>
        <v>0</v>
      </c>
      <c r="AG89">
        <f>IF($F89="s-curve",$D89+($E89-$D89)*$I$2/(1+EXP($I$3*(COUNT($H$8:AG$8)+$I$4))),TREND($D89:$E89,$D$8:$E$8,AG$8))</f>
        <v>0</v>
      </c>
      <c r="AH89">
        <f>IF($F89="s-curve",$D89+($E89-$D89)*$I$2/(1+EXP($I$3*(COUNT($H$8:AH$8)+$I$4))),TREND($D89:$E89,$D$8:$E$8,AH$8))</f>
        <v>0</v>
      </c>
      <c r="AI89">
        <f>IF($F89="s-curve",$D89+($E89-$D89)*$I$2/(1+EXP($I$3*(COUNT($H$8:AI$8)+$I$4))),TREND($D89:$E89,$D$8:$E$8,AI$8))</f>
        <v>0</v>
      </c>
      <c r="AJ89">
        <f>IF($F89="s-curve",$D89+($E89-$D89)*$I$2/(1+EXP($I$3*(COUNT($H$8:AJ$8)+$I$4))),TREND($D89:$E89,$D$8:$E$8,AJ$8))</f>
        <v>0</v>
      </c>
      <c r="AK89">
        <f>IF($F89="s-curve",$D89+($E89-$D89)*$I$2/(1+EXP($I$3*(COUNT($H$8:AK$8)+$I$4))),TREND($D89:$E89,$D$8:$E$8,AK$8))</f>
        <v>0</v>
      </c>
      <c r="AL89">
        <f>IF($F89="s-curve",$D89+($E89-$D89)*$I$2/(1+EXP($I$3*(COUNT($H$8:AL$8)+$I$4))),TREND($D89:$E89,$D$8:$E$8,AL$8))</f>
        <v>0</v>
      </c>
      <c r="AM89">
        <f>IF($F89="s-curve",$D89+($E89-$D89)*$I$2/(1+EXP($I$3*(COUNT($H$8:AM$8)+$I$4))),TREND($D89:$E89,$D$8:$E$8,AM$8))</f>
        <v>0</v>
      </c>
      <c r="AN89">
        <f>IF($F89="s-curve",$D89+($E89-$D89)*$I$2/(1+EXP($I$3*(COUNT($H$8:AN$8)+$I$4))),TREND($D89:$E89,$D$8:$E$8,AN$8))</f>
        <v>0</v>
      </c>
      <c r="AO89">
        <f>IF($F89="s-curve",$D89+($E89-$D89)*$I$2/(1+EXP($I$3*(COUNT($H$8:AO$8)+$I$4))),TREND($D89:$E89,$D$8:$E$8,AO$8))</f>
        <v>0</v>
      </c>
      <c r="AP89">
        <f>IF($F89="s-curve",$D89+($E89-$D89)*$I$2/(1+EXP($I$3*(COUNT($H$8:AP$8)+$I$4))),TREND($D89:$E89,$D$8:$E$8,AP$8))</f>
        <v>0</v>
      </c>
      <c r="AQ89">
        <f>IF($F89="s-curve",$D89+($E89-$D89)*$I$2/(1+EXP($I$3*(COUNT($H$8:AQ$8)+$I$4))),TREND($D89:$E89,$D$8:$E$8,AQ$8))</f>
        <v>0</v>
      </c>
      <c r="AR89">
        <f>IF($F89="s-curve",$D89+($E89-$D89)*$I$2/(1+EXP($I$3*(COUNT($H$8:AR$8)+$I$4))),TREND($D89:$E89,$D$8:$E$8,AR$8))</f>
        <v>0</v>
      </c>
      <c r="AS89">
        <f>IF($F89="s-curve",$D89+($E89-$D89)*$I$2/(1+EXP($I$3*(COUNT($H$8:AS$8)+$I$4))),TREND($D89:$E89,$D$8:$E$8,AS$8))</f>
        <v>0</v>
      </c>
      <c r="AT89">
        <f>IF($F89="s-curve",$D89+($E89-$D89)*$I$2/(1+EXP($I$3*(COUNT($H$8:AT$8)+$I$4))),TREND($D89:$E89,$D$8:$E$8,AT$8))</f>
        <v>0</v>
      </c>
      <c r="AU89">
        <f>IF($F89="s-curve",$D89+($E89-$D89)*$I$2/(1+EXP($I$3*(COUNT($H$8:AU$8)+$I$4))),TREND($D89:$E89,$D$8:$E$8,AU$8))</f>
        <v>0</v>
      </c>
      <c r="AV89">
        <f>IF($F89="s-curve",$D89+($E89-$D89)*$I$2/(1+EXP($I$3*(COUNT($H$8:AV$8)+$I$4))),TREND($D89:$E89,$D$8:$E$8,AV$8))</f>
        <v>0</v>
      </c>
    </row>
    <row r="90" spans="1:48" x14ac:dyDescent="0.15">
      <c r="C90" t="s">
        <v>5</v>
      </c>
      <c r="D90">
        <v>0</v>
      </c>
      <c r="E90">
        <v>0</v>
      </c>
      <c r="F90" s="7" t="str">
        <f>IF(D90=E90,"n/a",IF(OR(C90="battery electric vehicle",C90="natural gas vehicle",C90="plugin hybrid vehicle"),"s-curve","linear"))</f>
        <v>n/a</v>
      </c>
      <c r="H90" s="22">
        <f t="shared" si="24"/>
        <v>0</v>
      </c>
      <c r="I90">
        <f>IF($F90="s-curve",$D90+($E90-$D90)*$I$2/(1+EXP($I$3*(COUNT($H$8:I$8)+$I$4))),TREND($D90:$E90,$D$8:$E$8,I$8))</f>
        <v>0</v>
      </c>
      <c r="J90">
        <f>IF($F90="s-curve",$D90+($E90-$D90)*$I$2/(1+EXP($I$3*(COUNT($H$8:J$8)+$I$4))),TREND($D90:$E90,$D$8:$E$8,J$8))</f>
        <v>0</v>
      </c>
      <c r="K90">
        <f>IF($F90="s-curve",$D90+($E90-$D90)*$I$2/(1+EXP($I$3*(COUNT($H$8:K$8)+$I$4))),TREND($D90:$E90,$D$8:$E$8,K$8))</f>
        <v>0</v>
      </c>
      <c r="L90">
        <f>IF($F90="s-curve",$D90+($E90-$D90)*$I$2/(1+EXP($I$3*(COUNT($H$8:L$8)+$I$4))),TREND($D90:$E90,$D$8:$E$8,L$8))</f>
        <v>0</v>
      </c>
      <c r="M90">
        <f>IF($F90="s-curve",$D90+($E90-$D90)*$I$2/(1+EXP($I$3*(COUNT($H$8:M$8)+$I$4))),TREND($D90:$E90,$D$8:$E$8,M$8))</f>
        <v>0</v>
      </c>
      <c r="N90">
        <f>IF($F90="s-curve",$D90+($E90-$D90)*$I$2/(1+EXP($I$3*(COUNT($H$8:N$8)+$I$4))),TREND($D90:$E90,$D$8:$E$8,N$8))</f>
        <v>0</v>
      </c>
      <c r="O90">
        <f>IF($F90="s-curve",$D90+($E90-$D90)*$I$2/(1+EXP($I$3*(COUNT($H$8:O$8)+$I$4))),TREND($D90:$E90,$D$8:$E$8,O$8))</f>
        <v>0</v>
      </c>
      <c r="P90">
        <f>IF($F90="s-curve",$D90+($E90-$D90)*$I$2/(1+EXP($I$3*(COUNT($H$8:P$8)+$I$4))),TREND($D90:$E90,$D$8:$E$8,P$8))</f>
        <v>0</v>
      </c>
      <c r="Q90">
        <f>IF($F90="s-curve",$D90+($E90-$D90)*$I$2/(1+EXP($I$3*(COUNT($H$8:Q$8)+$I$4))),TREND($D90:$E90,$D$8:$E$8,Q$8))</f>
        <v>0</v>
      </c>
      <c r="R90">
        <f>IF($F90="s-curve",$D90+($E90-$D90)*$I$2/(1+EXP($I$3*(COUNT($H$8:R$8)+$I$4))),TREND($D90:$E90,$D$8:$E$8,R$8))</f>
        <v>0</v>
      </c>
      <c r="S90">
        <f>IF($F90="s-curve",$D90+($E90-$D90)*$I$2/(1+EXP($I$3*(COUNT($H$8:S$8)+$I$4))),TREND($D90:$E90,$D$8:$E$8,S$8))</f>
        <v>0</v>
      </c>
      <c r="T90">
        <f>IF($F90="s-curve",$D90+($E90-$D90)*$I$2/(1+EXP($I$3*(COUNT($H$8:T$8)+$I$4))),TREND($D90:$E90,$D$8:$E$8,T$8))</f>
        <v>0</v>
      </c>
      <c r="U90">
        <f>IF($F90="s-curve",$D90+($E90-$D90)*$I$2/(1+EXP($I$3*(COUNT($H$8:U$8)+$I$4))),TREND($D90:$E90,$D$8:$E$8,U$8))</f>
        <v>0</v>
      </c>
      <c r="V90">
        <f>IF($F90="s-curve",$D90+($E90-$D90)*$I$2/(1+EXP($I$3*(COUNT($H$8:V$8)+$I$4))),TREND($D90:$E90,$D$8:$E$8,V$8))</f>
        <v>0</v>
      </c>
      <c r="W90">
        <f>IF($F90="s-curve",$D90+($E90-$D90)*$I$2/(1+EXP($I$3*(COUNT($H$8:W$8)+$I$4))),TREND($D90:$E90,$D$8:$E$8,W$8))</f>
        <v>0</v>
      </c>
      <c r="X90">
        <f>IF($F90="s-curve",$D90+($E90-$D90)*$I$2/(1+EXP($I$3*(COUNT($H$8:X$8)+$I$4))),TREND($D90:$E90,$D$8:$E$8,X$8))</f>
        <v>0</v>
      </c>
      <c r="Y90">
        <f>IF($F90="s-curve",$D90+($E90-$D90)*$I$2/(1+EXP($I$3*(COUNT($H$8:Y$8)+$I$4))),TREND($D90:$E90,$D$8:$E$8,Y$8))</f>
        <v>0</v>
      </c>
      <c r="Z90">
        <f>IF($F90="s-curve",$D90+($E90-$D90)*$I$2/(1+EXP($I$3*(COUNT($H$8:Z$8)+$I$4))),TREND($D90:$E90,$D$8:$E$8,Z$8))</f>
        <v>0</v>
      </c>
      <c r="AA90">
        <f>IF($F90="s-curve",$D90+($E90-$D90)*$I$2/(1+EXP($I$3*(COUNT($H$8:AA$8)+$I$4))),TREND($D90:$E90,$D$8:$E$8,AA$8))</f>
        <v>0</v>
      </c>
      <c r="AB90">
        <f>IF($F90="s-curve",$D90+($E90-$D90)*$I$2/(1+EXP($I$3*(COUNT($H$8:AB$8)+$I$4))),TREND($D90:$E90,$D$8:$E$8,AB$8))</f>
        <v>0</v>
      </c>
      <c r="AC90">
        <f>IF($F90="s-curve",$D90+($E90-$D90)*$I$2/(1+EXP($I$3*(COUNT($H$8:AC$8)+$I$4))),TREND($D90:$E90,$D$8:$E$8,AC$8))</f>
        <v>0</v>
      </c>
      <c r="AD90">
        <f>IF($F90="s-curve",$D90+($E90-$D90)*$I$2/(1+EXP($I$3*(COUNT($H$8:AD$8)+$I$4))),TREND($D90:$E90,$D$8:$E$8,AD$8))</f>
        <v>0</v>
      </c>
      <c r="AE90">
        <f>IF($F90="s-curve",$D90+($E90-$D90)*$I$2/(1+EXP($I$3*(COUNT($H$8:AE$8)+$I$4))),TREND($D90:$E90,$D$8:$E$8,AE$8))</f>
        <v>0</v>
      </c>
      <c r="AF90">
        <f>IF($F90="s-curve",$D90+($E90-$D90)*$I$2/(1+EXP($I$3*(COUNT($H$8:AF$8)+$I$4))),TREND($D90:$E90,$D$8:$E$8,AF$8))</f>
        <v>0</v>
      </c>
      <c r="AG90">
        <f>IF($F90="s-curve",$D90+($E90-$D90)*$I$2/(1+EXP($I$3*(COUNT($H$8:AG$8)+$I$4))),TREND($D90:$E90,$D$8:$E$8,AG$8))</f>
        <v>0</v>
      </c>
      <c r="AH90">
        <f>IF($F90="s-curve",$D90+($E90-$D90)*$I$2/(1+EXP($I$3*(COUNT($H$8:AH$8)+$I$4))),TREND($D90:$E90,$D$8:$E$8,AH$8))</f>
        <v>0</v>
      </c>
      <c r="AI90">
        <f>IF($F90="s-curve",$D90+($E90-$D90)*$I$2/(1+EXP($I$3*(COUNT($H$8:AI$8)+$I$4))),TREND($D90:$E90,$D$8:$E$8,AI$8))</f>
        <v>0</v>
      </c>
      <c r="AJ90">
        <f>IF($F90="s-curve",$D90+($E90-$D90)*$I$2/(1+EXP($I$3*(COUNT($H$8:AJ$8)+$I$4))),TREND($D90:$E90,$D$8:$E$8,AJ$8))</f>
        <v>0</v>
      </c>
      <c r="AK90">
        <f>IF($F90="s-curve",$D90+($E90-$D90)*$I$2/(1+EXP($I$3*(COUNT($H$8:AK$8)+$I$4))),TREND($D90:$E90,$D$8:$E$8,AK$8))</f>
        <v>0</v>
      </c>
      <c r="AL90">
        <f>IF($F90="s-curve",$D90+($E90-$D90)*$I$2/(1+EXP($I$3*(COUNT($H$8:AL$8)+$I$4))),TREND($D90:$E90,$D$8:$E$8,AL$8))</f>
        <v>0</v>
      </c>
      <c r="AM90">
        <f>IF($F90="s-curve",$D90+($E90-$D90)*$I$2/(1+EXP($I$3*(COUNT($H$8:AM$8)+$I$4))),TREND($D90:$E90,$D$8:$E$8,AM$8))</f>
        <v>0</v>
      </c>
      <c r="AN90">
        <f>IF($F90="s-curve",$D90+($E90-$D90)*$I$2/(1+EXP($I$3*(COUNT($H$8:AN$8)+$I$4))),TREND($D90:$E90,$D$8:$E$8,AN$8))</f>
        <v>0</v>
      </c>
      <c r="AO90">
        <f>IF($F90="s-curve",$D90+($E90-$D90)*$I$2/(1+EXP($I$3*(COUNT($H$8:AO$8)+$I$4))),TREND($D90:$E90,$D$8:$E$8,AO$8))</f>
        <v>0</v>
      </c>
      <c r="AP90">
        <f>IF($F90="s-curve",$D90+($E90-$D90)*$I$2/(1+EXP($I$3*(COUNT($H$8:AP$8)+$I$4))),TREND($D90:$E90,$D$8:$E$8,AP$8))</f>
        <v>0</v>
      </c>
      <c r="AQ90">
        <f>IF($F90="s-curve",$D90+($E90-$D90)*$I$2/(1+EXP($I$3*(COUNT($H$8:AQ$8)+$I$4))),TREND($D90:$E90,$D$8:$E$8,AQ$8))</f>
        <v>0</v>
      </c>
      <c r="AR90">
        <f>IF($F90="s-curve",$D90+($E90-$D90)*$I$2/(1+EXP($I$3*(COUNT($H$8:AR$8)+$I$4))),TREND($D90:$E90,$D$8:$E$8,AR$8))</f>
        <v>0</v>
      </c>
      <c r="AS90">
        <f>IF($F90="s-curve",$D90+($E90-$D90)*$I$2/(1+EXP($I$3*(COUNT($H$8:AS$8)+$I$4))),TREND($D90:$E90,$D$8:$E$8,AS$8))</f>
        <v>0</v>
      </c>
      <c r="AT90">
        <f>IF($F90="s-curve",$D90+($E90-$D90)*$I$2/(1+EXP($I$3*(COUNT($H$8:AT$8)+$I$4))),TREND($D90:$E90,$D$8:$E$8,AT$8))</f>
        <v>0</v>
      </c>
      <c r="AU90">
        <f>IF($F90="s-curve",$D90+($E90-$D90)*$I$2/(1+EXP($I$3*(COUNT($H$8:AU$8)+$I$4))),TREND($D90:$E90,$D$8:$E$8,AU$8))</f>
        <v>0</v>
      </c>
      <c r="AV90">
        <f>IF($F90="s-curve",$D90+($E90-$D90)*$I$2/(1+EXP($I$3*(COUNT($H$8:AV$8)+$I$4))),TREND($D90:$E90,$D$8:$E$8,AV$8))</f>
        <v>0</v>
      </c>
    </row>
    <row r="91" spans="1:48" x14ac:dyDescent="0.15">
      <c r="C91" t="s">
        <v>125</v>
      </c>
      <c r="D91">
        <v>0</v>
      </c>
      <c r="E91">
        <v>0</v>
      </c>
      <c r="F91" s="7" t="str">
        <f>IF(D91=E91,"n/a",IF(OR(C91="battery electric vehicle",C91="natural gas vehicle",C91="plugin hybrid vehicle",C91="hydrogen vehicle"),"s-curve","linear"))</f>
        <v>n/a</v>
      </c>
      <c r="H91" s="22">
        <f t="shared" si="24"/>
        <v>0</v>
      </c>
      <c r="I91">
        <f>IF($F91="s-curve",$D91+($E91-$D91)*$I$2/(1+EXP($I$3*(COUNT($H$8:I$8)+$I$4))),TREND($D91:$E91,$D$8:$E$8,I$8))</f>
        <v>0</v>
      </c>
      <c r="J91">
        <f>IF($F91="s-curve",$D91+($E91-$D91)*$I$2/(1+EXP($I$3*(COUNT($H$8:J$8)+$I$4))),TREND($D91:$E91,$D$8:$E$8,J$8))</f>
        <v>0</v>
      </c>
      <c r="K91">
        <f>IF($F91="s-curve",$D91+($E91-$D91)*$I$2/(1+EXP($I$3*(COUNT($H$8:K$8)+$I$4))),TREND($D91:$E91,$D$8:$E$8,K$8))</f>
        <v>0</v>
      </c>
      <c r="L91">
        <f>IF($F91="s-curve",$D91+($E91-$D91)*$I$2/(1+EXP($I$3*(COUNT($H$8:L$8)+$I$4))),TREND($D91:$E91,$D$8:$E$8,L$8))</f>
        <v>0</v>
      </c>
      <c r="M91">
        <f>IF($F91="s-curve",$D91+($E91-$D91)*$I$2/(1+EXP($I$3*(COUNT($H$8:M$8)+$I$4))),TREND($D91:$E91,$D$8:$E$8,M$8))</f>
        <v>0</v>
      </c>
      <c r="N91">
        <f>IF($F91="s-curve",$D91+($E91-$D91)*$I$2/(1+EXP($I$3*(COUNT($H$8:N$8)+$I$4))),TREND($D91:$E91,$D$8:$E$8,N$8))</f>
        <v>0</v>
      </c>
      <c r="O91">
        <f>IF($F91="s-curve",$D91+($E91-$D91)*$I$2/(1+EXP($I$3*(COUNT($H$8:O$8)+$I$4))),TREND($D91:$E91,$D$8:$E$8,O$8))</f>
        <v>0</v>
      </c>
      <c r="P91">
        <f>IF($F91="s-curve",$D91+($E91-$D91)*$I$2/(1+EXP($I$3*(COUNT($H$8:P$8)+$I$4))),TREND($D91:$E91,$D$8:$E$8,P$8))</f>
        <v>0</v>
      </c>
      <c r="Q91">
        <f>IF($F91="s-curve",$D91+($E91-$D91)*$I$2/(1+EXP($I$3*(COUNT($H$8:Q$8)+$I$4))),TREND($D91:$E91,$D$8:$E$8,Q$8))</f>
        <v>0</v>
      </c>
      <c r="R91">
        <f>IF($F91="s-curve",$D91+($E91-$D91)*$I$2/(1+EXP($I$3*(COUNT($H$8:R$8)+$I$4))),TREND($D91:$E91,$D$8:$E$8,R$8))</f>
        <v>0</v>
      </c>
      <c r="S91">
        <f>IF($F91="s-curve",$D91+($E91-$D91)*$I$2/(1+EXP($I$3*(COUNT($H$8:S$8)+$I$4))),TREND($D91:$E91,$D$8:$E$8,S$8))</f>
        <v>0</v>
      </c>
      <c r="T91">
        <f>IF($F91="s-curve",$D91+($E91-$D91)*$I$2/(1+EXP($I$3*(COUNT($H$8:T$8)+$I$4))),TREND($D91:$E91,$D$8:$E$8,T$8))</f>
        <v>0</v>
      </c>
      <c r="U91">
        <f>IF($F91="s-curve",$D91+($E91-$D91)*$I$2/(1+EXP($I$3*(COUNT($H$8:U$8)+$I$4))),TREND($D91:$E91,$D$8:$E$8,U$8))</f>
        <v>0</v>
      </c>
      <c r="V91">
        <f>IF($F91="s-curve",$D91+($E91-$D91)*$I$2/(1+EXP($I$3*(COUNT($H$8:V$8)+$I$4))),TREND($D91:$E91,$D$8:$E$8,V$8))</f>
        <v>0</v>
      </c>
      <c r="W91">
        <f>IF($F91="s-curve",$D91+($E91-$D91)*$I$2/(1+EXP($I$3*(COUNT($H$8:W$8)+$I$4))),TREND($D91:$E91,$D$8:$E$8,W$8))</f>
        <v>0</v>
      </c>
      <c r="X91">
        <f>IF($F91="s-curve",$D91+($E91-$D91)*$I$2/(1+EXP($I$3*(COUNT($H$8:X$8)+$I$4))),TREND($D91:$E91,$D$8:$E$8,X$8))</f>
        <v>0</v>
      </c>
      <c r="Y91">
        <f>IF($F91="s-curve",$D91+($E91-$D91)*$I$2/(1+EXP($I$3*(COUNT($H$8:Y$8)+$I$4))),TREND($D91:$E91,$D$8:$E$8,Y$8))</f>
        <v>0</v>
      </c>
      <c r="Z91">
        <f>IF($F91="s-curve",$D91+($E91-$D91)*$I$2/(1+EXP($I$3*(COUNT($H$8:Z$8)+$I$4))),TREND($D91:$E91,$D$8:$E$8,Z$8))</f>
        <v>0</v>
      </c>
      <c r="AA91">
        <f>IF($F91="s-curve",$D91+($E91-$D91)*$I$2/(1+EXP($I$3*(COUNT($H$8:AA$8)+$I$4))),TREND($D91:$E91,$D$8:$E$8,AA$8))</f>
        <v>0</v>
      </c>
      <c r="AB91">
        <f>IF($F91="s-curve",$D91+($E91-$D91)*$I$2/(1+EXP($I$3*(COUNT($H$8:AB$8)+$I$4))),TREND($D91:$E91,$D$8:$E$8,AB$8))</f>
        <v>0</v>
      </c>
      <c r="AC91">
        <f>IF($F91="s-curve",$D91+($E91-$D91)*$I$2/(1+EXP($I$3*(COUNT($H$8:AC$8)+$I$4))),TREND($D91:$E91,$D$8:$E$8,AC$8))</f>
        <v>0</v>
      </c>
      <c r="AD91">
        <f>IF($F91="s-curve",$D91+($E91-$D91)*$I$2/(1+EXP($I$3*(COUNT($H$8:AD$8)+$I$4))),TREND($D91:$E91,$D$8:$E$8,AD$8))</f>
        <v>0</v>
      </c>
      <c r="AE91">
        <f>IF($F91="s-curve",$D91+($E91-$D91)*$I$2/(1+EXP($I$3*(COUNT($H$8:AE$8)+$I$4))),TREND($D91:$E91,$D$8:$E$8,AE$8))</f>
        <v>0</v>
      </c>
      <c r="AF91">
        <f>IF($F91="s-curve",$D91+($E91-$D91)*$I$2/(1+EXP($I$3*(COUNT($H$8:AF$8)+$I$4))),TREND($D91:$E91,$D$8:$E$8,AF$8))</f>
        <v>0</v>
      </c>
      <c r="AG91">
        <f>IF($F91="s-curve",$D91+($E91-$D91)*$I$2/(1+EXP($I$3*(COUNT($H$8:AG$8)+$I$4))),TREND($D91:$E91,$D$8:$E$8,AG$8))</f>
        <v>0</v>
      </c>
      <c r="AH91">
        <f>IF($F91="s-curve",$D91+($E91-$D91)*$I$2/(1+EXP($I$3*(COUNT($H$8:AH$8)+$I$4))),TREND($D91:$E91,$D$8:$E$8,AH$8))</f>
        <v>0</v>
      </c>
      <c r="AI91">
        <f>IF($F91="s-curve",$D91+($E91-$D91)*$I$2/(1+EXP($I$3*(COUNT($H$8:AI$8)+$I$4))),TREND($D91:$E91,$D$8:$E$8,AI$8))</f>
        <v>0</v>
      </c>
      <c r="AJ91">
        <f>IF($F91="s-curve",$D91+($E91-$D91)*$I$2/(1+EXP($I$3*(COUNT($H$8:AJ$8)+$I$4))),TREND($D91:$E91,$D$8:$E$8,AJ$8))</f>
        <v>0</v>
      </c>
      <c r="AK91">
        <f>IF($F91="s-curve",$D91+($E91-$D91)*$I$2/(1+EXP($I$3*(COUNT($H$8:AK$8)+$I$4))),TREND($D91:$E91,$D$8:$E$8,AK$8))</f>
        <v>0</v>
      </c>
      <c r="AL91">
        <f>IF($F91="s-curve",$D91+($E91-$D91)*$I$2/(1+EXP($I$3*(COUNT($H$8:AL$8)+$I$4))),TREND($D91:$E91,$D$8:$E$8,AL$8))</f>
        <v>0</v>
      </c>
      <c r="AM91">
        <f>IF($F91="s-curve",$D91+($E91-$D91)*$I$2/(1+EXP($I$3*(COUNT($H$8:AM$8)+$I$4))),TREND($D91:$E91,$D$8:$E$8,AM$8))</f>
        <v>0</v>
      </c>
      <c r="AN91">
        <f>IF($F91="s-curve",$D91+($E91-$D91)*$I$2/(1+EXP($I$3*(COUNT($H$8:AN$8)+$I$4))),TREND($D91:$E91,$D$8:$E$8,AN$8))</f>
        <v>0</v>
      </c>
      <c r="AO91">
        <f>IF($F91="s-curve",$D91+($E91-$D91)*$I$2/(1+EXP($I$3*(COUNT($H$8:AO$8)+$I$4))),TREND($D91:$E91,$D$8:$E$8,AO$8))</f>
        <v>0</v>
      </c>
      <c r="AP91">
        <f>IF($F91="s-curve",$D91+($E91-$D91)*$I$2/(1+EXP($I$3*(COUNT($H$8:AP$8)+$I$4))),TREND($D91:$E91,$D$8:$E$8,AP$8))</f>
        <v>0</v>
      </c>
      <c r="AQ91">
        <f>IF($F91="s-curve",$D91+($E91-$D91)*$I$2/(1+EXP($I$3*(COUNT($H$8:AQ$8)+$I$4))),TREND($D91:$E91,$D$8:$E$8,AQ$8))</f>
        <v>0</v>
      </c>
      <c r="AR91">
        <f>IF($F91="s-curve",$D91+($E91-$D91)*$I$2/(1+EXP($I$3*(COUNT($H$8:AR$8)+$I$4))),TREND($D91:$E91,$D$8:$E$8,AR$8))</f>
        <v>0</v>
      </c>
      <c r="AS91">
        <f>IF($F91="s-curve",$D91+($E91-$D91)*$I$2/(1+EXP($I$3*(COUNT($H$8:AS$8)+$I$4))),TREND($D91:$E91,$D$8:$E$8,AS$8))</f>
        <v>0</v>
      </c>
      <c r="AT91">
        <f>IF($F91="s-curve",$D91+($E91-$D91)*$I$2/(1+EXP($I$3*(COUNT($H$8:AT$8)+$I$4))),TREND($D91:$E91,$D$8:$E$8,AT$8))</f>
        <v>0</v>
      </c>
      <c r="AU91">
        <f>IF($F91="s-curve",$D91+($E91-$D91)*$I$2/(1+EXP($I$3*(COUNT($H$8:AU$8)+$I$4))),TREND($D91:$E91,$D$8:$E$8,AU$8))</f>
        <v>0</v>
      </c>
      <c r="AV91">
        <f>IF($F91="s-curve",$D91+($E91-$D91)*$I$2/(1+EXP($I$3*(COUNT($H$8:AV$8)+$I$4))),TREND($D91:$E91,$D$8:$E$8,AV$8))</f>
        <v>0</v>
      </c>
    </row>
    <row r="92" spans="1:48" ht="13.6" thickBot="1" x14ac:dyDescent="0.2">
      <c r="A92" s="23"/>
      <c r="B92" s="23"/>
      <c r="C92" s="23" t="s">
        <v>126</v>
      </c>
      <c r="D92" s="23">
        <v>0</v>
      </c>
      <c r="E92" s="23">
        <v>0</v>
      </c>
      <c r="F92" s="8" t="str">
        <f>IF(D92=E92,"n/a",IF(OR(C92="battery electric vehicle",C92="natural gas vehicle",C92="plugin hybrid vehicle",C92="hydrogen vehicle"),"s-curve","linear"))</f>
        <v>n/a</v>
      </c>
      <c r="H92" s="22">
        <f t="shared" si="24"/>
        <v>0</v>
      </c>
      <c r="I92">
        <f>IF($F92="s-curve",$D92+($E92-$D92)*$I$2/(1+EXP($I$3*(COUNT($H$8:I$8)+$I$4))),TREND($D92:$E92,$D$8:$E$8,I$8))</f>
        <v>0</v>
      </c>
      <c r="J92">
        <f>IF($F92="s-curve",$D92+($E92-$D92)*$I$2/(1+EXP($I$3*(COUNT($H$8:J$8)+$I$4))),TREND($D92:$E92,$D$8:$E$8,J$8))</f>
        <v>0</v>
      </c>
      <c r="K92">
        <f>IF($F92="s-curve",$D92+($E92-$D92)*$I$2/(1+EXP($I$3*(COUNT($H$8:K$8)+$I$4))),TREND($D92:$E92,$D$8:$E$8,K$8))</f>
        <v>0</v>
      </c>
      <c r="L92">
        <f>IF($F92="s-curve",$D92+($E92-$D92)*$I$2/(1+EXP($I$3*(COUNT($H$8:L$8)+$I$4))),TREND($D92:$E92,$D$8:$E$8,L$8))</f>
        <v>0</v>
      </c>
      <c r="M92">
        <f>IF($F92="s-curve",$D92+($E92-$D92)*$I$2/(1+EXP($I$3*(COUNT($H$8:M$8)+$I$4))),TREND($D92:$E92,$D$8:$E$8,M$8))</f>
        <v>0</v>
      </c>
      <c r="N92">
        <f>IF($F92="s-curve",$D92+($E92-$D92)*$I$2/(1+EXP($I$3*(COUNT($H$8:N$8)+$I$4))),TREND($D92:$E92,$D$8:$E$8,N$8))</f>
        <v>0</v>
      </c>
      <c r="O92">
        <f>IF($F92="s-curve",$D92+($E92-$D92)*$I$2/(1+EXP($I$3*(COUNT($H$8:O$8)+$I$4))),TREND($D92:$E92,$D$8:$E$8,O$8))</f>
        <v>0</v>
      </c>
      <c r="P92">
        <f>IF($F92="s-curve",$D92+($E92-$D92)*$I$2/(1+EXP($I$3*(COUNT($H$8:P$8)+$I$4))),TREND($D92:$E92,$D$8:$E$8,P$8))</f>
        <v>0</v>
      </c>
      <c r="Q92">
        <f>IF($F92="s-curve",$D92+($E92-$D92)*$I$2/(1+EXP($I$3*(COUNT($H$8:Q$8)+$I$4))),TREND($D92:$E92,$D$8:$E$8,Q$8))</f>
        <v>0</v>
      </c>
      <c r="R92">
        <f>IF($F92="s-curve",$D92+($E92-$D92)*$I$2/(1+EXP($I$3*(COUNT($H$8:R$8)+$I$4))),TREND($D92:$E92,$D$8:$E$8,R$8))</f>
        <v>0</v>
      </c>
      <c r="S92">
        <f>IF($F92="s-curve",$D92+($E92-$D92)*$I$2/(1+EXP($I$3*(COUNT($H$8:S$8)+$I$4))),TREND($D92:$E92,$D$8:$E$8,S$8))</f>
        <v>0</v>
      </c>
      <c r="T92">
        <f>IF($F92="s-curve",$D92+($E92-$D92)*$I$2/(1+EXP($I$3*(COUNT($H$8:T$8)+$I$4))),TREND($D92:$E92,$D$8:$E$8,T$8))</f>
        <v>0</v>
      </c>
      <c r="U92">
        <f>IF($F92="s-curve",$D92+($E92-$D92)*$I$2/(1+EXP($I$3*(COUNT($H$8:U$8)+$I$4))),TREND($D92:$E92,$D$8:$E$8,U$8))</f>
        <v>0</v>
      </c>
      <c r="V92">
        <f>IF($F92="s-curve",$D92+($E92-$D92)*$I$2/(1+EXP($I$3*(COUNT($H$8:V$8)+$I$4))),TREND($D92:$E92,$D$8:$E$8,V$8))</f>
        <v>0</v>
      </c>
      <c r="W92">
        <f>IF($F92="s-curve",$D92+($E92-$D92)*$I$2/(1+EXP($I$3*(COUNT($H$8:W$8)+$I$4))),TREND($D92:$E92,$D$8:$E$8,W$8))</f>
        <v>0</v>
      </c>
      <c r="X92">
        <f>IF($F92="s-curve",$D92+($E92-$D92)*$I$2/(1+EXP($I$3*(COUNT($H$8:X$8)+$I$4))),TREND($D92:$E92,$D$8:$E$8,X$8))</f>
        <v>0</v>
      </c>
      <c r="Y92">
        <f>IF($F92="s-curve",$D92+($E92-$D92)*$I$2/(1+EXP($I$3*(COUNT($H$8:Y$8)+$I$4))),TREND($D92:$E92,$D$8:$E$8,Y$8))</f>
        <v>0</v>
      </c>
      <c r="Z92">
        <f>IF($F92="s-curve",$D92+($E92-$D92)*$I$2/(1+EXP($I$3*(COUNT($H$8:Z$8)+$I$4))),TREND($D92:$E92,$D$8:$E$8,Z$8))</f>
        <v>0</v>
      </c>
      <c r="AA92">
        <f>IF($F92="s-curve",$D92+($E92-$D92)*$I$2/(1+EXP($I$3*(COUNT($H$8:AA$8)+$I$4))),TREND($D92:$E92,$D$8:$E$8,AA$8))</f>
        <v>0</v>
      </c>
      <c r="AB92">
        <f>IF($F92="s-curve",$D92+($E92-$D92)*$I$2/(1+EXP($I$3*(COUNT($H$8:AB$8)+$I$4))),TREND($D92:$E92,$D$8:$E$8,AB$8))</f>
        <v>0</v>
      </c>
      <c r="AC92">
        <f>IF($F92="s-curve",$D92+($E92-$D92)*$I$2/(1+EXP($I$3*(COUNT($H$8:AC$8)+$I$4))),TREND($D92:$E92,$D$8:$E$8,AC$8))</f>
        <v>0</v>
      </c>
      <c r="AD92">
        <f>IF($F92="s-curve",$D92+($E92-$D92)*$I$2/(1+EXP($I$3*(COUNT($H$8:AD$8)+$I$4))),TREND($D92:$E92,$D$8:$E$8,AD$8))</f>
        <v>0</v>
      </c>
      <c r="AE92">
        <f>IF($F92="s-curve",$D92+($E92-$D92)*$I$2/(1+EXP($I$3*(COUNT($H$8:AE$8)+$I$4))),TREND($D92:$E92,$D$8:$E$8,AE$8))</f>
        <v>0</v>
      </c>
      <c r="AF92">
        <f>IF($F92="s-curve",$D92+($E92-$D92)*$I$2/(1+EXP($I$3*(COUNT($H$8:AF$8)+$I$4))),TREND($D92:$E92,$D$8:$E$8,AF$8))</f>
        <v>0</v>
      </c>
      <c r="AG92">
        <f>IF($F92="s-curve",$D92+($E92-$D92)*$I$2/(1+EXP($I$3*(COUNT($H$8:AG$8)+$I$4))),TREND($D92:$E92,$D$8:$E$8,AG$8))</f>
        <v>0</v>
      </c>
      <c r="AH92">
        <f>IF($F92="s-curve",$D92+($E92-$D92)*$I$2/(1+EXP($I$3*(COUNT($H$8:AH$8)+$I$4))),TREND($D92:$E92,$D$8:$E$8,AH$8))</f>
        <v>0</v>
      </c>
      <c r="AI92">
        <f>IF($F92="s-curve",$D92+($E92-$D92)*$I$2/(1+EXP($I$3*(COUNT($H$8:AI$8)+$I$4))),TREND($D92:$E92,$D$8:$E$8,AI$8))</f>
        <v>0</v>
      </c>
      <c r="AJ92">
        <f>IF($F92="s-curve",$D92+($E92-$D92)*$I$2/(1+EXP($I$3*(COUNT($H$8:AJ$8)+$I$4))),TREND($D92:$E92,$D$8:$E$8,AJ$8))</f>
        <v>0</v>
      </c>
      <c r="AK92">
        <f>IF($F92="s-curve",$D92+($E92-$D92)*$I$2/(1+EXP($I$3*(COUNT($H$8:AK$8)+$I$4))),TREND($D92:$E92,$D$8:$E$8,AK$8))</f>
        <v>0</v>
      </c>
      <c r="AL92">
        <f>IF($F92="s-curve",$D92+($E92-$D92)*$I$2/(1+EXP($I$3*(COUNT($H$8:AL$8)+$I$4))),TREND($D92:$E92,$D$8:$E$8,AL$8))</f>
        <v>0</v>
      </c>
      <c r="AM92">
        <f>IF($F92="s-curve",$D92+($E92-$D92)*$I$2/(1+EXP($I$3*(COUNT($H$8:AM$8)+$I$4))),TREND($D92:$E92,$D$8:$E$8,AM$8))</f>
        <v>0</v>
      </c>
      <c r="AN92">
        <f>IF($F92="s-curve",$D92+($E92-$D92)*$I$2/(1+EXP($I$3*(COUNT($H$8:AN$8)+$I$4))),TREND($D92:$E92,$D$8:$E$8,AN$8))</f>
        <v>0</v>
      </c>
      <c r="AO92">
        <f>IF($F92="s-curve",$D92+($E92-$D92)*$I$2/(1+EXP($I$3*(COUNT($H$8:AO$8)+$I$4))),TREND($D92:$E92,$D$8:$E$8,AO$8))</f>
        <v>0</v>
      </c>
      <c r="AP92">
        <f>IF($F92="s-curve",$D92+($E92-$D92)*$I$2/(1+EXP($I$3*(COUNT($H$8:AP$8)+$I$4))),TREND($D92:$E92,$D$8:$E$8,AP$8))</f>
        <v>0</v>
      </c>
      <c r="AQ92">
        <f>IF($F92="s-curve",$D92+($E92-$D92)*$I$2/(1+EXP($I$3*(COUNT($H$8:AQ$8)+$I$4))),TREND($D92:$E92,$D$8:$E$8,AQ$8))</f>
        <v>0</v>
      </c>
      <c r="AR92">
        <f>IF($F92="s-curve",$D92+($E92-$D92)*$I$2/(1+EXP($I$3*(COUNT($H$8:AR$8)+$I$4))),TREND($D92:$E92,$D$8:$E$8,AR$8))</f>
        <v>0</v>
      </c>
      <c r="AS92">
        <f>IF($F92="s-curve",$D92+($E92-$D92)*$I$2/(1+EXP($I$3*(COUNT($H$8:AS$8)+$I$4))),TREND($D92:$E92,$D$8:$E$8,AS$8))</f>
        <v>0</v>
      </c>
      <c r="AT92">
        <f>IF($F92="s-curve",$D92+($E92-$D92)*$I$2/(1+EXP($I$3*(COUNT($H$8:AT$8)+$I$4))),TREND($D92:$E92,$D$8:$E$8,AT$8))</f>
        <v>0</v>
      </c>
      <c r="AU92">
        <f>IF($F92="s-curve",$D92+($E92-$D92)*$I$2/(1+EXP($I$3*(COUNT($H$8:AU$8)+$I$4))),TREND($D92:$E92,$D$8:$E$8,AU$8))</f>
        <v>0</v>
      </c>
      <c r="AV92">
        <f>IF($F92="s-curve",$D92+($E92-$D92)*$I$2/(1+EXP($I$3*(COUNT($H$8:AV$8)+$I$4))),TREND($D92:$E92,$D$8:$E$8,AV$8))</f>
        <v>0</v>
      </c>
    </row>
  </sheetData>
  <phoneticPr fontId="11" type="noConversion"/>
  <pageMargins left="0.7" right="0.7" top="0.75" bottom="0.75" header="0.3" footer="0.3"/>
  <pageSetup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Q9"/>
  <sheetViews>
    <sheetView tabSelected="1" workbookViewId="0">
      <selection activeCell="I2" sqref="H2:I2"/>
    </sheetView>
    <sheetView workbookViewId="1">
      <selection activeCell="G15" sqref="G15"/>
    </sheetView>
  </sheetViews>
  <sheetFormatPr defaultColWidth="9.125" defaultRowHeight="12.9" x14ac:dyDescent="0.15"/>
  <cols>
    <col min="1" max="2" width="24.5" customWidth="1"/>
    <col min="3" max="43" width="8.5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 cm="1">
        <f t="array" ref="B2:F2">ROUND(TRANSPOSE(Summary!V22:V26),5)</f>
        <v>3.3160000000000002E-2</v>
      </c>
      <c r="C2">
        <v>4.6240000000000003E-2</v>
      </c>
      <c r="D2">
        <v>0.11194</v>
      </c>
      <c r="E2">
        <v>0.19253999999999999</v>
      </c>
      <c r="F2">
        <v>0.22941</v>
      </c>
      <c r="G2" s="86">
        <f>0.6</f>
        <v>0.6</v>
      </c>
      <c r="H2" s="86">
        <f>MIN(G2+0.04,1)</f>
        <v>0.64</v>
      </c>
      <c r="I2" s="86">
        <f>MIN(H2+0.04,1)</f>
        <v>0.68</v>
      </c>
      <c r="J2" s="86">
        <f t="shared" ref="I2:AQ2" si="0">MIN(I2+0.04,1)</f>
        <v>0.72000000000000008</v>
      </c>
      <c r="K2" s="86">
        <f t="shared" si="0"/>
        <v>0.76000000000000012</v>
      </c>
      <c r="L2" s="86">
        <f t="shared" si="0"/>
        <v>0.80000000000000016</v>
      </c>
      <c r="M2" s="86">
        <f t="shared" si="0"/>
        <v>0.84000000000000019</v>
      </c>
      <c r="N2" s="86">
        <f t="shared" si="0"/>
        <v>0.88000000000000023</v>
      </c>
      <c r="O2" s="86">
        <f t="shared" si="0"/>
        <v>0.92000000000000026</v>
      </c>
      <c r="P2" s="86">
        <f t="shared" si="0"/>
        <v>0.9600000000000003</v>
      </c>
      <c r="Q2" s="86">
        <f t="shared" si="0"/>
        <v>1</v>
      </c>
      <c r="R2" s="86">
        <f t="shared" si="0"/>
        <v>1</v>
      </c>
      <c r="S2" s="86">
        <f t="shared" si="0"/>
        <v>1</v>
      </c>
      <c r="T2" s="86">
        <f t="shared" si="0"/>
        <v>1</v>
      </c>
      <c r="U2" s="86">
        <f t="shared" si="0"/>
        <v>1</v>
      </c>
      <c r="V2" s="86">
        <f t="shared" si="0"/>
        <v>1</v>
      </c>
      <c r="W2" s="86">
        <f t="shared" si="0"/>
        <v>1</v>
      </c>
      <c r="X2" s="86">
        <f t="shared" si="0"/>
        <v>1</v>
      </c>
      <c r="Y2" s="86">
        <f t="shared" si="0"/>
        <v>1</v>
      </c>
      <c r="Z2" s="86">
        <f t="shared" si="0"/>
        <v>1</v>
      </c>
      <c r="AA2" s="86">
        <f t="shared" si="0"/>
        <v>1</v>
      </c>
      <c r="AB2" s="86">
        <f t="shared" si="0"/>
        <v>1</v>
      </c>
      <c r="AC2" s="86">
        <f t="shared" si="0"/>
        <v>1</v>
      </c>
      <c r="AD2" s="86">
        <f t="shared" si="0"/>
        <v>1</v>
      </c>
      <c r="AE2" s="86">
        <f t="shared" si="0"/>
        <v>1</v>
      </c>
      <c r="AF2" s="86">
        <f t="shared" si="0"/>
        <v>1</v>
      </c>
      <c r="AG2" s="86">
        <f t="shared" si="0"/>
        <v>1</v>
      </c>
      <c r="AH2" s="86">
        <f t="shared" si="0"/>
        <v>1</v>
      </c>
      <c r="AI2" s="86">
        <f t="shared" si="0"/>
        <v>1</v>
      </c>
      <c r="AJ2" s="86">
        <f t="shared" si="0"/>
        <v>1</v>
      </c>
      <c r="AK2" s="86">
        <f t="shared" si="0"/>
        <v>1</v>
      </c>
      <c r="AL2" s="86">
        <f t="shared" si="0"/>
        <v>1</v>
      </c>
      <c r="AM2" s="86">
        <f t="shared" si="0"/>
        <v>1</v>
      </c>
      <c r="AN2" s="86">
        <f t="shared" si="0"/>
        <v>1</v>
      </c>
      <c r="AO2" s="86">
        <f t="shared" si="0"/>
        <v>1</v>
      </c>
      <c r="AP2" s="86">
        <f t="shared" si="0"/>
        <v>1</v>
      </c>
      <c r="AQ2" s="86">
        <f t="shared" si="0"/>
        <v>1</v>
      </c>
    </row>
    <row r="3" spans="1:43" x14ac:dyDescent="0.15">
      <c r="A3" t="s">
        <v>2</v>
      </c>
      <c r="B3" cm="1">
        <f t="array" ref="B3:F3">ROUND(TRANSPOSE(Summary!$P$22:$P$26),5)</f>
        <v>1.9000000000000001E-4</v>
      </c>
      <c r="C3">
        <v>8.4000000000000003E-4</v>
      </c>
      <c r="D3">
        <v>1.0200000000000001E-3</v>
      </c>
      <c r="E3">
        <v>1.41E-3</v>
      </c>
      <c r="F3">
        <v>1.1999999999999999E-3</v>
      </c>
      <c r="G3" s="86">
        <f t="shared" ref="G3:AQ3" si="1">MAX($C3:$F3)</f>
        <v>1.41E-3</v>
      </c>
      <c r="H3" s="86">
        <f t="shared" si="1"/>
        <v>1.41E-3</v>
      </c>
      <c r="I3" s="86">
        <f t="shared" si="1"/>
        <v>1.41E-3</v>
      </c>
      <c r="J3" s="86">
        <f t="shared" si="1"/>
        <v>1.41E-3</v>
      </c>
      <c r="K3" s="86">
        <f t="shared" si="1"/>
        <v>1.41E-3</v>
      </c>
      <c r="L3" s="86">
        <f t="shared" si="1"/>
        <v>1.41E-3</v>
      </c>
      <c r="M3" s="86">
        <f t="shared" si="1"/>
        <v>1.41E-3</v>
      </c>
      <c r="N3" s="86">
        <f t="shared" si="1"/>
        <v>1.41E-3</v>
      </c>
      <c r="O3" s="86">
        <f t="shared" si="1"/>
        <v>1.41E-3</v>
      </c>
      <c r="P3" s="86">
        <f t="shared" si="1"/>
        <v>1.41E-3</v>
      </c>
      <c r="Q3" s="86">
        <f t="shared" si="1"/>
        <v>1.41E-3</v>
      </c>
      <c r="R3" s="86">
        <f t="shared" si="1"/>
        <v>1.41E-3</v>
      </c>
      <c r="S3" s="86">
        <f t="shared" si="1"/>
        <v>1.41E-3</v>
      </c>
      <c r="T3" s="86">
        <f t="shared" si="1"/>
        <v>1.41E-3</v>
      </c>
      <c r="U3" s="86">
        <f t="shared" si="1"/>
        <v>1.41E-3</v>
      </c>
      <c r="V3" s="86">
        <f t="shared" si="1"/>
        <v>1.41E-3</v>
      </c>
      <c r="W3" s="86">
        <f t="shared" si="1"/>
        <v>1.41E-3</v>
      </c>
      <c r="X3" s="86">
        <f t="shared" si="1"/>
        <v>1.41E-3</v>
      </c>
      <c r="Y3" s="86">
        <f t="shared" si="1"/>
        <v>1.41E-3</v>
      </c>
      <c r="Z3" s="86">
        <f t="shared" si="1"/>
        <v>1.41E-3</v>
      </c>
      <c r="AA3" s="86">
        <f t="shared" si="1"/>
        <v>1.41E-3</v>
      </c>
      <c r="AB3" s="86">
        <f t="shared" si="1"/>
        <v>1.41E-3</v>
      </c>
      <c r="AC3" s="86">
        <f t="shared" si="1"/>
        <v>1.41E-3</v>
      </c>
      <c r="AD3" s="86">
        <f t="shared" si="1"/>
        <v>1.41E-3</v>
      </c>
      <c r="AE3" s="86">
        <f t="shared" si="1"/>
        <v>1.41E-3</v>
      </c>
      <c r="AF3" s="86">
        <f t="shared" si="1"/>
        <v>1.41E-3</v>
      </c>
      <c r="AG3" s="86">
        <f t="shared" si="1"/>
        <v>1.41E-3</v>
      </c>
      <c r="AH3" s="86">
        <f t="shared" si="1"/>
        <v>1.41E-3</v>
      </c>
      <c r="AI3" s="86">
        <f t="shared" si="1"/>
        <v>1.41E-3</v>
      </c>
      <c r="AJ3" s="86">
        <f t="shared" si="1"/>
        <v>1.41E-3</v>
      </c>
      <c r="AK3" s="86">
        <f t="shared" si="1"/>
        <v>1.41E-3</v>
      </c>
      <c r="AL3" s="86">
        <f t="shared" si="1"/>
        <v>1.41E-3</v>
      </c>
      <c r="AM3" s="86">
        <f t="shared" si="1"/>
        <v>1.41E-3</v>
      </c>
      <c r="AN3" s="86">
        <f t="shared" si="1"/>
        <v>1.41E-3</v>
      </c>
      <c r="AO3" s="86">
        <f t="shared" si="1"/>
        <v>1.41E-3</v>
      </c>
      <c r="AP3" s="86">
        <f t="shared" si="1"/>
        <v>1.41E-3</v>
      </c>
      <c r="AQ3" s="86">
        <f t="shared" si="1"/>
        <v>1.41E-3</v>
      </c>
    </row>
    <row r="4" spans="1:43" x14ac:dyDescent="0.15">
      <c r="A4" t="s">
        <v>3</v>
      </c>
      <c r="B4" s="86">
        <v>1</v>
      </c>
      <c r="C4" s="86">
        <v>1</v>
      </c>
      <c r="D4" s="86">
        <v>1</v>
      </c>
      <c r="E4" s="86">
        <v>1</v>
      </c>
      <c r="F4" s="86">
        <v>1</v>
      </c>
      <c r="G4" s="86">
        <v>1</v>
      </c>
      <c r="H4" s="86">
        <v>1</v>
      </c>
      <c r="I4" s="86">
        <v>1</v>
      </c>
      <c r="J4" s="86">
        <v>1</v>
      </c>
      <c r="K4" s="86">
        <v>1</v>
      </c>
      <c r="L4" s="86">
        <v>1</v>
      </c>
      <c r="M4" s="86">
        <v>1</v>
      </c>
      <c r="N4" s="86">
        <v>1</v>
      </c>
      <c r="O4" s="86">
        <v>1</v>
      </c>
      <c r="P4" s="86">
        <v>1</v>
      </c>
      <c r="Q4" s="86">
        <v>1</v>
      </c>
      <c r="R4" s="86">
        <v>1</v>
      </c>
      <c r="S4" s="86">
        <v>1</v>
      </c>
      <c r="T4" s="86">
        <v>1</v>
      </c>
      <c r="U4" s="86">
        <v>1</v>
      </c>
      <c r="V4" s="86">
        <v>1</v>
      </c>
      <c r="W4" s="86">
        <v>1</v>
      </c>
      <c r="X4" s="86">
        <v>1</v>
      </c>
      <c r="Y4" s="86">
        <v>1</v>
      </c>
      <c r="Z4" s="86">
        <v>1</v>
      </c>
      <c r="AA4" s="86">
        <v>1</v>
      </c>
      <c r="AB4" s="86">
        <v>1</v>
      </c>
      <c r="AC4" s="86">
        <v>1</v>
      </c>
      <c r="AD4" s="86">
        <v>1</v>
      </c>
      <c r="AE4" s="86">
        <v>1</v>
      </c>
      <c r="AF4" s="86">
        <v>1</v>
      </c>
      <c r="AG4" s="86">
        <v>1</v>
      </c>
      <c r="AH4" s="86">
        <f t="shared" ref="AH4:AQ4" si="2">MAX(MIN(TREND($W4:$AG4,$W$1:$AG$1,AH$1),1),0)</f>
        <v>1</v>
      </c>
      <c r="AI4" s="86">
        <f t="shared" si="2"/>
        <v>1</v>
      </c>
      <c r="AJ4" s="86">
        <f t="shared" si="2"/>
        <v>1</v>
      </c>
      <c r="AK4" s="86">
        <f t="shared" si="2"/>
        <v>1</v>
      </c>
      <c r="AL4" s="86">
        <f t="shared" si="2"/>
        <v>1</v>
      </c>
      <c r="AM4" s="86">
        <f t="shared" si="2"/>
        <v>1</v>
      </c>
      <c r="AN4" s="86">
        <f t="shared" si="2"/>
        <v>1</v>
      </c>
      <c r="AO4" s="86">
        <f t="shared" si="2"/>
        <v>1</v>
      </c>
      <c r="AP4" s="86">
        <f t="shared" si="2"/>
        <v>1</v>
      </c>
      <c r="AQ4" s="86">
        <f t="shared" si="2"/>
        <v>1</v>
      </c>
    </row>
    <row r="5" spans="1:43" x14ac:dyDescent="0.15">
      <c r="A5" t="s">
        <v>4</v>
      </c>
      <c r="B5" cm="1">
        <f t="array" ref="B5:F5">ROUND(TRANSPOSE(Summary!$O$22:$O$26),5)</f>
        <v>7.2300000000000003E-3</v>
      </c>
      <c r="C5">
        <v>8.8299999999999993E-3</v>
      </c>
      <c r="D5">
        <v>8.8599999999999998E-3</v>
      </c>
      <c r="E5">
        <v>7.0099999999999997E-3</v>
      </c>
      <c r="F5">
        <v>7.2199999999999999E-3</v>
      </c>
      <c r="G5" s="86">
        <f>MAX($C5:$F5)</f>
        <v>8.8599999999999998E-3</v>
      </c>
      <c r="H5" s="86">
        <f t="shared" ref="H5:AQ5" si="3">MAX($C5:$F5)</f>
        <v>8.8599999999999998E-3</v>
      </c>
      <c r="I5" s="86">
        <f t="shared" si="3"/>
        <v>8.8599999999999998E-3</v>
      </c>
      <c r="J5" s="86">
        <f t="shared" si="3"/>
        <v>8.8599999999999998E-3</v>
      </c>
      <c r="K5" s="86">
        <f t="shared" si="3"/>
        <v>8.8599999999999998E-3</v>
      </c>
      <c r="L5" s="86">
        <f t="shared" si="3"/>
        <v>8.8599999999999998E-3</v>
      </c>
      <c r="M5" s="86">
        <f t="shared" si="3"/>
        <v>8.8599999999999998E-3</v>
      </c>
      <c r="N5" s="86">
        <f t="shared" si="3"/>
        <v>8.8599999999999998E-3</v>
      </c>
      <c r="O5" s="86">
        <f t="shared" si="3"/>
        <v>8.8599999999999998E-3</v>
      </c>
      <c r="P5" s="86">
        <f t="shared" si="3"/>
        <v>8.8599999999999998E-3</v>
      </c>
      <c r="Q5" s="86">
        <f t="shared" si="3"/>
        <v>8.8599999999999998E-3</v>
      </c>
      <c r="R5" s="86">
        <f t="shared" si="3"/>
        <v>8.8599999999999998E-3</v>
      </c>
      <c r="S5" s="86">
        <f t="shared" si="3"/>
        <v>8.8599999999999998E-3</v>
      </c>
      <c r="T5" s="86">
        <f t="shared" si="3"/>
        <v>8.8599999999999998E-3</v>
      </c>
      <c r="U5" s="86">
        <f t="shared" si="3"/>
        <v>8.8599999999999998E-3</v>
      </c>
      <c r="V5" s="86">
        <f t="shared" si="3"/>
        <v>8.8599999999999998E-3</v>
      </c>
      <c r="W5" s="86">
        <f t="shared" si="3"/>
        <v>8.8599999999999998E-3</v>
      </c>
      <c r="X5" s="86">
        <f t="shared" si="3"/>
        <v>8.8599999999999998E-3</v>
      </c>
      <c r="Y5" s="86">
        <f t="shared" si="3"/>
        <v>8.8599999999999998E-3</v>
      </c>
      <c r="Z5" s="86">
        <f t="shared" si="3"/>
        <v>8.8599999999999998E-3</v>
      </c>
      <c r="AA5" s="86">
        <f t="shared" si="3"/>
        <v>8.8599999999999998E-3</v>
      </c>
      <c r="AB5" s="86">
        <f t="shared" si="3"/>
        <v>8.8599999999999998E-3</v>
      </c>
      <c r="AC5" s="86">
        <f t="shared" si="3"/>
        <v>8.8599999999999998E-3</v>
      </c>
      <c r="AD5" s="86">
        <f t="shared" si="3"/>
        <v>8.8599999999999998E-3</v>
      </c>
      <c r="AE5" s="86">
        <f t="shared" si="3"/>
        <v>8.8599999999999998E-3</v>
      </c>
      <c r="AF5" s="86">
        <f t="shared" si="3"/>
        <v>8.8599999999999998E-3</v>
      </c>
      <c r="AG5" s="86">
        <f t="shared" si="3"/>
        <v>8.8599999999999998E-3</v>
      </c>
      <c r="AH5" s="86">
        <f t="shared" si="3"/>
        <v>8.8599999999999998E-3</v>
      </c>
      <c r="AI5" s="86">
        <f t="shared" si="3"/>
        <v>8.8599999999999998E-3</v>
      </c>
      <c r="AJ5" s="86">
        <f t="shared" si="3"/>
        <v>8.8599999999999998E-3</v>
      </c>
      <c r="AK5" s="86">
        <f t="shared" si="3"/>
        <v>8.8599999999999998E-3</v>
      </c>
      <c r="AL5" s="86">
        <f t="shared" si="3"/>
        <v>8.8599999999999998E-3</v>
      </c>
      <c r="AM5" s="86">
        <f t="shared" si="3"/>
        <v>8.8599999999999998E-3</v>
      </c>
      <c r="AN5" s="86">
        <f t="shared" si="3"/>
        <v>8.8599999999999998E-3</v>
      </c>
      <c r="AO5" s="86">
        <f t="shared" si="3"/>
        <v>8.8599999999999998E-3</v>
      </c>
      <c r="AP5" s="86">
        <f t="shared" si="3"/>
        <v>8.8599999999999998E-3</v>
      </c>
      <c r="AQ5" s="86">
        <f t="shared" si="3"/>
        <v>8.8599999999999998E-3</v>
      </c>
    </row>
    <row r="6" spans="1:43" x14ac:dyDescent="0.15">
      <c r="A6" t="s">
        <v>5</v>
      </c>
      <c r="B6" cm="1">
        <f t="array" ref="B6:F6">ROUND(TRANSPOSE(Summary!X19:X23),5)</f>
        <v>1.933E-2</v>
      </c>
      <c r="C6" s="86">
        <v>1.61E-2</v>
      </c>
      <c r="D6" s="86">
        <v>2.103E-2</v>
      </c>
      <c r="E6" s="86">
        <v>2.6419999999999999E-2</v>
      </c>
      <c r="F6" s="86">
        <v>3.6600000000000001E-2</v>
      </c>
      <c r="G6" s="86">
        <f>MIN(F6+0.03,0.3)</f>
        <v>6.6599999999999993E-2</v>
      </c>
      <c r="H6" s="86">
        <f t="shared" ref="H6:AQ6" si="4">MIN(G6+0.03,0.3)</f>
        <v>9.6599999999999991E-2</v>
      </c>
      <c r="I6" s="86">
        <f t="shared" si="4"/>
        <v>0.12659999999999999</v>
      </c>
      <c r="J6" s="86">
        <f t="shared" si="4"/>
        <v>0.15659999999999999</v>
      </c>
      <c r="K6" s="86">
        <f t="shared" si="4"/>
        <v>0.18659999999999999</v>
      </c>
      <c r="L6" s="86">
        <f t="shared" si="4"/>
        <v>0.21659999999999999</v>
      </c>
      <c r="M6" s="86">
        <f t="shared" si="4"/>
        <v>0.24659999999999999</v>
      </c>
      <c r="N6" s="86">
        <f t="shared" si="4"/>
        <v>0.27659999999999996</v>
      </c>
      <c r="O6" s="86">
        <f t="shared" si="4"/>
        <v>0.3</v>
      </c>
      <c r="P6" s="86">
        <f t="shared" si="4"/>
        <v>0.3</v>
      </c>
      <c r="Q6" s="86">
        <f t="shared" si="4"/>
        <v>0.3</v>
      </c>
      <c r="R6" s="86">
        <f t="shared" si="4"/>
        <v>0.3</v>
      </c>
      <c r="S6" s="86">
        <f t="shared" si="4"/>
        <v>0.3</v>
      </c>
      <c r="T6" s="86">
        <f t="shared" si="4"/>
        <v>0.3</v>
      </c>
      <c r="U6" s="86">
        <f t="shared" si="4"/>
        <v>0.3</v>
      </c>
      <c r="V6" s="86">
        <f t="shared" si="4"/>
        <v>0.3</v>
      </c>
      <c r="W6" s="86">
        <f t="shared" si="4"/>
        <v>0.3</v>
      </c>
      <c r="X6" s="86">
        <f t="shared" si="4"/>
        <v>0.3</v>
      </c>
      <c r="Y6" s="86">
        <f t="shared" si="4"/>
        <v>0.3</v>
      </c>
      <c r="Z6" s="86">
        <f t="shared" si="4"/>
        <v>0.3</v>
      </c>
      <c r="AA6" s="86">
        <f t="shared" si="4"/>
        <v>0.3</v>
      </c>
      <c r="AB6" s="86">
        <f t="shared" si="4"/>
        <v>0.3</v>
      </c>
      <c r="AC6" s="86">
        <f t="shared" si="4"/>
        <v>0.3</v>
      </c>
      <c r="AD6" s="86">
        <f t="shared" si="4"/>
        <v>0.3</v>
      </c>
      <c r="AE6" s="86">
        <f t="shared" si="4"/>
        <v>0.3</v>
      </c>
      <c r="AF6" s="86">
        <f t="shared" si="4"/>
        <v>0.3</v>
      </c>
      <c r="AG6" s="86">
        <f t="shared" si="4"/>
        <v>0.3</v>
      </c>
      <c r="AH6" s="86">
        <f t="shared" si="4"/>
        <v>0.3</v>
      </c>
      <c r="AI6" s="86">
        <f t="shared" si="4"/>
        <v>0.3</v>
      </c>
      <c r="AJ6" s="86">
        <f t="shared" si="4"/>
        <v>0.3</v>
      </c>
      <c r="AK6" s="86">
        <f t="shared" si="4"/>
        <v>0.3</v>
      </c>
      <c r="AL6" s="86">
        <f t="shared" si="4"/>
        <v>0.3</v>
      </c>
      <c r="AM6" s="86">
        <f t="shared" si="4"/>
        <v>0.3</v>
      </c>
      <c r="AN6" s="86">
        <f t="shared" si="4"/>
        <v>0.3</v>
      </c>
      <c r="AO6" s="86">
        <f t="shared" si="4"/>
        <v>0.3</v>
      </c>
      <c r="AP6" s="86">
        <f t="shared" si="4"/>
        <v>0.3</v>
      </c>
      <c r="AQ6" s="86">
        <f t="shared" si="4"/>
        <v>0.3</v>
      </c>
    </row>
    <row r="7" spans="1:43" x14ac:dyDescent="0.15">
      <c r="A7" t="s">
        <v>125</v>
      </c>
      <c r="B7" s="86">
        <f>C7-(D7-C7)</f>
        <v>3.0050529193724593E-4</v>
      </c>
      <c r="C7" s="86">
        <v>3.1860676770344197E-4</v>
      </c>
      <c r="D7" s="86">
        <v>3.3670824346963802E-4</v>
      </c>
      <c r="E7" s="86">
        <v>3.5480971923583515E-4</v>
      </c>
      <c r="F7" s="86">
        <v>3.7291119500203196E-4</v>
      </c>
      <c r="G7" s="86">
        <v>3.910126707682357E-4</v>
      </c>
      <c r="H7" s="86">
        <v>4.0911414653443251E-4</v>
      </c>
      <c r="I7" s="86">
        <v>4.2721562230062932E-4</v>
      </c>
      <c r="J7" s="86">
        <v>4.4531709806682612E-4</v>
      </c>
      <c r="K7" s="86">
        <v>4.6341857383302293E-4</v>
      </c>
      <c r="L7" s="86">
        <v>4.8152004959921973E-4</v>
      </c>
      <c r="M7" s="86">
        <v>4.9962152536541654E-4</v>
      </c>
      <c r="N7" s="86">
        <v>5.1772300113162029E-4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  <c r="AG7" s="86">
        <v>0</v>
      </c>
      <c r="AH7" s="86">
        <v>0</v>
      </c>
      <c r="AI7" s="86">
        <v>0</v>
      </c>
      <c r="AJ7" s="86">
        <v>0</v>
      </c>
      <c r="AK7" s="86">
        <v>0</v>
      </c>
      <c r="AL7" s="86">
        <v>0</v>
      </c>
      <c r="AM7" s="86">
        <v>0</v>
      </c>
      <c r="AN7" s="86">
        <v>0</v>
      </c>
      <c r="AO7" s="86">
        <v>0</v>
      </c>
      <c r="AP7" s="86">
        <v>0</v>
      </c>
      <c r="AQ7" s="86">
        <v>0</v>
      </c>
    </row>
    <row r="8" spans="1:43" x14ac:dyDescent="0.15">
      <c r="A8" t="s">
        <v>126</v>
      </c>
      <c r="B8" s="86" cm="1">
        <f t="array" ref="B8:F8">ROUND(TRANSPOSE(Summary!$W$22:$W$26),5)</f>
        <v>0</v>
      </c>
      <c r="C8" s="86">
        <v>0</v>
      </c>
      <c r="D8" s="86">
        <v>0</v>
      </c>
      <c r="E8" s="86">
        <v>1.0000000000000001E-5</v>
      </c>
      <c r="F8">
        <v>2.0000000000000002E-5</v>
      </c>
      <c r="G8" s="86">
        <f>MIN(F8+0.002,1)</f>
        <v>2.0200000000000001E-3</v>
      </c>
      <c r="H8" s="86">
        <f t="shared" ref="H8:AQ8" si="5">MIN(G8+0.002,1)</f>
        <v>4.0200000000000001E-3</v>
      </c>
      <c r="I8" s="86">
        <f t="shared" si="5"/>
        <v>6.0200000000000002E-3</v>
      </c>
      <c r="J8" s="86">
        <f t="shared" si="5"/>
        <v>8.0199999999999994E-3</v>
      </c>
      <c r="K8" s="86">
        <f t="shared" si="5"/>
        <v>1.0019999999999999E-2</v>
      </c>
      <c r="L8" s="86">
        <f t="shared" si="5"/>
        <v>1.2019999999999999E-2</v>
      </c>
      <c r="M8" s="86">
        <f t="shared" si="5"/>
        <v>1.4019999999999999E-2</v>
      </c>
      <c r="N8" s="86">
        <f t="shared" si="5"/>
        <v>1.602E-2</v>
      </c>
      <c r="O8" s="86">
        <f t="shared" si="5"/>
        <v>1.8020000000000001E-2</v>
      </c>
      <c r="P8" s="86">
        <f t="shared" si="5"/>
        <v>2.0020000000000003E-2</v>
      </c>
      <c r="Q8" s="86">
        <f t="shared" si="5"/>
        <v>2.2020000000000005E-2</v>
      </c>
      <c r="R8" s="86">
        <f t="shared" si="5"/>
        <v>2.4020000000000007E-2</v>
      </c>
      <c r="S8" s="86">
        <f t="shared" si="5"/>
        <v>2.6020000000000008E-2</v>
      </c>
      <c r="T8" s="86">
        <f t="shared" si="5"/>
        <v>2.802000000000001E-2</v>
      </c>
      <c r="U8" s="86">
        <f t="shared" si="5"/>
        <v>3.0020000000000012E-2</v>
      </c>
      <c r="V8" s="86">
        <f t="shared" si="5"/>
        <v>3.2020000000000014E-2</v>
      </c>
      <c r="W8" s="86">
        <f t="shared" si="5"/>
        <v>3.4020000000000016E-2</v>
      </c>
      <c r="X8" s="86">
        <f t="shared" si="5"/>
        <v>3.6020000000000017E-2</v>
      </c>
      <c r="Y8" s="86">
        <f t="shared" si="5"/>
        <v>3.8020000000000019E-2</v>
      </c>
      <c r="Z8" s="86">
        <f t="shared" si="5"/>
        <v>4.0020000000000021E-2</v>
      </c>
      <c r="AA8" s="86">
        <f t="shared" si="5"/>
        <v>4.2020000000000023E-2</v>
      </c>
      <c r="AB8" s="86">
        <f t="shared" si="5"/>
        <v>4.4020000000000024E-2</v>
      </c>
      <c r="AC8" s="86">
        <f t="shared" si="5"/>
        <v>4.6020000000000026E-2</v>
      </c>
      <c r="AD8" s="86">
        <f t="shared" si="5"/>
        <v>4.8020000000000028E-2</v>
      </c>
      <c r="AE8" s="86">
        <f t="shared" si="5"/>
        <v>5.002000000000003E-2</v>
      </c>
      <c r="AF8" s="86">
        <f t="shared" si="5"/>
        <v>5.2020000000000031E-2</v>
      </c>
      <c r="AG8" s="86">
        <f t="shared" si="5"/>
        <v>5.4020000000000033E-2</v>
      </c>
      <c r="AH8" s="86">
        <f t="shared" si="5"/>
        <v>5.6020000000000035E-2</v>
      </c>
      <c r="AI8" s="86">
        <f t="shared" si="5"/>
        <v>5.8020000000000037E-2</v>
      </c>
      <c r="AJ8" s="86">
        <f t="shared" si="5"/>
        <v>6.0020000000000039E-2</v>
      </c>
      <c r="AK8" s="86">
        <f t="shared" si="5"/>
        <v>6.202000000000004E-2</v>
      </c>
      <c r="AL8" s="86">
        <f t="shared" si="5"/>
        <v>6.4020000000000035E-2</v>
      </c>
      <c r="AM8" s="86">
        <f t="shared" si="5"/>
        <v>6.6020000000000037E-2</v>
      </c>
      <c r="AN8" s="86">
        <f t="shared" si="5"/>
        <v>6.8020000000000039E-2</v>
      </c>
      <c r="AO8" s="86">
        <f t="shared" si="5"/>
        <v>7.0020000000000041E-2</v>
      </c>
      <c r="AP8" s="86">
        <f t="shared" si="5"/>
        <v>7.2020000000000042E-2</v>
      </c>
      <c r="AQ8" s="86">
        <f t="shared" si="5"/>
        <v>7.4020000000000044E-2</v>
      </c>
    </row>
    <row r="9" spans="1:43" x14ac:dyDescent="0.15">
      <c r="C9" s="86"/>
      <c r="D9" s="86"/>
      <c r="E9" s="86"/>
      <c r="F9" s="86"/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Q8"/>
  <sheetViews>
    <sheetView workbookViewId="0">
      <selection activeCell="F11" sqref="F11"/>
    </sheetView>
    <sheetView workbookViewId="1">
      <pane xSplit="1" topLeftCell="B1" activePane="topRight" state="frozen"/>
      <selection pane="topRight" activeCell="G12" sqref="G12"/>
    </sheetView>
  </sheetViews>
  <sheetFormatPr defaultColWidth="9.125" defaultRowHeight="12.9" x14ac:dyDescent="0.15"/>
  <cols>
    <col min="1" max="2" width="24.5" customWidth="1"/>
  </cols>
  <sheetData>
    <row r="1" spans="1:43" ht="38.75" x14ac:dyDescent="0.15">
      <c r="A1" s="25" t="s">
        <v>128</v>
      </c>
      <c r="B1" s="88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 s="87" cm="1">
        <f t="array" ref="B2:F2">ROUND(TRANSPOSE(Summary!V10:V14),5)</f>
        <v>8.2799999999999992E-3</v>
      </c>
      <c r="C2" s="87">
        <v>6.1000000000000004E-3</v>
      </c>
      <c r="D2" s="87">
        <v>1.6379999999999999E-2</v>
      </c>
      <c r="E2" s="87">
        <v>6.6070000000000004E-2</v>
      </c>
      <c r="F2" s="87">
        <v>5.7590000000000002E-2</v>
      </c>
      <c r="G2" s="87">
        <v>0.2</v>
      </c>
      <c r="H2" s="87">
        <f t="shared" ref="H2:AQ2" si="0">MIN(G2+0.04,1)</f>
        <v>0.24000000000000002</v>
      </c>
      <c r="I2" s="87">
        <f>($M$2-$H$2)/5+H2</f>
        <v>0.29200000000000004</v>
      </c>
      <c r="J2" s="87">
        <f t="shared" ref="J2:L2" si="1">($M$2-$H$2)/5+I2</f>
        <v>0.34400000000000003</v>
      </c>
      <c r="K2" s="87">
        <f t="shared" si="1"/>
        <v>0.39600000000000002</v>
      </c>
      <c r="L2" s="87">
        <f t="shared" si="1"/>
        <v>0.44800000000000001</v>
      </c>
      <c r="M2" s="87">
        <v>0.5</v>
      </c>
      <c r="N2" s="87">
        <f t="shared" si="0"/>
        <v>0.54</v>
      </c>
      <c r="O2" s="87">
        <f t="shared" si="0"/>
        <v>0.58000000000000007</v>
      </c>
      <c r="P2" s="87">
        <f t="shared" si="0"/>
        <v>0.62000000000000011</v>
      </c>
      <c r="Q2" s="87">
        <f t="shared" si="0"/>
        <v>0.66000000000000014</v>
      </c>
      <c r="R2" s="87">
        <f t="shared" si="0"/>
        <v>0.70000000000000018</v>
      </c>
      <c r="S2" s="87">
        <f t="shared" si="0"/>
        <v>0.74000000000000021</v>
      </c>
      <c r="T2" s="87">
        <f t="shared" si="0"/>
        <v>0.78000000000000025</v>
      </c>
      <c r="U2" s="87">
        <f t="shared" si="0"/>
        <v>0.82000000000000028</v>
      </c>
      <c r="V2" s="87">
        <f t="shared" si="0"/>
        <v>0.86000000000000032</v>
      </c>
      <c r="W2" s="87">
        <f t="shared" si="0"/>
        <v>0.90000000000000036</v>
      </c>
      <c r="X2" s="87">
        <f t="shared" si="0"/>
        <v>0.94000000000000039</v>
      </c>
      <c r="Y2" s="87">
        <f t="shared" si="0"/>
        <v>0.98000000000000043</v>
      </c>
      <c r="Z2" s="87">
        <f t="shared" si="0"/>
        <v>1</v>
      </c>
      <c r="AA2" s="87">
        <f t="shared" si="0"/>
        <v>1</v>
      </c>
      <c r="AB2" s="87">
        <f t="shared" si="0"/>
        <v>1</v>
      </c>
      <c r="AC2" s="87">
        <f t="shared" si="0"/>
        <v>1</v>
      </c>
      <c r="AD2" s="87">
        <f t="shared" si="0"/>
        <v>1</v>
      </c>
      <c r="AE2" s="87">
        <f t="shared" si="0"/>
        <v>1</v>
      </c>
      <c r="AF2" s="87">
        <f t="shared" si="0"/>
        <v>1</v>
      </c>
      <c r="AG2" s="87">
        <f t="shared" si="0"/>
        <v>1</v>
      </c>
      <c r="AH2" s="87">
        <f t="shared" si="0"/>
        <v>1</v>
      </c>
      <c r="AI2" s="87">
        <f t="shared" si="0"/>
        <v>1</v>
      </c>
      <c r="AJ2" s="87">
        <f t="shared" si="0"/>
        <v>1</v>
      </c>
      <c r="AK2" s="87">
        <f t="shared" si="0"/>
        <v>1</v>
      </c>
      <c r="AL2" s="87">
        <f t="shared" si="0"/>
        <v>1</v>
      </c>
      <c r="AM2" s="87">
        <f t="shared" si="0"/>
        <v>1</v>
      </c>
      <c r="AN2" s="87">
        <f t="shared" si="0"/>
        <v>1</v>
      </c>
      <c r="AO2" s="87">
        <f t="shared" si="0"/>
        <v>1</v>
      </c>
      <c r="AP2" s="87">
        <f t="shared" si="0"/>
        <v>1</v>
      </c>
      <c r="AQ2" s="87">
        <f t="shared" si="0"/>
        <v>1</v>
      </c>
    </row>
    <row r="3" spans="1:43" x14ac:dyDescent="0.15">
      <c r="A3" t="s">
        <v>2</v>
      </c>
      <c r="B3" cm="1">
        <f t="array" ref="B3:F3">ROUND(TRANSPOSE(Summary!P10:P14),5)</f>
        <v>5.5000000000000003E-4</v>
      </c>
      <c r="C3" s="87">
        <v>3.3400000000000001E-3</v>
      </c>
      <c r="D3" s="87">
        <v>9.3600000000000003E-3</v>
      </c>
      <c r="E3" s="87">
        <v>2.1430000000000001E-2</v>
      </c>
      <c r="F3" s="87">
        <v>3.8580000000000003E-2</v>
      </c>
      <c r="G3" s="87">
        <f>MIN(F3+0.01,0.2)</f>
        <v>4.8580000000000005E-2</v>
      </c>
      <c r="H3" s="87">
        <f t="shared" ref="H3:AQ3" si="2">MIN(G3+0.01,0.2)</f>
        <v>5.8580000000000007E-2</v>
      </c>
      <c r="I3" s="87">
        <f t="shared" si="2"/>
        <v>6.8580000000000002E-2</v>
      </c>
      <c r="J3" s="87">
        <f t="shared" si="2"/>
        <v>7.8579999999999997E-2</v>
      </c>
      <c r="K3" s="87">
        <f t="shared" si="2"/>
        <v>8.8579999999999992E-2</v>
      </c>
      <c r="L3" s="87">
        <f t="shared" si="2"/>
        <v>9.8579999999999987E-2</v>
      </c>
      <c r="M3" s="87">
        <f t="shared" si="2"/>
        <v>0.10857999999999998</v>
      </c>
      <c r="N3" s="87">
        <f t="shared" si="2"/>
        <v>0.11857999999999998</v>
      </c>
      <c r="O3" s="87">
        <f t="shared" si="2"/>
        <v>0.12857999999999997</v>
      </c>
      <c r="P3" s="87">
        <f t="shared" si="2"/>
        <v>0.13857999999999998</v>
      </c>
      <c r="Q3" s="87">
        <f t="shared" si="2"/>
        <v>0.14857999999999999</v>
      </c>
      <c r="R3" s="87">
        <f t="shared" si="2"/>
        <v>0.15858</v>
      </c>
      <c r="S3" s="87">
        <f t="shared" si="2"/>
        <v>0.16858000000000001</v>
      </c>
      <c r="T3" s="87">
        <f t="shared" si="2"/>
        <v>0.17858000000000002</v>
      </c>
      <c r="U3" s="87">
        <f t="shared" si="2"/>
        <v>0.18858000000000003</v>
      </c>
      <c r="V3" s="87">
        <f t="shared" si="2"/>
        <v>0.19858000000000003</v>
      </c>
      <c r="W3" s="87">
        <f t="shared" si="2"/>
        <v>0.2</v>
      </c>
      <c r="X3" s="87">
        <f t="shared" si="2"/>
        <v>0.2</v>
      </c>
      <c r="Y3" s="87">
        <f t="shared" si="2"/>
        <v>0.2</v>
      </c>
      <c r="Z3" s="87">
        <f t="shared" si="2"/>
        <v>0.2</v>
      </c>
      <c r="AA3" s="87">
        <f t="shared" si="2"/>
        <v>0.2</v>
      </c>
      <c r="AB3" s="87">
        <f t="shared" si="2"/>
        <v>0.2</v>
      </c>
      <c r="AC3" s="87">
        <f t="shared" si="2"/>
        <v>0.2</v>
      </c>
      <c r="AD3" s="87">
        <f t="shared" si="2"/>
        <v>0.2</v>
      </c>
      <c r="AE3" s="87">
        <f t="shared" si="2"/>
        <v>0.2</v>
      </c>
      <c r="AF3" s="87">
        <f t="shared" si="2"/>
        <v>0.2</v>
      </c>
      <c r="AG3" s="87">
        <f t="shared" si="2"/>
        <v>0.2</v>
      </c>
      <c r="AH3" s="87">
        <f t="shared" si="2"/>
        <v>0.2</v>
      </c>
      <c r="AI3" s="87">
        <f t="shared" si="2"/>
        <v>0.2</v>
      </c>
      <c r="AJ3" s="87">
        <f t="shared" si="2"/>
        <v>0.2</v>
      </c>
      <c r="AK3" s="87">
        <f t="shared" si="2"/>
        <v>0.2</v>
      </c>
      <c r="AL3" s="87">
        <f t="shared" si="2"/>
        <v>0.2</v>
      </c>
      <c r="AM3" s="87">
        <f t="shared" si="2"/>
        <v>0.2</v>
      </c>
      <c r="AN3" s="87">
        <f t="shared" si="2"/>
        <v>0.2</v>
      </c>
      <c r="AO3" s="87">
        <f t="shared" si="2"/>
        <v>0.2</v>
      </c>
      <c r="AP3" s="87">
        <f t="shared" si="2"/>
        <v>0.2</v>
      </c>
      <c r="AQ3" s="87">
        <f t="shared" si="2"/>
        <v>0.2</v>
      </c>
    </row>
    <row r="4" spans="1:43" x14ac:dyDescent="0.15">
      <c r="A4" t="s">
        <v>3</v>
      </c>
      <c r="B4" s="87">
        <v>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1</v>
      </c>
      <c r="I4" s="87">
        <v>1</v>
      </c>
      <c r="J4" s="87">
        <v>1</v>
      </c>
      <c r="K4" s="87">
        <v>1</v>
      </c>
      <c r="L4" s="87">
        <v>1</v>
      </c>
      <c r="M4" s="87">
        <v>1</v>
      </c>
      <c r="N4" s="87">
        <v>1</v>
      </c>
      <c r="O4" s="87">
        <v>1</v>
      </c>
      <c r="P4" s="87">
        <v>1</v>
      </c>
      <c r="Q4" s="87">
        <v>1</v>
      </c>
      <c r="R4" s="87">
        <v>1</v>
      </c>
      <c r="S4" s="87">
        <v>1</v>
      </c>
      <c r="T4" s="87">
        <v>1</v>
      </c>
      <c r="U4" s="87">
        <v>1</v>
      </c>
      <c r="V4" s="87">
        <v>1</v>
      </c>
      <c r="W4" s="87">
        <v>1</v>
      </c>
      <c r="X4" s="87">
        <v>1</v>
      </c>
      <c r="Y4" s="87">
        <v>1</v>
      </c>
      <c r="Z4" s="87">
        <v>1</v>
      </c>
      <c r="AA4" s="87">
        <v>1</v>
      </c>
      <c r="AB4" s="87">
        <v>1</v>
      </c>
      <c r="AC4" s="87">
        <v>1</v>
      </c>
      <c r="AD4" s="87">
        <v>1</v>
      </c>
      <c r="AE4" s="87">
        <v>1</v>
      </c>
      <c r="AF4" s="87">
        <v>1</v>
      </c>
      <c r="AG4" s="87">
        <v>1</v>
      </c>
      <c r="AH4" s="87">
        <f t="shared" ref="AH4:AQ7" si="3">MAX(MIN(TREND($W4:$AG4,$W$1:$AG$1,AH$1),1),0)</f>
        <v>1</v>
      </c>
      <c r="AI4" s="87">
        <f t="shared" si="3"/>
        <v>1</v>
      </c>
      <c r="AJ4" s="87">
        <f t="shared" si="3"/>
        <v>1</v>
      </c>
      <c r="AK4" s="87">
        <f t="shared" si="3"/>
        <v>1</v>
      </c>
      <c r="AL4" s="87">
        <f t="shared" si="3"/>
        <v>1</v>
      </c>
      <c r="AM4" s="87">
        <f t="shared" si="3"/>
        <v>1</v>
      </c>
      <c r="AN4" s="87">
        <f t="shared" si="3"/>
        <v>1</v>
      </c>
      <c r="AO4" s="87">
        <f t="shared" si="3"/>
        <v>1</v>
      </c>
      <c r="AP4" s="87">
        <f t="shared" si="3"/>
        <v>1</v>
      </c>
      <c r="AQ4" s="87">
        <f t="shared" si="3"/>
        <v>1</v>
      </c>
    </row>
    <row r="5" spans="1:43" x14ac:dyDescent="0.15">
      <c r="A5" t="s">
        <v>4</v>
      </c>
      <c r="B5">
        <v>0.81410000000000005</v>
      </c>
      <c r="C5" s="87">
        <v>0.82010231357952423</v>
      </c>
      <c r="D5" s="87">
        <v>0.82609890312687284</v>
      </c>
      <c r="E5" s="87">
        <v>0.83209549267422211</v>
      </c>
      <c r="F5" s="87">
        <v>0.83809208222157139</v>
      </c>
      <c r="G5" s="87">
        <v>0.84408867176892066</v>
      </c>
      <c r="H5" s="87">
        <v>0.85008526131626994</v>
      </c>
      <c r="I5" s="87">
        <v>0.85608185086361921</v>
      </c>
      <c r="J5" s="87">
        <v>0.86207844041096848</v>
      </c>
      <c r="K5" s="87">
        <v>0.86807502995831776</v>
      </c>
      <c r="L5" s="87">
        <v>0.87407161950566703</v>
      </c>
      <c r="M5" s="87">
        <v>0.8800682090530163</v>
      </c>
      <c r="N5" s="87">
        <v>0.88606479860036558</v>
      </c>
      <c r="O5" s="87">
        <v>0.89206138814771485</v>
      </c>
      <c r="P5" s="87">
        <v>0.89805797769506412</v>
      </c>
      <c r="Q5" s="87">
        <v>0.9040545672424134</v>
      </c>
      <c r="R5" s="87">
        <v>0.91005115678976267</v>
      </c>
      <c r="S5" s="87">
        <v>0.91604774633711195</v>
      </c>
      <c r="T5" s="87">
        <v>0.92204433588446122</v>
      </c>
      <c r="U5" s="87">
        <v>0.92804092543180872</v>
      </c>
      <c r="V5" s="87">
        <v>0.93403751497915799</v>
      </c>
      <c r="W5" s="87">
        <v>0.94003410452650726</v>
      </c>
      <c r="X5" s="87">
        <v>0.94603069407385654</v>
      </c>
      <c r="Y5" s="87">
        <v>0.95202728362120581</v>
      </c>
      <c r="Z5" s="87">
        <v>0.95802387316855508</v>
      </c>
      <c r="AA5" s="87">
        <v>0.96402046271590436</v>
      </c>
      <c r="AB5" s="87">
        <v>0.97001705226325363</v>
      </c>
      <c r="AC5" s="87">
        <v>0.97601364181060291</v>
      </c>
      <c r="AD5" s="87">
        <v>0.98201023135795218</v>
      </c>
      <c r="AE5" s="87">
        <v>0.98800682090530145</v>
      </c>
      <c r="AF5" s="87">
        <v>0.99400341045265073</v>
      </c>
      <c r="AG5" s="87">
        <v>1</v>
      </c>
      <c r="AH5" s="87">
        <f t="shared" si="3"/>
        <v>1</v>
      </c>
      <c r="AI5" s="87">
        <f t="shared" si="3"/>
        <v>1</v>
      </c>
      <c r="AJ5" s="87">
        <f t="shared" si="3"/>
        <v>1</v>
      </c>
      <c r="AK5" s="87">
        <f t="shared" si="3"/>
        <v>1</v>
      </c>
      <c r="AL5" s="87">
        <f t="shared" si="3"/>
        <v>1</v>
      </c>
      <c r="AM5" s="87">
        <f t="shared" si="3"/>
        <v>1</v>
      </c>
      <c r="AN5" s="87">
        <f t="shared" si="3"/>
        <v>1</v>
      </c>
      <c r="AO5" s="87">
        <f t="shared" si="3"/>
        <v>1</v>
      </c>
      <c r="AP5" s="87">
        <f t="shared" si="3"/>
        <v>1</v>
      </c>
      <c r="AQ5" s="87">
        <f t="shared" si="3"/>
        <v>1</v>
      </c>
    </row>
    <row r="6" spans="1:43" x14ac:dyDescent="0.15">
      <c r="A6" t="s">
        <v>5</v>
      </c>
      <c r="B6" cm="1">
        <f t="array" ref="B6:F6">ROUND(TRANSPOSE(Summary!X10:X14),5)</f>
        <v>4.0000000000000003E-5</v>
      </c>
      <c r="C6" s="87">
        <v>1.2999999999999999E-4</v>
      </c>
      <c r="D6" s="87">
        <v>5.4000000000000001E-4</v>
      </c>
      <c r="E6" s="87">
        <v>8.0000000000000004E-4</v>
      </c>
      <c r="F6" s="87">
        <v>2.8900000000000002E-3</v>
      </c>
      <c r="G6" s="87">
        <f>MIN(F6+0.005,0.3)</f>
        <v>7.8900000000000012E-3</v>
      </c>
      <c r="H6" s="87">
        <f>MIN(G6+0.005,0.3)</f>
        <v>1.2890000000000002E-2</v>
      </c>
      <c r="I6" s="87">
        <f t="shared" ref="I6:AQ6" si="4">MIN(H6+0.005,0.3)</f>
        <v>1.7890000000000003E-2</v>
      </c>
      <c r="J6" s="87">
        <f t="shared" si="4"/>
        <v>2.2890000000000004E-2</v>
      </c>
      <c r="K6" s="87">
        <f t="shared" si="4"/>
        <v>2.7890000000000005E-2</v>
      </c>
      <c r="L6" s="87">
        <f t="shared" si="4"/>
        <v>3.2890000000000003E-2</v>
      </c>
      <c r="M6" s="87">
        <f t="shared" si="4"/>
        <v>3.789E-2</v>
      </c>
      <c r="N6" s="87">
        <f t="shared" si="4"/>
        <v>4.2889999999999998E-2</v>
      </c>
      <c r="O6" s="87">
        <f t="shared" si="4"/>
        <v>4.7889999999999995E-2</v>
      </c>
      <c r="P6" s="87">
        <f t="shared" si="4"/>
        <v>5.2889999999999993E-2</v>
      </c>
      <c r="Q6" s="87">
        <f t="shared" si="4"/>
        <v>5.788999999999999E-2</v>
      </c>
      <c r="R6" s="87">
        <f t="shared" si="4"/>
        <v>6.2889999999999988E-2</v>
      </c>
      <c r="S6" s="87">
        <f t="shared" si="4"/>
        <v>6.7889999999999992E-2</v>
      </c>
      <c r="T6" s="87">
        <f t="shared" si="4"/>
        <v>7.2889999999999996E-2</v>
      </c>
      <c r="U6" s="87">
        <f t="shared" si="4"/>
        <v>7.7890000000000001E-2</v>
      </c>
      <c r="V6" s="87">
        <f t="shared" si="4"/>
        <v>8.2890000000000005E-2</v>
      </c>
      <c r="W6" s="87">
        <f t="shared" si="4"/>
        <v>8.789000000000001E-2</v>
      </c>
      <c r="X6" s="87">
        <f t="shared" si="4"/>
        <v>9.2890000000000014E-2</v>
      </c>
      <c r="Y6" s="87">
        <f t="shared" si="4"/>
        <v>9.7890000000000019E-2</v>
      </c>
      <c r="Z6" s="87">
        <f t="shared" si="4"/>
        <v>0.10289000000000002</v>
      </c>
      <c r="AA6" s="87">
        <f t="shared" si="4"/>
        <v>0.10789000000000003</v>
      </c>
      <c r="AB6" s="87">
        <f t="shared" si="4"/>
        <v>0.11289000000000003</v>
      </c>
      <c r="AC6" s="87">
        <f t="shared" si="4"/>
        <v>0.11789000000000004</v>
      </c>
      <c r="AD6" s="87">
        <f t="shared" si="4"/>
        <v>0.12289000000000004</v>
      </c>
      <c r="AE6" s="87">
        <f t="shared" si="4"/>
        <v>0.12789000000000003</v>
      </c>
      <c r="AF6" s="87">
        <f t="shared" si="4"/>
        <v>0.13289000000000004</v>
      </c>
      <c r="AG6" s="87">
        <f t="shared" si="4"/>
        <v>0.13789000000000004</v>
      </c>
      <c r="AH6" s="87">
        <f t="shared" si="4"/>
        <v>0.14289000000000004</v>
      </c>
      <c r="AI6" s="87">
        <f t="shared" si="4"/>
        <v>0.14789000000000005</v>
      </c>
      <c r="AJ6" s="87">
        <f t="shared" si="4"/>
        <v>0.15289000000000005</v>
      </c>
      <c r="AK6" s="87">
        <f t="shared" si="4"/>
        <v>0.15789000000000006</v>
      </c>
      <c r="AL6" s="87">
        <f t="shared" si="4"/>
        <v>0.16289000000000006</v>
      </c>
      <c r="AM6" s="87">
        <f t="shared" si="4"/>
        <v>0.16789000000000007</v>
      </c>
      <c r="AN6" s="87">
        <f t="shared" si="4"/>
        <v>0.17289000000000007</v>
      </c>
      <c r="AO6" s="87">
        <f t="shared" si="4"/>
        <v>0.17789000000000008</v>
      </c>
      <c r="AP6" s="87">
        <f t="shared" si="4"/>
        <v>0.18289000000000008</v>
      </c>
      <c r="AQ6" s="87">
        <f t="shared" si="4"/>
        <v>0.18789000000000008</v>
      </c>
    </row>
    <row r="7" spans="1:43" x14ac:dyDescent="0.15">
      <c r="A7" t="s">
        <v>125</v>
      </c>
      <c r="B7">
        <f>C7*2-D7</f>
        <v>4.3760733481295233E-4</v>
      </c>
      <c r="C7" s="87">
        <v>4.5128616403477108E-4</v>
      </c>
      <c r="D7" s="87">
        <v>4.6496499325658983E-4</v>
      </c>
      <c r="E7" s="87">
        <v>4.7864382247840911E-4</v>
      </c>
      <c r="F7" s="87">
        <v>4.9232265170023187E-4</v>
      </c>
      <c r="G7" s="87">
        <v>5.0600148092205116E-4</v>
      </c>
      <c r="H7" s="87">
        <v>5.1968031014387045E-4</v>
      </c>
      <c r="I7" s="87">
        <v>5.3335913936568974E-4</v>
      </c>
      <c r="J7" s="87">
        <v>5.4703796858750903E-4</v>
      </c>
      <c r="K7" s="87">
        <v>5.6071679780933179E-4</v>
      </c>
      <c r="L7" s="87">
        <v>5.7439562703115107E-4</v>
      </c>
      <c r="M7" s="87">
        <v>5.8807445625297036E-4</v>
      </c>
      <c r="N7" s="87">
        <v>6.0175328547478965E-4</v>
      </c>
      <c r="O7" s="87">
        <v>6.1543211469661241E-4</v>
      </c>
      <c r="P7" s="87">
        <v>6.291109439184317E-4</v>
      </c>
      <c r="Q7" s="87">
        <v>6.4278977314025099E-4</v>
      </c>
      <c r="R7" s="87">
        <v>6.5646860236207027E-4</v>
      </c>
      <c r="S7" s="87">
        <v>6.7014743158388956E-4</v>
      </c>
      <c r="T7" s="87">
        <v>6.8382626080571232E-4</v>
      </c>
      <c r="U7" s="87">
        <v>6.9750509002753161E-4</v>
      </c>
      <c r="V7" s="87">
        <v>7.111839192493509E-4</v>
      </c>
      <c r="W7" s="87">
        <v>7.2486274847117019E-4</v>
      </c>
      <c r="X7" s="87">
        <v>7.3854157769298948E-4</v>
      </c>
      <c r="Y7" s="87">
        <v>7.5222040691481223E-4</v>
      </c>
      <c r="Z7" s="87">
        <v>7.6589923613663152E-4</v>
      </c>
      <c r="AA7" s="87">
        <v>7.7957806535845081E-4</v>
      </c>
      <c r="AB7" s="87">
        <v>7.932568945802701E-4</v>
      </c>
      <c r="AC7" s="87">
        <v>8.0693572380209286E-4</v>
      </c>
      <c r="AD7" s="87">
        <v>8.2061455302391215E-4</v>
      </c>
      <c r="AE7" s="87">
        <v>8.3429338224573144E-4</v>
      </c>
      <c r="AF7" s="87">
        <v>8.4797221146755072E-4</v>
      </c>
      <c r="AG7" s="87">
        <v>8.6165104068937001E-4</v>
      </c>
      <c r="AH7" s="87">
        <f t="shared" si="3"/>
        <v>8.7532986991119277E-4</v>
      </c>
      <c r="AI7" s="87">
        <f t="shared" si="3"/>
        <v>8.8900869913301206E-4</v>
      </c>
      <c r="AJ7" s="87">
        <f t="shared" si="3"/>
        <v>9.0268752835483135E-4</v>
      </c>
      <c r="AK7" s="87">
        <f t="shared" si="3"/>
        <v>9.1636635757665064E-4</v>
      </c>
      <c r="AL7" s="87">
        <f t="shared" si="3"/>
        <v>9.3004518679847339E-4</v>
      </c>
      <c r="AM7" s="87">
        <f t="shared" si="3"/>
        <v>9.4372401602029268E-4</v>
      </c>
      <c r="AN7" s="87">
        <f t="shared" si="3"/>
        <v>9.5740284524211197E-4</v>
      </c>
      <c r="AO7" s="87">
        <f t="shared" si="3"/>
        <v>9.7108167446393126E-4</v>
      </c>
      <c r="AP7" s="87">
        <f t="shared" si="3"/>
        <v>9.8476050368575055E-4</v>
      </c>
      <c r="AQ7" s="87">
        <f t="shared" si="3"/>
        <v>9.9843933290757331E-4</v>
      </c>
    </row>
    <row r="8" spans="1:43" x14ac:dyDescent="0.15">
      <c r="A8" t="s">
        <v>126</v>
      </c>
      <c r="B8" cm="1">
        <f t="array" ref="B8:F8">ROUND(TRANSPOSE(Summary!W10:W14),5)</f>
        <v>0</v>
      </c>
      <c r="C8" s="87">
        <v>0</v>
      </c>
      <c r="D8" s="87">
        <v>0</v>
      </c>
      <c r="E8" s="87">
        <v>4.6000000000000001E-4</v>
      </c>
      <c r="F8" s="87">
        <v>1.1900000000000001E-3</v>
      </c>
      <c r="G8" s="87">
        <f>AVERAGE(F8,H8)</f>
        <v>2.0950000000000001E-3</v>
      </c>
      <c r="H8" s="87">
        <f>0.3/100</f>
        <v>3.0000000000000001E-3</v>
      </c>
      <c r="I8" s="87">
        <f>($M$8-$H$8)/5+H8</f>
        <v>4.4000000000000003E-3</v>
      </c>
      <c r="J8" s="87">
        <f t="shared" ref="J8:L8" si="5">($M$8-$H$8)/5+I8</f>
        <v>5.8000000000000005E-3</v>
      </c>
      <c r="K8" s="87">
        <f t="shared" si="5"/>
        <v>7.2000000000000007E-3</v>
      </c>
      <c r="L8" s="87">
        <f t="shared" si="5"/>
        <v>8.6E-3</v>
      </c>
      <c r="M8" s="87">
        <v>0.01</v>
      </c>
      <c r="N8" s="87">
        <f>($W$8-$M$8)/10+M8</f>
        <v>1.4E-2</v>
      </c>
      <c r="O8" s="87">
        <f t="shared" ref="O8:V8" si="6">($W$8-$M$8)/10+N8</f>
        <v>1.8000000000000002E-2</v>
      </c>
      <c r="P8" s="87">
        <f t="shared" si="6"/>
        <v>2.2000000000000002E-2</v>
      </c>
      <c r="Q8" s="87">
        <f t="shared" si="6"/>
        <v>2.6000000000000002E-2</v>
      </c>
      <c r="R8" s="87">
        <f t="shared" si="6"/>
        <v>3.0000000000000002E-2</v>
      </c>
      <c r="S8" s="87">
        <f t="shared" si="6"/>
        <v>3.4000000000000002E-2</v>
      </c>
      <c r="T8" s="87">
        <f t="shared" si="6"/>
        <v>3.8000000000000006E-2</v>
      </c>
      <c r="U8" s="87">
        <f t="shared" si="6"/>
        <v>4.200000000000001E-2</v>
      </c>
      <c r="V8" s="87">
        <f t="shared" si="6"/>
        <v>4.6000000000000013E-2</v>
      </c>
      <c r="W8" s="87">
        <v>0.05</v>
      </c>
      <c r="X8" s="87">
        <f t="shared" ref="X8:AQ8" si="7">MIN(W8+0.005,0.3)</f>
        <v>5.5E-2</v>
      </c>
      <c r="Y8" s="87">
        <f t="shared" si="7"/>
        <v>0.06</v>
      </c>
      <c r="Z8" s="87">
        <f t="shared" si="7"/>
        <v>6.5000000000000002E-2</v>
      </c>
      <c r="AA8" s="87">
        <f t="shared" si="7"/>
        <v>7.0000000000000007E-2</v>
      </c>
      <c r="AB8" s="87">
        <f t="shared" si="7"/>
        <v>7.5000000000000011E-2</v>
      </c>
      <c r="AC8" s="87">
        <f t="shared" si="7"/>
        <v>8.0000000000000016E-2</v>
      </c>
      <c r="AD8" s="87">
        <f t="shared" si="7"/>
        <v>8.500000000000002E-2</v>
      </c>
      <c r="AE8" s="87">
        <f t="shared" si="7"/>
        <v>9.0000000000000024E-2</v>
      </c>
      <c r="AF8" s="87">
        <f t="shared" si="7"/>
        <v>9.5000000000000029E-2</v>
      </c>
      <c r="AG8" s="87">
        <f t="shared" si="7"/>
        <v>0.10000000000000003</v>
      </c>
      <c r="AH8" s="87">
        <f t="shared" si="7"/>
        <v>0.10500000000000004</v>
      </c>
      <c r="AI8" s="87">
        <f t="shared" si="7"/>
        <v>0.11000000000000004</v>
      </c>
      <c r="AJ8" s="87">
        <f t="shared" si="7"/>
        <v>0.11500000000000005</v>
      </c>
      <c r="AK8" s="87">
        <f t="shared" si="7"/>
        <v>0.12000000000000005</v>
      </c>
      <c r="AL8" s="87">
        <f t="shared" si="7"/>
        <v>0.12500000000000006</v>
      </c>
      <c r="AM8" s="87">
        <f t="shared" si="7"/>
        <v>0.13000000000000006</v>
      </c>
      <c r="AN8" s="87">
        <f t="shared" si="7"/>
        <v>0.13500000000000006</v>
      </c>
      <c r="AO8" s="87">
        <f t="shared" si="7"/>
        <v>0.14000000000000007</v>
      </c>
      <c r="AP8" s="87">
        <f t="shared" si="7"/>
        <v>0.14500000000000007</v>
      </c>
      <c r="AQ8" s="87">
        <f t="shared" si="7"/>
        <v>0.15000000000000008</v>
      </c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Q8"/>
  <sheetViews>
    <sheetView workbookViewId="0">
      <selection activeCell="K26" sqref="K26"/>
    </sheetView>
    <sheetView workbookViewId="1">
      <selection activeCell="C8" sqref="C8:F8"/>
    </sheetView>
  </sheetViews>
  <sheetFormatPr defaultColWidth="9.125" defaultRowHeight="12.9" x14ac:dyDescent="0.15"/>
  <cols>
    <col min="1" max="2" width="24.5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 cm="1">
        <f t="array" ref="B2:F2">ROUND(TRANSPOSE(Summary!V$16:V$20),5)</f>
        <v>0.4375</v>
      </c>
      <c r="C2" s="87">
        <v>0.47977999999999998</v>
      </c>
      <c r="D2" s="87">
        <v>0.42638999999999999</v>
      </c>
      <c r="E2" s="87">
        <v>0.58026999999999995</v>
      </c>
      <c r="F2" s="87">
        <v>0.34787000000000001</v>
      </c>
      <c r="G2" s="87">
        <f>Data!I23</f>
        <v>0.60110657944227097</v>
      </c>
      <c r="H2" s="87">
        <v>1</v>
      </c>
      <c r="I2" s="87">
        <v>1</v>
      </c>
      <c r="J2" s="87">
        <v>1</v>
      </c>
      <c r="K2" s="87">
        <v>1</v>
      </c>
      <c r="L2" s="87">
        <v>1</v>
      </c>
      <c r="M2" s="87">
        <v>1</v>
      </c>
      <c r="N2" s="87">
        <v>1</v>
      </c>
      <c r="O2" s="87">
        <v>1</v>
      </c>
      <c r="P2" s="87">
        <v>1</v>
      </c>
      <c r="Q2" s="87">
        <v>1</v>
      </c>
      <c r="R2" s="87">
        <v>1</v>
      </c>
      <c r="S2" s="87">
        <v>1</v>
      </c>
      <c r="T2" s="87">
        <v>1</v>
      </c>
      <c r="U2" s="87">
        <v>1</v>
      </c>
      <c r="V2" s="87">
        <v>1</v>
      </c>
      <c r="W2" s="87">
        <v>1</v>
      </c>
      <c r="X2" s="87">
        <v>1</v>
      </c>
      <c r="Y2" s="87">
        <v>1</v>
      </c>
      <c r="Z2" s="87">
        <v>1</v>
      </c>
      <c r="AA2" s="87">
        <v>1</v>
      </c>
      <c r="AB2" s="87">
        <v>1</v>
      </c>
      <c r="AC2" s="87">
        <v>1</v>
      </c>
      <c r="AD2" s="87">
        <v>1</v>
      </c>
      <c r="AE2" s="87">
        <v>1</v>
      </c>
      <c r="AF2" s="87">
        <v>1</v>
      </c>
      <c r="AG2" s="87">
        <v>1</v>
      </c>
      <c r="AH2" s="87">
        <v>1</v>
      </c>
      <c r="AI2" s="87">
        <v>1</v>
      </c>
      <c r="AJ2" s="87">
        <v>1</v>
      </c>
      <c r="AK2" s="87">
        <v>1</v>
      </c>
      <c r="AL2" s="87">
        <v>1</v>
      </c>
      <c r="AM2" s="87">
        <v>1</v>
      </c>
      <c r="AN2" s="87">
        <v>1</v>
      </c>
      <c r="AO2" s="87">
        <v>1</v>
      </c>
      <c r="AP2" s="87">
        <v>1</v>
      </c>
      <c r="AQ2" s="87">
        <v>1</v>
      </c>
    </row>
    <row r="3" spans="1:43" x14ac:dyDescent="0.15">
      <c r="A3" t="s">
        <v>2</v>
      </c>
      <c r="B3" cm="1">
        <f t="array" ref="B3:F3">ROUND(TRANSPOSE(Summary!P$16:P$20),5)</f>
        <v>1.261E-2</v>
      </c>
      <c r="C3" s="87">
        <v>7.8200000000000006E-3</v>
      </c>
      <c r="D3" s="87">
        <v>4.8900000000000002E-3</v>
      </c>
      <c r="E3" s="87">
        <v>4.1000000000000003E-3</v>
      </c>
      <c r="F3" s="87">
        <v>4.5900000000000003E-3</v>
      </c>
      <c r="G3" s="87">
        <f>MIN(F3+0.01,1)</f>
        <v>1.4590000000000001E-2</v>
      </c>
      <c r="H3" s="87">
        <f t="shared" ref="H3:AQ3" si="0">MIN(G3+0.01,1)</f>
        <v>2.4590000000000001E-2</v>
      </c>
      <c r="I3" s="87">
        <f t="shared" si="0"/>
        <v>3.4590000000000003E-2</v>
      </c>
      <c r="J3" s="87">
        <f t="shared" si="0"/>
        <v>4.4590000000000005E-2</v>
      </c>
      <c r="K3" s="87">
        <f t="shared" si="0"/>
        <v>5.4590000000000007E-2</v>
      </c>
      <c r="L3" s="87">
        <f t="shared" si="0"/>
        <v>6.4590000000000009E-2</v>
      </c>
      <c r="M3" s="87">
        <f t="shared" si="0"/>
        <v>7.4590000000000004E-2</v>
      </c>
      <c r="N3" s="87">
        <f t="shared" si="0"/>
        <v>8.4589999999999999E-2</v>
      </c>
      <c r="O3" s="87">
        <f t="shared" si="0"/>
        <v>9.4589999999999994E-2</v>
      </c>
      <c r="P3" s="87">
        <f t="shared" si="0"/>
        <v>0.10458999999999999</v>
      </c>
      <c r="Q3" s="87">
        <f t="shared" si="0"/>
        <v>0.11458999999999998</v>
      </c>
      <c r="R3" s="87">
        <f t="shared" si="0"/>
        <v>0.12458999999999998</v>
      </c>
      <c r="S3" s="87">
        <f t="shared" si="0"/>
        <v>0.13458999999999999</v>
      </c>
      <c r="T3" s="87">
        <f t="shared" si="0"/>
        <v>0.14459</v>
      </c>
      <c r="U3" s="87">
        <f t="shared" si="0"/>
        <v>0.15459000000000001</v>
      </c>
      <c r="V3" s="87">
        <f t="shared" si="0"/>
        <v>0.16459000000000001</v>
      </c>
      <c r="W3" s="87">
        <f t="shared" si="0"/>
        <v>0.17459000000000002</v>
      </c>
      <c r="X3" s="87">
        <f t="shared" si="0"/>
        <v>0.18459000000000003</v>
      </c>
      <c r="Y3" s="87">
        <f t="shared" si="0"/>
        <v>0.19459000000000004</v>
      </c>
      <c r="Z3" s="87">
        <f t="shared" si="0"/>
        <v>0.20459000000000005</v>
      </c>
      <c r="AA3" s="87">
        <f t="shared" si="0"/>
        <v>0.21459000000000006</v>
      </c>
      <c r="AB3" s="87">
        <f t="shared" si="0"/>
        <v>0.22459000000000007</v>
      </c>
      <c r="AC3" s="87">
        <f t="shared" si="0"/>
        <v>0.23459000000000008</v>
      </c>
      <c r="AD3" s="87">
        <f t="shared" si="0"/>
        <v>0.24459000000000009</v>
      </c>
      <c r="AE3" s="87">
        <f t="shared" si="0"/>
        <v>0.25459000000000009</v>
      </c>
      <c r="AF3" s="87">
        <f t="shared" si="0"/>
        <v>0.2645900000000001</v>
      </c>
      <c r="AG3" s="87">
        <f t="shared" si="0"/>
        <v>0.27459000000000011</v>
      </c>
      <c r="AH3" s="87">
        <f t="shared" si="0"/>
        <v>0.28459000000000012</v>
      </c>
      <c r="AI3" s="87">
        <f t="shared" si="0"/>
        <v>0.29459000000000013</v>
      </c>
      <c r="AJ3" s="87">
        <f t="shared" si="0"/>
        <v>0.30459000000000014</v>
      </c>
      <c r="AK3" s="87">
        <f t="shared" si="0"/>
        <v>0.31459000000000015</v>
      </c>
      <c r="AL3" s="87">
        <f t="shared" si="0"/>
        <v>0.32459000000000016</v>
      </c>
      <c r="AM3" s="87">
        <f t="shared" si="0"/>
        <v>0.33459000000000017</v>
      </c>
      <c r="AN3" s="87">
        <f t="shared" si="0"/>
        <v>0.34459000000000017</v>
      </c>
      <c r="AO3" s="87">
        <f t="shared" si="0"/>
        <v>0.35459000000000018</v>
      </c>
      <c r="AP3" s="87">
        <f t="shared" si="0"/>
        <v>0.36459000000000019</v>
      </c>
      <c r="AQ3" s="87">
        <f t="shared" si="0"/>
        <v>0.3745900000000002</v>
      </c>
    </row>
    <row r="4" spans="1:43" x14ac:dyDescent="0.15">
      <c r="A4" t="s">
        <v>3</v>
      </c>
      <c r="B4" cm="1">
        <f t="array" ref="B4:F4">ROUND(TRANSPOSE(Summary!N$16:N$20),5)</f>
        <v>9.2689999999999995E-2</v>
      </c>
      <c r="C4" s="87">
        <v>7.9439999999999997E-2</v>
      </c>
      <c r="D4" s="87">
        <v>0.11429</v>
      </c>
      <c r="E4" s="87">
        <v>7.6200000000000004E-2</v>
      </c>
      <c r="F4" s="87">
        <v>8.0560000000000007E-2</v>
      </c>
      <c r="G4" s="87">
        <v>8.6513439691976224E-2</v>
      </c>
      <c r="H4" s="87">
        <v>8.3185999703823121E-2</v>
      </c>
      <c r="I4" s="87">
        <v>7.9858559715670019E-2</v>
      </c>
      <c r="J4" s="87">
        <v>7.6531119727516916E-2</v>
      </c>
      <c r="K4" s="87">
        <v>7.3203679739364702E-2</v>
      </c>
      <c r="L4" s="87">
        <v>6.98762397512116E-2</v>
      </c>
      <c r="M4" s="87">
        <v>6.6548799763058497E-2</v>
      </c>
      <c r="N4" s="87">
        <v>6.3221359774905395E-2</v>
      </c>
      <c r="O4" s="87">
        <v>5.989391978675318E-2</v>
      </c>
      <c r="P4" s="87">
        <v>5.6566479798600078E-2</v>
      </c>
      <c r="Q4" s="87">
        <v>5.3239039810446975E-2</v>
      </c>
      <c r="R4" s="87">
        <v>4.9911599822293873E-2</v>
      </c>
      <c r="S4" s="87">
        <v>4.658415983414077E-2</v>
      </c>
      <c r="T4" s="87">
        <v>4.3256719845988556E-2</v>
      </c>
      <c r="U4" s="87">
        <v>3.9929279857835454E-2</v>
      </c>
      <c r="V4" s="87">
        <v>3.6601839869682351E-2</v>
      </c>
      <c r="W4" s="87">
        <v>3.3274399881529249E-2</v>
      </c>
      <c r="X4" s="87">
        <v>2.9946959893376146E-2</v>
      </c>
      <c r="Y4" s="87">
        <v>2.6619519905223932E-2</v>
      </c>
      <c r="Z4" s="87">
        <v>2.3292079917070829E-2</v>
      </c>
      <c r="AA4" s="87">
        <v>1.9964639928917727E-2</v>
      </c>
      <c r="AB4" s="87">
        <v>1.6637199940764624E-2</v>
      </c>
      <c r="AC4" s="87">
        <v>1.330975995261241E-2</v>
      </c>
      <c r="AD4" s="87">
        <v>9.9823199644593075E-3</v>
      </c>
      <c r="AE4" s="87">
        <v>6.654879976306205E-3</v>
      </c>
      <c r="AF4" s="87">
        <v>3.3274399881531025E-3</v>
      </c>
      <c r="AG4" s="87">
        <v>0</v>
      </c>
      <c r="AH4" s="87">
        <f t="shared" ref="AH4:AQ5" si="1">MAX(MIN(TREND($W4:$AG4,$W$1:$AG$1,AH$1),1),0)</f>
        <v>0</v>
      </c>
      <c r="AI4" s="87">
        <f t="shared" si="1"/>
        <v>0</v>
      </c>
      <c r="AJ4" s="87">
        <f t="shared" si="1"/>
        <v>0</v>
      </c>
      <c r="AK4" s="87">
        <f t="shared" si="1"/>
        <v>0</v>
      </c>
      <c r="AL4" s="87">
        <f t="shared" si="1"/>
        <v>0</v>
      </c>
      <c r="AM4" s="87">
        <f t="shared" si="1"/>
        <v>0</v>
      </c>
      <c r="AN4" s="87">
        <f t="shared" si="1"/>
        <v>0</v>
      </c>
      <c r="AO4" s="87">
        <f t="shared" si="1"/>
        <v>0</v>
      </c>
      <c r="AP4" s="87">
        <f t="shared" si="1"/>
        <v>0</v>
      </c>
      <c r="AQ4" s="87">
        <f t="shared" si="1"/>
        <v>0</v>
      </c>
    </row>
    <row r="5" spans="1:43" x14ac:dyDescent="0.15">
      <c r="A5" t="s">
        <v>4</v>
      </c>
      <c r="B5">
        <v>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1</v>
      </c>
      <c r="I5" s="87">
        <v>1</v>
      </c>
      <c r="J5" s="87">
        <v>1</v>
      </c>
      <c r="K5" s="87">
        <v>1</v>
      </c>
      <c r="L5" s="87">
        <v>1</v>
      </c>
      <c r="M5" s="87">
        <v>1</v>
      </c>
      <c r="N5" s="87">
        <v>1</v>
      </c>
      <c r="O5" s="87">
        <v>1</v>
      </c>
      <c r="P5" s="87">
        <v>1</v>
      </c>
      <c r="Q5" s="87">
        <v>1</v>
      </c>
      <c r="R5" s="87">
        <v>1</v>
      </c>
      <c r="S5" s="87">
        <v>1</v>
      </c>
      <c r="T5" s="87">
        <v>1</v>
      </c>
      <c r="U5" s="87">
        <v>1</v>
      </c>
      <c r="V5" s="87">
        <v>1</v>
      </c>
      <c r="W5" s="87">
        <v>1</v>
      </c>
      <c r="X5" s="87">
        <v>1</v>
      </c>
      <c r="Y5" s="87">
        <v>1</v>
      </c>
      <c r="Z5" s="87">
        <v>1</v>
      </c>
      <c r="AA5" s="87">
        <v>1</v>
      </c>
      <c r="AB5" s="87">
        <v>1</v>
      </c>
      <c r="AC5" s="87">
        <v>1</v>
      </c>
      <c r="AD5" s="87">
        <v>1</v>
      </c>
      <c r="AE5" s="87">
        <v>1</v>
      </c>
      <c r="AF5" s="87">
        <v>1</v>
      </c>
      <c r="AG5" s="87">
        <v>1</v>
      </c>
      <c r="AH5" s="87">
        <f t="shared" si="1"/>
        <v>1</v>
      </c>
      <c r="AI5" s="87">
        <f t="shared" si="1"/>
        <v>1</v>
      </c>
      <c r="AJ5" s="87">
        <f t="shared" si="1"/>
        <v>1</v>
      </c>
      <c r="AK5" s="87">
        <f t="shared" si="1"/>
        <v>1</v>
      </c>
      <c r="AL5" s="87">
        <f t="shared" si="1"/>
        <v>1</v>
      </c>
      <c r="AM5" s="87">
        <f t="shared" si="1"/>
        <v>1</v>
      </c>
      <c r="AN5" s="87">
        <f t="shared" si="1"/>
        <v>1</v>
      </c>
      <c r="AO5" s="87">
        <f t="shared" si="1"/>
        <v>1</v>
      </c>
      <c r="AP5" s="87">
        <f t="shared" si="1"/>
        <v>1</v>
      </c>
      <c r="AQ5" s="87">
        <f t="shared" si="1"/>
        <v>1</v>
      </c>
    </row>
    <row r="6" spans="1:43" x14ac:dyDescent="0.15">
      <c r="A6" t="s">
        <v>5</v>
      </c>
      <c r="B6" cm="1">
        <f t="array" ref="B6:F6">ROUND(TRANSPOSE(Summary!X$16:X$20),5)</f>
        <v>2.605E-2</v>
      </c>
      <c r="C6" s="87">
        <v>4.3430000000000003E-2</v>
      </c>
      <c r="D6" s="87">
        <v>1.137E-2</v>
      </c>
      <c r="E6" s="87">
        <v>1.933E-2</v>
      </c>
      <c r="F6" s="87">
        <v>1.61E-2</v>
      </c>
      <c r="G6" s="87">
        <f>MAX(F6-MAX(F6*20%,0.1%),0)</f>
        <v>1.2879999999999999E-2</v>
      </c>
      <c r="H6" s="87">
        <f t="shared" ref="H6:AQ6" si="2">MAX(G6-MAX(G6*20%,0.1%),0)</f>
        <v>1.0303999999999999E-2</v>
      </c>
      <c r="I6" s="87">
        <f t="shared" si="2"/>
        <v>8.2431999999999991E-3</v>
      </c>
      <c r="J6" s="87">
        <f t="shared" si="2"/>
        <v>6.5945599999999993E-3</v>
      </c>
      <c r="K6" s="87">
        <f t="shared" si="2"/>
        <v>5.2756479999999991E-3</v>
      </c>
      <c r="L6" s="87">
        <f t="shared" si="2"/>
        <v>4.2205183999999996E-3</v>
      </c>
      <c r="M6" s="87">
        <f t="shared" si="2"/>
        <v>3.2205183999999996E-3</v>
      </c>
      <c r="N6" s="87">
        <f t="shared" si="2"/>
        <v>2.2205183999999996E-3</v>
      </c>
      <c r="O6" s="87">
        <f t="shared" si="2"/>
        <v>1.2205183999999996E-3</v>
      </c>
      <c r="P6" s="87">
        <f t="shared" si="2"/>
        <v>2.2051839999999955E-4</v>
      </c>
      <c r="Q6" s="87">
        <f t="shared" si="2"/>
        <v>0</v>
      </c>
      <c r="R6" s="87">
        <f t="shared" si="2"/>
        <v>0</v>
      </c>
      <c r="S6" s="87">
        <f t="shared" si="2"/>
        <v>0</v>
      </c>
      <c r="T6" s="87">
        <f t="shared" si="2"/>
        <v>0</v>
      </c>
      <c r="U6" s="87">
        <f t="shared" si="2"/>
        <v>0</v>
      </c>
      <c r="V6" s="87">
        <f t="shared" si="2"/>
        <v>0</v>
      </c>
      <c r="W6" s="87">
        <f t="shared" si="2"/>
        <v>0</v>
      </c>
      <c r="X6" s="87">
        <f t="shared" si="2"/>
        <v>0</v>
      </c>
      <c r="Y6" s="87">
        <f t="shared" si="2"/>
        <v>0</v>
      </c>
      <c r="Z6" s="87">
        <f t="shared" si="2"/>
        <v>0</v>
      </c>
      <c r="AA6" s="87">
        <f t="shared" si="2"/>
        <v>0</v>
      </c>
      <c r="AB6" s="87">
        <f t="shared" si="2"/>
        <v>0</v>
      </c>
      <c r="AC6" s="87">
        <f t="shared" si="2"/>
        <v>0</v>
      </c>
      <c r="AD6" s="87">
        <f t="shared" si="2"/>
        <v>0</v>
      </c>
      <c r="AE6" s="87">
        <f t="shared" si="2"/>
        <v>0</v>
      </c>
      <c r="AF6" s="87">
        <f t="shared" si="2"/>
        <v>0</v>
      </c>
      <c r="AG6" s="87">
        <f t="shared" si="2"/>
        <v>0</v>
      </c>
      <c r="AH6" s="87">
        <f t="shared" si="2"/>
        <v>0</v>
      </c>
      <c r="AI6" s="87">
        <f t="shared" si="2"/>
        <v>0</v>
      </c>
      <c r="AJ6" s="87">
        <f t="shared" si="2"/>
        <v>0</v>
      </c>
      <c r="AK6" s="87">
        <f t="shared" si="2"/>
        <v>0</v>
      </c>
      <c r="AL6" s="87">
        <f t="shared" si="2"/>
        <v>0</v>
      </c>
      <c r="AM6" s="87">
        <f t="shared" si="2"/>
        <v>0</v>
      </c>
      <c r="AN6" s="87">
        <f t="shared" si="2"/>
        <v>0</v>
      </c>
      <c r="AO6" s="87">
        <f t="shared" si="2"/>
        <v>0</v>
      </c>
      <c r="AP6" s="87">
        <f t="shared" si="2"/>
        <v>0</v>
      </c>
      <c r="AQ6" s="87">
        <f t="shared" si="2"/>
        <v>0</v>
      </c>
    </row>
    <row r="7" spans="1:43" x14ac:dyDescent="0.15">
      <c r="A7" t="s">
        <v>125</v>
      </c>
      <c r="B7">
        <v>0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0</v>
      </c>
      <c r="Y7" s="87">
        <v>0</v>
      </c>
      <c r="Z7" s="87">
        <v>0</v>
      </c>
      <c r="AA7" s="87">
        <v>0</v>
      </c>
      <c r="AB7" s="87">
        <v>0</v>
      </c>
      <c r="AC7" s="87">
        <v>0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0</v>
      </c>
      <c r="AN7" s="87">
        <v>0</v>
      </c>
      <c r="AO7" s="87">
        <v>0</v>
      </c>
      <c r="AP7" s="87">
        <v>0</v>
      </c>
      <c r="AQ7" s="87">
        <v>0</v>
      </c>
    </row>
    <row r="8" spans="1:43" x14ac:dyDescent="0.15">
      <c r="A8" t="s">
        <v>126</v>
      </c>
      <c r="B8" cm="1">
        <f t="array" ref="B8:F8">ROUND(TRANSPOSE(Summary!W$16:W$20),5)</f>
        <v>7.1199999999999996E-3</v>
      </c>
      <c r="C8" s="87">
        <v>1.162E-2</v>
      </c>
      <c r="D8" s="87">
        <v>9.7000000000000003E-3</v>
      </c>
      <c r="E8" s="87">
        <v>1.486E-2</v>
      </c>
      <c r="F8" s="87">
        <v>1.6320000000000001E-2</v>
      </c>
      <c r="G8" s="87">
        <f>($R$8-$F$8)/12+F8</f>
        <v>3.1626666666666671E-2</v>
      </c>
      <c r="H8" s="87">
        <f t="shared" ref="H8:Q8" si="3">($R$8-$F$8)/12+G8</f>
        <v>4.6933333333333341E-2</v>
      </c>
      <c r="I8" s="87">
        <f t="shared" si="3"/>
        <v>6.2240000000000011E-2</v>
      </c>
      <c r="J8" s="87">
        <f t="shared" si="3"/>
        <v>7.754666666666668E-2</v>
      </c>
      <c r="K8" s="87">
        <f t="shared" si="3"/>
        <v>9.2853333333333343E-2</v>
      </c>
      <c r="L8" s="87">
        <f t="shared" si="3"/>
        <v>0.10816000000000001</v>
      </c>
      <c r="M8" s="87">
        <f t="shared" si="3"/>
        <v>0.12346666666666667</v>
      </c>
      <c r="N8" s="87">
        <f t="shared" si="3"/>
        <v>0.13877333333333333</v>
      </c>
      <c r="O8" s="87">
        <f t="shared" si="3"/>
        <v>0.15407999999999999</v>
      </c>
      <c r="P8" s="87">
        <f t="shared" si="3"/>
        <v>0.16938666666666666</v>
      </c>
      <c r="Q8" s="87">
        <f t="shared" si="3"/>
        <v>0.18469333333333332</v>
      </c>
      <c r="R8" s="87">
        <v>0.2</v>
      </c>
      <c r="S8" s="87">
        <f>($AG$8-$R$8)/15+R8</f>
        <v>0.21333333333333335</v>
      </c>
      <c r="T8" s="87">
        <f t="shared" ref="T8:AF8" si="4">($AG$8-$R$8)/15+S8</f>
        <v>0.22666666666666668</v>
      </c>
      <c r="U8" s="87">
        <f t="shared" si="4"/>
        <v>0.24000000000000002</v>
      </c>
      <c r="V8" s="87">
        <f t="shared" si="4"/>
        <v>0.25333333333333335</v>
      </c>
      <c r="W8" s="87">
        <f t="shared" si="4"/>
        <v>0.26666666666666666</v>
      </c>
      <c r="X8" s="87">
        <f t="shared" si="4"/>
        <v>0.27999999999999997</v>
      </c>
      <c r="Y8" s="87">
        <f t="shared" si="4"/>
        <v>0.29333333333333328</v>
      </c>
      <c r="Z8" s="87">
        <f t="shared" si="4"/>
        <v>0.30666666666666659</v>
      </c>
      <c r="AA8" s="87">
        <f t="shared" si="4"/>
        <v>0.3199999999999999</v>
      </c>
      <c r="AB8" s="87">
        <f t="shared" si="4"/>
        <v>0.3333333333333332</v>
      </c>
      <c r="AC8" s="87">
        <f t="shared" si="4"/>
        <v>0.34666666666666651</v>
      </c>
      <c r="AD8" s="87">
        <f t="shared" si="4"/>
        <v>0.35999999999999982</v>
      </c>
      <c r="AE8" s="87">
        <f t="shared" si="4"/>
        <v>0.37333333333333313</v>
      </c>
      <c r="AF8" s="87">
        <f t="shared" si="4"/>
        <v>0.38666666666666644</v>
      </c>
      <c r="AG8" s="87">
        <v>0.4</v>
      </c>
      <c r="AH8" s="87">
        <f t="shared" ref="AH8:AQ8" si="5">MIN(AG8+0.01,1)</f>
        <v>0.41000000000000003</v>
      </c>
      <c r="AI8" s="87">
        <f t="shared" si="5"/>
        <v>0.42000000000000004</v>
      </c>
      <c r="AJ8" s="87">
        <f t="shared" si="5"/>
        <v>0.43000000000000005</v>
      </c>
      <c r="AK8" s="87">
        <f t="shared" si="5"/>
        <v>0.44000000000000006</v>
      </c>
      <c r="AL8" s="87">
        <f t="shared" si="5"/>
        <v>0.45000000000000007</v>
      </c>
      <c r="AM8" s="87">
        <f t="shared" si="5"/>
        <v>0.46000000000000008</v>
      </c>
      <c r="AN8" s="87">
        <f t="shared" si="5"/>
        <v>0.47000000000000008</v>
      </c>
      <c r="AO8" s="87">
        <f t="shared" si="5"/>
        <v>0.48000000000000009</v>
      </c>
      <c r="AP8" s="87">
        <f t="shared" si="5"/>
        <v>0.4900000000000001</v>
      </c>
      <c r="AQ8" s="87">
        <f t="shared" si="5"/>
        <v>0.50000000000000011</v>
      </c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Q8"/>
  <sheetViews>
    <sheetView workbookViewId="0">
      <selection activeCell="G2" sqref="G2"/>
    </sheetView>
    <sheetView workbookViewId="1">
      <selection activeCell="F12" sqref="F12"/>
    </sheetView>
  </sheetViews>
  <sheetFormatPr defaultColWidth="9.125" defaultRowHeight="12.9" x14ac:dyDescent="0.15"/>
  <cols>
    <col min="1" max="2" width="24.5" customWidth="1"/>
    <col min="6" max="7" width="12.75" bestFit="1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 cm="1">
        <f t="array" ref="B2:F2">ROUND(TRANSPOSE(Summary!V$4:V$8),5)</f>
        <v>4.7099999999999998E-3</v>
      </c>
      <c r="C2" s="87">
        <v>2.4499999999999999E-3</v>
      </c>
      <c r="D2" s="87">
        <v>7.2300000000000003E-3</v>
      </c>
      <c r="E2" s="87">
        <v>4.453E-2</v>
      </c>
      <c r="F2" s="87">
        <v>4.7719999999999999E-2</v>
      </c>
      <c r="G2" s="87">
        <f>Data!I$30</f>
        <v>5.7359237416033507E-2</v>
      </c>
      <c r="H2" s="87">
        <f>Data!J$30</f>
        <v>6.0663854141308773E-2</v>
      </c>
      <c r="I2" s="87">
        <f>($R$2-$H$2)/10+H2</f>
        <v>9.4597468727177891E-2</v>
      </c>
      <c r="J2" s="87">
        <f t="shared" ref="J2:Q2" si="0">($R$2-$H$2)/10+I2</f>
        <v>0.12853108331304702</v>
      </c>
      <c r="K2" s="87">
        <f t="shared" si="0"/>
        <v>0.16246469789891615</v>
      </c>
      <c r="L2" s="87">
        <f t="shared" si="0"/>
        <v>0.19639831248478529</v>
      </c>
      <c r="M2" s="87">
        <f t="shared" si="0"/>
        <v>0.23033192707065442</v>
      </c>
      <c r="N2" s="87">
        <f t="shared" si="0"/>
        <v>0.26426554165652355</v>
      </c>
      <c r="O2" s="87">
        <f t="shared" si="0"/>
        <v>0.29819915624239268</v>
      </c>
      <c r="P2" s="87">
        <f t="shared" si="0"/>
        <v>0.33213277082826181</v>
      </c>
      <c r="Q2" s="87">
        <f t="shared" si="0"/>
        <v>0.36606638541413095</v>
      </c>
      <c r="R2" s="87">
        <v>0.4</v>
      </c>
      <c r="S2" s="87">
        <f>($AG$2-$R$2)/15+R2</f>
        <v>0.44</v>
      </c>
      <c r="T2" s="87">
        <f t="shared" ref="T2:AF2" si="1">($AG$2-$R$2)/15+S2</f>
        <v>0.48</v>
      </c>
      <c r="U2" s="87">
        <f t="shared" si="1"/>
        <v>0.52</v>
      </c>
      <c r="V2" s="87">
        <f t="shared" si="1"/>
        <v>0.56000000000000005</v>
      </c>
      <c r="W2" s="87">
        <f t="shared" si="1"/>
        <v>0.60000000000000009</v>
      </c>
      <c r="X2" s="87">
        <f t="shared" si="1"/>
        <v>0.64000000000000012</v>
      </c>
      <c r="Y2" s="87">
        <f t="shared" si="1"/>
        <v>0.68000000000000016</v>
      </c>
      <c r="Z2" s="87">
        <f t="shared" si="1"/>
        <v>0.7200000000000002</v>
      </c>
      <c r="AA2" s="87">
        <f t="shared" si="1"/>
        <v>0.76000000000000023</v>
      </c>
      <c r="AB2" s="87">
        <f t="shared" si="1"/>
        <v>0.80000000000000027</v>
      </c>
      <c r="AC2" s="87">
        <f t="shared" si="1"/>
        <v>0.8400000000000003</v>
      </c>
      <c r="AD2" s="87">
        <f t="shared" si="1"/>
        <v>0.88000000000000034</v>
      </c>
      <c r="AE2" s="87">
        <f t="shared" si="1"/>
        <v>0.92000000000000037</v>
      </c>
      <c r="AF2" s="87">
        <f t="shared" si="1"/>
        <v>0.96000000000000041</v>
      </c>
      <c r="AG2" s="87">
        <v>1</v>
      </c>
      <c r="AH2" s="87">
        <v>1</v>
      </c>
      <c r="AI2" s="87">
        <v>1</v>
      </c>
      <c r="AJ2" s="87">
        <v>1</v>
      </c>
      <c r="AK2" s="87">
        <v>1</v>
      </c>
      <c r="AL2" s="87">
        <v>1</v>
      </c>
      <c r="AM2" s="87">
        <v>1</v>
      </c>
      <c r="AN2" s="87">
        <v>1</v>
      </c>
      <c r="AO2" s="87">
        <v>1</v>
      </c>
      <c r="AP2" s="87">
        <v>1</v>
      </c>
      <c r="AQ2" s="87">
        <v>1</v>
      </c>
    </row>
    <row r="3" spans="1:43" x14ac:dyDescent="0.15">
      <c r="A3" t="s">
        <v>2</v>
      </c>
      <c r="B3" cm="1">
        <f t="array" ref="B3:F3">ROUND(TRANSPOSE(Summary!P$4:P$8),5)</f>
        <v>9.1819999999999999E-2</v>
      </c>
      <c r="C3" s="87">
        <v>8.516E-2</v>
      </c>
      <c r="D3" s="87">
        <v>3.9199999999999999E-2</v>
      </c>
      <c r="E3" s="87">
        <v>6.948E-2</v>
      </c>
      <c r="F3" s="87">
        <v>0.22600000000000001</v>
      </c>
      <c r="G3" s="87">
        <f>Data!I31</f>
        <v>0.23005152351805214</v>
      </c>
      <c r="H3" s="87">
        <f>Data!J31</f>
        <v>0.23143966492190257</v>
      </c>
      <c r="I3" s="87">
        <f>Data!K31</f>
        <v>0.2332909738072739</v>
      </c>
      <c r="J3" s="87">
        <f>Data!L31</f>
        <v>0.23574987210436979</v>
      </c>
      <c r="K3" s="87">
        <f>Data!M31</f>
        <v>0.23899801411671551</v>
      </c>
      <c r="L3" s="87">
        <f>Data!N31</f>
        <v>0.2432579701587233</v>
      </c>
      <c r="M3" s="87">
        <f>Data!O31</f>
        <v>0.24879251893463494</v>
      </c>
      <c r="N3" s="87">
        <f>Data!P31</f>
        <v>0.25589563861729708</v>
      </c>
      <c r="O3" s="87">
        <f>Data!Q31</f>
        <v>0.26487018706697485</v>
      </c>
      <c r="P3" s="87">
        <f>Data!R31</f>
        <v>0.2759874471860348</v>
      </c>
      <c r="Q3" s="87">
        <f>Data!S31</f>
        <v>0.28942689178124648</v>
      </c>
      <c r="R3" s="87">
        <f>Data!T31</f>
        <v>0.30520231777988549</v>
      </c>
      <c r="S3" s="87">
        <f>Data!U31</f>
        <v>0.32309242569380475</v>
      </c>
      <c r="T3" s="87">
        <f>Data!V31</f>
        <v>0.34260475542856816</v>
      </c>
      <c r="U3" s="87">
        <f>Data!W31</f>
        <v>0.36300174520069806</v>
      </c>
      <c r="V3" s="87">
        <f>Data!X31</f>
        <v>0.38339873497282806</v>
      </c>
      <c r="W3" s="87">
        <f>Data!Y31</f>
        <v>0.40291106470759142</v>
      </c>
      <c r="X3" s="87">
        <f>Data!Z31</f>
        <v>0.42080117262151068</v>
      </c>
      <c r="Y3" s="87">
        <f>Data!AA31</f>
        <v>0.43657659862014964</v>
      </c>
      <c r="Z3" s="87">
        <f>Data!AB31</f>
        <v>0.45001604321536137</v>
      </c>
      <c r="AA3" s="87">
        <f>Data!AC31</f>
        <v>0.46113330333442137</v>
      </c>
      <c r="AB3" s="87">
        <f>Data!AD31</f>
        <v>0.47010785178409908</v>
      </c>
      <c r="AC3" s="87">
        <f>Data!AE31</f>
        <v>0.47721097146676122</v>
      </c>
      <c r="AD3" s="87">
        <f>Data!AF31</f>
        <v>0.48274552024267287</v>
      </c>
      <c r="AE3" s="87">
        <f>Data!AG31</f>
        <v>0.48700547628468066</v>
      </c>
      <c r="AF3" s="87">
        <f>Data!AH31</f>
        <v>0.49025361829702641</v>
      </c>
      <c r="AG3" s="87">
        <v>0.5</v>
      </c>
      <c r="AH3" s="87">
        <v>0.5</v>
      </c>
      <c r="AI3" s="87">
        <v>0.5</v>
      </c>
      <c r="AJ3" s="87">
        <v>0.5</v>
      </c>
      <c r="AK3" s="87">
        <v>0.5</v>
      </c>
      <c r="AL3" s="87">
        <v>0.5</v>
      </c>
      <c r="AM3" s="87">
        <v>0.5</v>
      </c>
      <c r="AN3" s="87">
        <v>0.5</v>
      </c>
      <c r="AO3" s="87">
        <v>0.5</v>
      </c>
      <c r="AP3" s="87">
        <v>0.5</v>
      </c>
      <c r="AQ3" s="87">
        <v>0.5</v>
      </c>
    </row>
    <row r="4" spans="1:43" x14ac:dyDescent="0.15">
      <c r="A4" t="s">
        <v>3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87">
        <v>0</v>
      </c>
      <c r="AH4" s="87">
        <f>MAX(MIN(TREND($W4:$AG4,$W$1:$AG$1,AH$1),1),0)</f>
        <v>0</v>
      </c>
      <c r="AI4" s="87">
        <f t="shared" ref="AI4:AQ5" si="2">MAX(MIN(TREND($W4:$AG4,$W$1:$AG$1,AI$1),1),0)</f>
        <v>0</v>
      </c>
      <c r="AJ4" s="87">
        <f t="shared" si="2"/>
        <v>0</v>
      </c>
      <c r="AK4" s="87">
        <f t="shared" si="2"/>
        <v>0</v>
      </c>
      <c r="AL4" s="87">
        <f t="shared" si="2"/>
        <v>0</v>
      </c>
      <c r="AM4" s="87">
        <f t="shared" si="2"/>
        <v>0</v>
      </c>
      <c r="AN4" s="87">
        <f t="shared" si="2"/>
        <v>0</v>
      </c>
      <c r="AO4" s="87">
        <f t="shared" si="2"/>
        <v>0</v>
      </c>
      <c r="AP4" s="87">
        <f t="shared" si="2"/>
        <v>0</v>
      </c>
      <c r="AQ4" s="87">
        <f t="shared" si="2"/>
        <v>0</v>
      </c>
    </row>
    <row r="5" spans="1:43" x14ac:dyDescent="0.15">
      <c r="A5" t="s">
        <v>4</v>
      </c>
      <c r="B5" s="87">
        <v>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1</v>
      </c>
      <c r="I5" s="87">
        <v>1</v>
      </c>
      <c r="J5" s="87">
        <v>1</v>
      </c>
      <c r="K5" s="87">
        <v>1</v>
      </c>
      <c r="L5" s="87">
        <v>1</v>
      </c>
      <c r="M5" s="87">
        <v>1</v>
      </c>
      <c r="N5" s="87">
        <v>1</v>
      </c>
      <c r="O5" s="87">
        <v>1</v>
      </c>
      <c r="P5" s="87">
        <v>1</v>
      </c>
      <c r="Q5" s="87">
        <v>1</v>
      </c>
      <c r="R5" s="87">
        <v>1</v>
      </c>
      <c r="S5" s="87">
        <v>1</v>
      </c>
      <c r="T5" s="87">
        <v>1</v>
      </c>
      <c r="U5" s="87">
        <v>1</v>
      </c>
      <c r="V5" s="87">
        <v>1</v>
      </c>
      <c r="W5" s="87">
        <v>1</v>
      </c>
      <c r="X5" s="87">
        <v>1</v>
      </c>
      <c r="Y5" s="87">
        <v>1</v>
      </c>
      <c r="Z5" s="87">
        <v>1</v>
      </c>
      <c r="AA5" s="87">
        <v>1</v>
      </c>
      <c r="AB5" s="87">
        <v>1</v>
      </c>
      <c r="AC5" s="87">
        <v>1</v>
      </c>
      <c r="AD5" s="87">
        <v>1</v>
      </c>
      <c r="AE5" s="87">
        <v>1</v>
      </c>
      <c r="AF5" s="87">
        <v>1</v>
      </c>
      <c r="AG5" s="87">
        <v>1</v>
      </c>
      <c r="AH5" s="87">
        <f>MAX(MIN(TREND($W5:$AG5,$W$1:$AG$1,AH$1),1),0)</f>
        <v>1</v>
      </c>
      <c r="AI5" s="87">
        <f t="shared" si="2"/>
        <v>1</v>
      </c>
      <c r="AJ5" s="87">
        <f t="shared" si="2"/>
        <v>1</v>
      </c>
      <c r="AK5" s="87">
        <f t="shared" si="2"/>
        <v>1</v>
      </c>
      <c r="AL5" s="87">
        <f t="shared" si="2"/>
        <v>1</v>
      </c>
      <c r="AM5" s="87">
        <f t="shared" si="2"/>
        <v>1</v>
      </c>
      <c r="AN5" s="87">
        <f t="shared" si="2"/>
        <v>1</v>
      </c>
      <c r="AO5" s="87">
        <f t="shared" si="2"/>
        <v>1</v>
      </c>
      <c r="AP5" s="87">
        <f t="shared" si="2"/>
        <v>1</v>
      </c>
      <c r="AQ5" s="87">
        <f t="shared" si="2"/>
        <v>1</v>
      </c>
    </row>
    <row r="6" spans="1:43" x14ac:dyDescent="0.15">
      <c r="A6" t="s">
        <v>5</v>
      </c>
      <c r="B6">
        <f>2*C6-D6</f>
        <v>1.7846057329683716E-3</v>
      </c>
      <c r="C6" s="87">
        <v>2.1604589258675129E-3</v>
      </c>
      <c r="D6" s="87">
        <v>2.5363121187666543E-3</v>
      </c>
      <c r="E6" s="87">
        <f>'SYVbT-freight'!F$3/SUM('SYVbT-freight'!$B$3:$H$3)</f>
        <v>1.3709749324874554E-4</v>
      </c>
      <c r="F6" s="87">
        <f>MAX(E6-MAX(E6*20%,0.001%),0)</f>
        <v>1.0967799459899642E-4</v>
      </c>
      <c r="G6" s="87">
        <f>MAX(F6-MAX(F6*20%,0.001%),0)</f>
        <v>8.7742395679197145E-5</v>
      </c>
      <c r="H6" s="87">
        <f t="shared" ref="H6:AQ6" si="3">MAX(G6-MAX(G6*20%,0.001%),0)</f>
        <v>7.0193916543357713E-5</v>
      </c>
      <c r="I6" s="87">
        <f t="shared" si="3"/>
        <v>5.6155133234686169E-5</v>
      </c>
      <c r="J6" s="87">
        <f t="shared" si="3"/>
        <v>4.4924106587748934E-5</v>
      </c>
      <c r="K6" s="87">
        <f t="shared" si="3"/>
        <v>3.4924106587748935E-5</v>
      </c>
      <c r="L6" s="87">
        <f t="shared" si="3"/>
        <v>2.4924106587748936E-5</v>
      </c>
      <c r="M6" s="87">
        <f t="shared" si="3"/>
        <v>1.4924106587748935E-5</v>
      </c>
      <c r="N6" s="87">
        <f t="shared" si="3"/>
        <v>4.9241065877489341E-6</v>
      </c>
      <c r="O6" s="87">
        <f t="shared" si="3"/>
        <v>0</v>
      </c>
      <c r="P6" s="87">
        <f t="shared" si="3"/>
        <v>0</v>
      </c>
      <c r="Q6" s="87">
        <f t="shared" si="3"/>
        <v>0</v>
      </c>
      <c r="R6" s="87">
        <f t="shared" si="3"/>
        <v>0</v>
      </c>
      <c r="S6" s="87">
        <f t="shared" si="3"/>
        <v>0</v>
      </c>
      <c r="T6" s="87">
        <f t="shared" si="3"/>
        <v>0</v>
      </c>
      <c r="U6" s="87">
        <f t="shared" si="3"/>
        <v>0</v>
      </c>
      <c r="V6" s="87">
        <f t="shared" si="3"/>
        <v>0</v>
      </c>
      <c r="W6" s="87">
        <f t="shared" si="3"/>
        <v>0</v>
      </c>
      <c r="X6" s="87">
        <f t="shared" si="3"/>
        <v>0</v>
      </c>
      <c r="Y6" s="87">
        <f t="shared" si="3"/>
        <v>0</v>
      </c>
      <c r="Z6" s="87">
        <f t="shared" si="3"/>
        <v>0</v>
      </c>
      <c r="AA6" s="87">
        <f t="shared" si="3"/>
        <v>0</v>
      </c>
      <c r="AB6" s="87">
        <f t="shared" si="3"/>
        <v>0</v>
      </c>
      <c r="AC6" s="87">
        <f t="shared" si="3"/>
        <v>0</v>
      </c>
      <c r="AD6" s="87">
        <f t="shared" si="3"/>
        <v>0</v>
      </c>
      <c r="AE6" s="87">
        <f t="shared" si="3"/>
        <v>0</v>
      </c>
      <c r="AF6" s="87">
        <f t="shared" si="3"/>
        <v>0</v>
      </c>
      <c r="AG6" s="87">
        <f t="shared" si="3"/>
        <v>0</v>
      </c>
      <c r="AH6" s="87">
        <f t="shared" si="3"/>
        <v>0</v>
      </c>
      <c r="AI6" s="87">
        <f t="shared" si="3"/>
        <v>0</v>
      </c>
      <c r="AJ6" s="87">
        <f t="shared" si="3"/>
        <v>0</v>
      </c>
      <c r="AK6" s="87">
        <f t="shared" si="3"/>
        <v>0</v>
      </c>
      <c r="AL6" s="87">
        <f t="shared" si="3"/>
        <v>0</v>
      </c>
      <c r="AM6" s="87">
        <f t="shared" si="3"/>
        <v>0</v>
      </c>
      <c r="AN6" s="87">
        <f t="shared" si="3"/>
        <v>0</v>
      </c>
      <c r="AO6" s="87">
        <f t="shared" si="3"/>
        <v>0</v>
      </c>
      <c r="AP6" s="87">
        <f t="shared" si="3"/>
        <v>0</v>
      </c>
      <c r="AQ6" s="87">
        <f t="shared" si="3"/>
        <v>0</v>
      </c>
    </row>
    <row r="7" spans="1:43" x14ac:dyDescent="0.15">
      <c r="A7" t="s">
        <v>125</v>
      </c>
      <c r="B7" s="87">
        <v>0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0</v>
      </c>
      <c r="Y7" s="87">
        <v>0</v>
      </c>
      <c r="Z7" s="87">
        <v>0</v>
      </c>
      <c r="AA7" s="87">
        <v>0</v>
      </c>
      <c r="AB7" s="87">
        <v>0</v>
      </c>
      <c r="AC7" s="87">
        <v>0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0</v>
      </c>
      <c r="AN7" s="87">
        <v>0</v>
      </c>
      <c r="AO7" s="87">
        <v>0</v>
      </c>
      <c r="AP7" s="87">
        <v>0</v>
      </c>
      <c r="AQ7" s="87">
        <v>0</v>
      </c>
    </row>
    <row r="8" spans="1:43" x14ac:dyDescent="0.15">
      <c r="A8" t="s">
        <v>126</v>
      </c>
      <c r="B8" cm="1">
        <f t="array" ref="B8:F8">ROUND(TRANSPOSE(Summary!W$4:W$8),5)</f>
        <v>1.5900000000000001E-3</v>
      </c>
      <c r="C8" s="87">
        <v>9.0000000000000006E-5</v>
      </c>
      <c r="D8" s="87">
        <v>5.4000000000000001E-4</v>
      </c>
      <c r="E8" s="87">
        <v>5.0200000000000002E-3</v>
      </c>
      <c r="F8" s="87">
        <v>5.5500000000000002E-3</v>
      </c>
      <c r="G8" s="87">
        <f>Data!I36</f>
        <v>1.0639653218664696E-2</v>
      </c>
      <c r="H8" s="87">
        <f>Data!J36</f>
        <v>1.2384727517032575E-2</v>
      </c>
      <c r="I8" s="87">
        <f>Data!K36</f>
        <v>1.4712063583257773E-2</v>
      </c>
      <c r="J8" s="87">
        <f>Data!L36</f>
        <v>1.7803218568376921E-2</v>
      </c>
      <c r="K8" s="87">
        <f>Data!M36</f>
        <v>2.1886555559457826E-2</v>
      </c>
      <c r="L8" s="87">
        <f>Data!N36</f>
        <v>2.7241874391144897E-2</v>
      </c>
      <c r="M8" s="87">
        <f>Data!O36</f>
        <v>3.419952207395071E-2</v>
      </c>
      <c r="N8" s="87">
        <f>Data!P36</f>
        <v>4.3129067408498117E-2</v>
      </c>
      <c r="O8" s="87">
        <f>Data!Q36</f>
        <v>5.4411242117464134E-2</v>
      </c>
      <c r="P8" s="87">
        <f>Data!R36</f>
        <v>6.8387084094534131E-2</v>
      </c>
      <c r="Q8" s="87">
        <f>Data!S36</f>
        <v>8.5282214001609444E-2</v>
      </c>
      <c r="R8" s="87">
        <f>Data!T36</f>
        <v>0.10511397637082374</v>
      </c>
      <c r="S8" s="87">
        <f>($AB$8-$R$8)/10+R8</f>
        <v>0.14460257873374138</v>
      </c>
      <c r="T8" s="87">
        <f t="shared" ref="T8:AA8" si="4">($AB$8-$R$8)/10+S8</f>
        <v>0.18409118109665901</v>
      </c>
      <c r="U8" s="87">
        <f t="shared" si="4"/>
        <v>0.22357978345957663</v>
      </c>
      <c r="V8" s="87">
        <f t="shared" si="4"/>
        <v>0.26306838582249426</v>
      </c>
      <c r="W8" s="87">
        <f t="shared" si="4"/>
        <v>0.30255698818541188</v>
      </c>
      <c r="X8" s="87">
        <f t="shared" si="4"/>
        <v>0.3420455905483295</v>
      </c>
      <c r="Y8" s="87">
        <f t="shared" si="4"/>
        <v>0.38153419291124713</v>
      </c>
      <c r="Z8" s="87">
        <f t="shared" si="4"/>
        <v>0.42102279527416475</v>
      </c>
      <c r="AA8" s="87">
        <f t="shared" si="4"/>
        <v>0.46051139763708238</v>
      </c>
      <c r="AB8" s="87">
        <v>0.5</v>
      </c>
      <c r="AC8" s="87">
        <v>0.5</v>
      </c>
      <c r="AD8" s="87">
        <v>0.5</v>
      </c>
      <c r="AE8" s="87">
        <v>0.5</v>
      </c>
      <c r="AF8" s="87">
        <v>0.5</v>
      </c>
      <c r="AG8" s="87">
        <v>0.5</v>
      </c>
      <c r="AH8" s="87">
        <v>0.5</v>
      </c>
      <c r="AI8" s="87">
        <v>0.5</v>
      </c>
      <c r="AJ8" s="87">
        <v>0.5</v>
      </c>
      <c r="AK8" s="87">
        <v>0.5</v>
      </c>
      <c r="AL8" s="87">
        <v>0.5</v>
      </c>
      <c r="AM8" s="87">
        <v>0.5</v>
      </c>
      <c r="AN8" s="87">
        <v>0.5</v>
      </c>
      <c r="AO8" s="87">
        <v>0.5</v>
      </c>
      <c r="AP8" s="87">
        <v>0.5</v>
      </c>
      <c r="AQ8" s="87">
        <v>0.5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Q8"/>
  <sheetViews>
    <sheetView workbookViewId="0">
      <selection activeCell="L2" sqref="L2"/>
    </sheetView>
    <sheetView workbookViewId="1">
      <selection activeCell="B1" sqref="B1"/>
    </sheetView>
  </sheetViews>
  <sheetFormatPr defaultColWidth="9.125" defaultRowHeight="12.9" x14ac:dyDescent="0.15"/>
  <cols>
    <col min="1" max="2" width="24.5" customWidth="1"/>
  </cols>
  <sheetData>
    <row r="1" spans="1:43" ht="38.75" x14ac:dyDescent="0.15">
      <c r="A1" s="25" t="s">
        <v>128</v>
      </c>
      <c r="B1" s="88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>Data!I43</f>
        <v>2.9548063386546112E-3</v>
      </c>
      <c r="N8">
        <f>Data!J43</f>
        <v>3.9680611468155018E-3</v>
      </c>
      <c r="O8">
        <f>Data!K43</f>
        <v>5.3193987153731734E-3</v>
      </c>
      <c r="P8">
        <f>Data!L43</f>
        <v>7.1142378545272361E-3</v>
      </c>
      <c r="Q8">
        <f>Data!M43</f>
        <v>9.4851746355133562E-3</v>
      </c>
      <c r="R8">
        <f>Data!N43</f>
        <v>1.2594671211399303E-2</v>
      </c>
      <c r="S8">
        <f>Data!O43</f>
        <v>1.6634539298784477E-2</v>
      </c>
      <c r="T8">
        <f>Data!P43</f>
        <v>2.1819364239122584E-2</v>
      </c>
      <c r="U8">
        <f>Data!Q43</f>
        <v>2.8370212980097564E-2</v>
      </c>
      <c r="V8">
        <f>Data!R43</f>
        <v>3.6485104761271273E-2</v>
      </c>
      <c r="W8">
        <f>Data!S43</f>
        <v>4.629504330019648E-2</v>
      </c>
      <c r="X8">
        <f>Data!T43</f>
        <v>5.7810099474999217E-2</v>
      </c>
      <c r="Y8">
        <f>Data!U43</f>
        <v>7.0868738754840913E-2</v>
      </c>
      <c r="Z8">
        <f>Data!V43</f>
        <v>8.5111496637668205E-2</v>
      </c>
      <c r="AA8">
        <f>Data!W43</f>
        <v>0.1</v>
      </c>
      <c r="AB8">
        <f>Data!X43</f>
        <v>0.11488850336233181</v>
      </c>
      <c r="AC8">
        <f>Data!Y43</f>
        <v>0.12913126124515908</v>
      </c>
      <c r="AD8">
        <f>Data!Z43</f>
        <v>0.1421899005250008</v>
      </c>
      <c r="AE8">
        <f>Data!AA43</f>
        <v>0.15370495669980352</v>
      </c>
      <c r="AF8">
        <f>Data!AB43</f>
        <v>0.16351489523872872</v>
      </c>
      <c r="AG8">
        <f>Data!AC43</f>
        <v>0.17162978701990247</v>
      </c>
      <c r="AH8">
        <f>Data!AD43</f>
        <v>0.17818063576087742</v>
      </c>
      <c r="AI8">
        <f>Data!AE43</f>
        <v>0.18336546070121554</v>
      </c>
      <c r="AJ8">
        <f>Data!AF43</f>
        <v>0.18740532878860072</v>
      </c>
      <c r="AK8">
        <f>Data!AG43</f>
        <v>0.19051482536448666</v>
      </c>
      <c r="AL8">
        <f>Data!AH43</f>
        <v>0.19288576214547279</v>
      </c>
      <c r="AM8">
        <f>Data!AI43</f>
        <v>0.19468060128462683</v>
      </c>
      <c r="AN8">
        <f>Data!AJ43</f>
        <v>0.19603193885318451</v>
      </c>
      <c r="AO8">
        <f>Data!AK43</f>
        <v>0.1970451936613454</v>
      </c>
      <c r="AP8">
        <f>Data!AL43</f>
        <v>0.1978026114738814</v>
      </c>
      <c r="AQ8">
        <f>Data!AM43</f>
        <v>0.19836748576936802</v>
      </c>
    </row>
  </sheetData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Q8"/>
  <sheetViews>
    <sheetView workbookViewId="0"/>
    <sheetView workbookViewId="1">
      <selection activeCell="B1" sqref="B1"/>
    </sheetView>
  </sheetViews>
  <sheetFormatPr defaultColWidth="9.125" defaultRowHeight="12.9" x14ac:dyDescent="0.15"/>
  <cols>
    <col min="1" max="2" width="24.5" customWidth="1"/>
  </cols>
  <sheetData>
    <row r="1" spans="1:43" ht="38.75" x14ac:dyDescent="0.15">
      <c r="A1" s="25" t="s">
        <v>128</v>
      </c>
      <c r="B1" s="88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>Data!I50</f>
        <v>2.9548063386546112E-3</v>
      </c>
      <c r="N8">
        <f>Data!J50</f>
        <v>3.9680611468155018E-3</v>
      </c>
      <c r="O8">
        <f>Data!K50</f>
        <v>5.3193987153731734E-3</v>
      </c>
      <c r="P8">
        <f>Data!L50</f>
        <v>7.1142378545272361E-3</v>
      </c>
      <c r="Q8">
        <f>Data!M50</f>
        <v>9.4851746355133562E-3</v>
      </c>
      <c r="R8">
        <f>Data!N50</f>
        <v>1.2594671211399303E-2</v>
      </c>
      <c r="S8">
        <f>Data!O50</f>
        <v>1.6634539298784477E-2</v>
      </c>
      <c r="T8">
        <f>Data!P50</f>
        <v>2.1819364239122584E-2</v>
      </c>
      <c r="U8">
        <f>Data!Q50</f>
        <v>2.8370212980097564E-2</v>
      </c>
      <c r="V8">
        <f>Data!R50</f>
        <v>3.6485104761271273E-2</v>
      </c>
      <c r="W8">
        <f>Data!S50</f>
        <v>4.629504330019648E-2</v>
      </c>
      <c r="X8">
        <f>Data!T50</f>
        <v>5.7810099474999217E-2</v>
      </c>
      <c r="Y8">
        <f>Data!U50</f>
        <v>7.0868738754840913E-2</v>
      </c>
      <c r="Z8">
        <f>Data!V50</f>
        <v>8.5111496637668205E-2</v>
      </c>
      <c r="AA8">
        <f>Data!W50</f>
        <v>0.1</v>
      </c>
      <c r="AB8">
        <f>Data!X50</f>
        <v>0.11488850336233181</v>
      </c>
      <c r="AC8">
        <f>Data!Y50</f>
        <v>0.12913126124515908</v>
      </c>
      <c r="AD8">
        <f>Data!Z50</f>
        <v>0.1421899005250008</v>
      </c>
      <c r="AE8">
        <f>Data!AA50</f>
        <v>0.15370495669980352</v>
      </c>
      <c r="AF8">
        <f>Data!AB50</f>
        <v>0.16351489523872872</v>
      </c>
      <c r="AG8">
        <f>Data!AC50</f>
        <v>0.17162978701990247</v>
      </c>
      <c r="AH8">
        <f>Data!AD50</f>
        <v>0.17818063576087742</v>
      </c>
      <c r="AI8">
        <f>Data!AE50</f>
        <v>0.18336546070121554</v>
      </c>
      <c r="AJ8">
        <f>Data!AF50</f>
        <v>0.18740532878860072</v>
      </c>
      <c r="AK8">
        <f>Data!AG50</f>
        <v>0.19051482536448666</v>
      </c>
      <c r="AL8">
        <f>Data!AH50</f>
        <v>0.19288576214547279</v>
      </c>
      <c r="AM8">
        <f>Data!AI50</f>
        <v>0.19468060128462683</v>
      </c>
      <c r="AN8">
        <f>Data!AJ50</f>
        <v>0.19603193885318451</v>
      </c>
      <c r="AO8">
        <f>Data!AK50</f>
        <v>0.1970451936613454</v>
      </c>
      <c r="AP8">
        <f>Data!AL50</f>
        <v>0.1978026114738814</v>
      </c>
      <c r="AQ8">
        <f>Data!AM50</f>
        <v>0.19836748576936802</v>
      </c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Q8"/>
  <sheetViews>
    <sheetView workbookViewId="0"/>
    <sheetView workbookViewId="1">
      <selection activeCell="C6" sqref="B6:D8"/>
    </sheetView>
  </sheetViews>
  <sheetFormatPr defaultColWidth="9.125" defaultRowHeight="12.9" x14ac:dyDescent="0.15"/>
  <cols>
    <col min="1" max="2" width="24.5" customWidth="1"/>
    <col min="3" max="3" width="9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f>2*C2-D2</f>
        <v>0.74850781966538582</v>
      </c>
      <c r="C2">
        <v>0.75216927859794647</v>
      </c>
      <c r="D2">
        <v>0.75583073753050711</v>
      </c>
      <c r="E2">
        <v>0.75708631588086017</v>
      </c>
      <c r="F2">
        <v>0.75876083070322697</v>
      </c>
      <c r="G2">
        <v>0.76098491209651287</v>
      </c>
      <c r="H2">
        <v>0.76392286696066514</v>
      </c>
      <c r="I2">
        <v>0.76777601085866032</v>
      </c>
      <c r="J2">
        <v>0.77278202797098927</v>
      </c>
      <c r="K2">
        <v>0.77920682249752604</v>
      </c>
      <c r="L2">
        <v>0.78732433034388383</v>
      </c>
      <c r="M2">
        <v>0.79737992776502331</v>
      </c>
      <c r="N2">
        <v>0.80953594849008148</v>
      </c>
      <c r="O2">
        <v>0.82380487188401408</v>
      </c>
      <c r="P2">
        <v>0.83998653185027594</v>
      </c>
      <c r="Q2">
        <v>0.8576354966545553</v>
      </c>
      <c r="R2">
        <v>0.87608463929897318</v>
      </c>
      <c r="S2">
        <v>0.89453378194339117</v>
      </c>
      <c r="T2">
        <v>0.91218274674767053</v>
      </c>
      <c r="U2">
        <v>0.92836440671393228</v>
      </c>
      <c r="V2">
        <v>0.94263333010786499</v>
      </c>
      <c r="W2">
        <v>0.95478935083292327</v>
      </c>
      <c r="X2">
        <v>0.96484494825406264</v>
      </c>
      <c r="Y2">
        <v>0.97296245610042043</v>
      </c>
      <c r="Z2">
        <v>0.9793872506269572</v>
      </c>
      <c r="AA2">
        <v>0.98439326773928615</v>
      </c>
      <c r="AB2">
        <v>0.98824641163728133</v>
      </c>
      <c r="AC2">
        <v>0.9911843665014336</v>
      </c>
      <c r="AD2">
        <v>0.99340844789471949</v>
      </c>
      <c r="AE2">
        <v>0.99508296271708629</v>
      </c>
      <c r="AF2">
        <v>0.99633854106743935</v>
      </c>
      <c r="AG2">
        <v>0.99727709808185716</v>
      </c>
      <c r="AH2">
        <f>MAX(MIN(TREND($W2:$AG2,$W$1:$AG$1,AH$1),1),0)</f>
        <v>1</v>
      </c>
      <c r="AI2">
        <f t="shared" ref="AI2:AQ2" si="0">MAX(MIN(TREND($W2:$AG2,$W$1:$AG$1,AI$1),1),0)</f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1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 t="shared" ref="AH3:AQ8" si="1">MAX(MIN(TREND($W3:$AG3,$W$1:$AG$1,AH$1),1),0)</f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1"/>
        <v>0</v>
      </c>
      <c r="AP3">
        <f t="shared" si="1"/>
        <v>0</v>
      </c>
      <c r="AQ3">
        <f t="shared" si="1"/>
        <v>0</v>
      </c>
    </row>
    <row r="4" spans="1:4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</row>
    <row r="5" spans="1:43" x14ac:dyDescent="0.15">
      <c r="A5" t="s">
        <v>4</v>
      </c>
      <c r="B5">
        <f>2*C5-D5</f>
        <v>0.24783072140205353</v>
      </c>
      <c r="C5">
        <v>0.24783072140205353</v>
      </c>
      <c r="D5">
        <f>C5</f>
        <v>0.24783072140205353</v>
      </c>
      <c r="E5">
        <v>0.29797533997524539</v>
      </c>
      <c r="F5">
        <v>0.32304764926184504</v>
      </c>
      <c r="G5">
        <f>F5</f>
        <v>0.32304764926184504</v>
      </c>
      <c r="H5">
        <f t="shared" ref="H5:AQ5" si="2">G5</f>
        <v>0.32304764926184504</v>
      </c>
      <c r="I5">
        <f t="shared" si="2"/>
        <v>0.32304764926184504</v>
      </c>
      <c r="J5">
        <f t="shared" si="2"/>
        <v>0.32304764926184504</v>
      </c>
      <c r="K5">
        <f t="shared" si="2"/>
        <v>0.32304764926184504</v>
      </c>
      <c r="L5">
        <f t="shared" si="2"/>
        <v>0.32304764926184504</v>
      </c>
      <c r="M5">
        <f t="shared" si="2"/>
        <v>0.32304764926184504</v>
      </c>
      <c r="N5">
        <f t="shared" si="2"/>
        <v>0.32304764926184504</v>
      </c>
      <c r="O5">
        <f t="shared" si="2"/>
        <v>0.32304764926184504</v>
      </c>
      <c r="P5">
        <f t="shared" si="2"/>
        <v>0.32304764926184504</v>
      </c>
      <c r="Q5">
        <f t="shared" si="2"/>
        <v>0.32304764926184504</v>
      </c>
      <c r="R5">
        <f t="shared" si="2"/>
        <v>0.32304764926184504</v>
      </c>
      <c r="S5">
        <f t="shared" si="2"/>
        <v>0.32304764926184504</v>
      </c>
      <c r="T5">
        <f t="shared" si="2"/>
        <v>0.32304764926184504</v>
      </c>
      <c r="U5">
        <f t="shared" si="2"/>
        <v>0.32304764926184504</v>
      </c>
      <c r="V5">
        <f t="shared" si="2"/>
        <v>0.32304764926184504</v>
      </c>
      <c r="W5">
        <f t="shared" si="2"/>
        <v>0.32304764926184504</v>
      </c>
      <c r="X5">
        <f t="shared" si="2"/>
        <v>0.32304764926184504</v>
      </c>
      <c r="Y5">
        <f t="shared" si="2"/>
        <v>0.32304764926184504</v>
      </c>
      <c r="Z5">
        <f t="shared" si="2"/>
        <v>0.32304764926184504</v>
      </c>
      <c r="AA5">
        <f t="shared" si="2"/>
        <v>0.32304764926184504</v>
      </c>
      <c r="AB5">
        <f t="shared" si="2"/>
        <v>0.32304764926184504</v>
      </c>
      <c r="AC5">
        <f t="shared" si="2"/>
        <v>0.32304764926184504</v>
      </c>
      <c r="AD5">
        <f t="shared" si="2"/>
        <v>0.32304764926184504</v>
      </c>
      <c r="AE5">
        <f t="shared" si="2"/>
        <v>0.32304764926184504</v>
      </c>
      <c r="AF5">
        <f t="shared" si="2"/>
        <v>0.32304764926184504</v>
      </c>
      <c r="AG5">
        <f t="shared" si="2"/>
        <v>0.32304764926184504</v>
      </c>
      <c r="AH5">
        <f t="shared" si="2"/>
        <v>0.32304764926184504</v>
      </c>
      <c r="AI5">
        <f t="shared" si="2"/>
        <v>0.32304764926184504</v>
      </c>
      <c r="AJ5">
        <f t="shared" si="2"/>
        <v>0.32304764926184504</v>
      </c>
      <c r="AK5">
        <f t="shared" si="2"/>
        <v>0.32304764926184504</v>
      </c>
      <c r="AL5">
        <f t="shared" si="2"/>
        <v>0.32304764926184504</v>
      </c>
      <c r="AM5">
        <f t="shared" si="2"/>
        <v>0.32304764926184504</v>
      </c>
      <c r="AN5">
        <f t="shared" si="2"/>
        <v>0.32304764926184504</v>
      </c>
      <c r="AO5">
        <f t="shared" si="2"/>
        <v>0.32304764926184504</v>
      </c>
      <c r="AP5">
        <f t="shared" si="2"/>
        <v>0.32304764926184504</v>
      </c>
      <c r="AQ5">
        <f t="shared" si="2"/>
        <v>0.32304764926184504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0</v>
      </c>
      <c r="AO6">
        <f t="shared" si="1"/>
        <v>0</v>
      </c>
      <c r="AP6">
        <f t="shared" si="1"/>
        <v>0</v>
      </c>
      <c r="AQ6">
        <f t="shared" si="1"/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M7">
        <f t="shared" si="1"/>
        <v>0</v>
      </c>
      <c r="AN7">
        <f t="shared" si="1"/>
        <v>0</v>
      </c>
      <c r="AO7">
        <f t="shared" si="1"/>
        <v>0</v>
      </c>
      <c r="AP7">
        <f t="shared" si="1"/>
        <v>0</v>
      </c>
      <c r="AQ7">
        <f t="shared" si="1"/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M8">
        <f t="shared" si="1"/>
        <v>0</v>
      </c>
      <c r="AN8">
        <f t="shared" si="1"/>
        <v>0</v>
      </c>
      <c r="AO8">
        <f t="shared" si="1"/>
        <v>0</v>
      </c>
      <c r="AP8">
        <f t="shared" si="1"/>
        <v>0</v>
      </c>
      <c r="AQ8">
        <f t="shared" si="1"/>
        <v>0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AQ8"/>
  <sheetViews>
    <sheetView workbookViewId="0"/>
    <sheetView workbookViewId="1">
      <selection activeCell="C6" sqref="B6:C8"/>
    </sheetView>
  </sheetViews>
  <sheetFormatPr defaultColWidth="9.125" defaultRowHeight="12.9" x14ac:dyDescent="0.15"/>
  <cols>
    <col min="1" max="2" width="24.5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f>2*C2-D2</f>
        <v>0.75586125354448075</v>
      </c>
      <c r="C2">
        <f>'SYVbT-freight'!B5/('SYVbT-freight'!E5+'SYVbT-freight'!B5)*0.85</f>
        <v>0.76586125354448076</v>
      </c>
      <c r="D2">
        <f>MIN(1,C2+0.01)</f>
        <v>0.77586125354448077</v>
      </c>
      <c r="E2">
        <f t="shared" ref="E2:AQ2" si="0">MIN(1,D2+0.01)</f>
        <v>0.78586125354448078</v>
      </c>
      <c r="F2">
        <f t="shared" si="0"/>
        <v>0.79586125354448078</v>
      </c>
      <c r="G2">
        <f t="shared" si="0"/>
        <v>0.80586125354448079</v>
      </c>
      <c r="H2">
        <f t="shared" si="0"/>
        <v>0.8158612535444808</v>
      </c>
      <c r="I2">
        <f t="shared" si="0"/>
        <v>0.82586125354448081</v>
      </c>
      <c r="J2">
        <f t="shared" si="0"/>
        <v>0.83586125354448082</v>
      </c>
      <c r="K2">
        <f t="shared" si="0"/>
        <v>0.84586125354448083</v>
      </c>
      <c r="L2">
        <f t="shared" si="0"/>
        <v>0.85586125354448084</v>
      </c>
      <c r="M2">
        <f t="shared" si="0"/>
        <v>0.86586125354448085</v>
      </c>
      <c r="N2">
        <f t="shared" si="0"/>
        <v>0.87586125354448086</v>
      </c>
      <c r="O2">
        <f t="shared" si="0"/>
        <v>0.88586125354448086</v>
      </c>
      <c r="P2">
        <f t="shared" si="0"/>
        <v>0.89586125354448087</v>
      </c>
      <c r="Q2">
        <f t="shared" si="0"/>
        <v>0.90586125354448088</v>
      </c>
      <c r="R2">
        <f t="shared" si="0"/>
        <v>0.91586125354448089</v>
      </c>
      <c r="S2">
        <f t="shared" si="0"/>
        <v>0.9258612535444809</v>
      </c>
      <c r="T2">
        <f t="shared" si="0"/>
        <v>0.93586125354448091</v>
      </c>
      <c r="U2">
        <f t="shared" si="0"/>
        <v>0.94586125354448092</v>
      </c>
      <c r="V2">
        <f t="shared" si="0"/>
        <v>0.95586125354448093</v>
      </c>
      <c r="W2">
        <f t="shared" si="0"/>
        <v>0.96586125354448094</v>
      </c>
      <c r="X2">
        <f t="shared" si="0"/>
        <v>0.97586125354448094</v>
      </c>
      <c r="Y2">
        <f t="shared" si="0"/>
        <v>0.98586125354448095</v>
      </c>
      <c r="Z2">
        <f t="shared" si="0"/>
        <v>0.99586125354448096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1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 t="shared" ref="AH3:AQ8" si="1">MAX(MIN(TREND($W3:$AG3,$W$1:$AG$1,AH$1),1),0)</f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1"/>
        <v>0</v>
      </c>
      <c r="AP3">
        <f t="shared" si="1"/>
        <v>0</v>
      </c>
      <c r="AQ3">
        <f t="shared" si="1"/>
        <v>0</v>
      </c>
    </row>
    <row r="4" spans="1:4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</row>
    <row r="5" spans="1:43" x14ac:dyDescent="0.15">
      <c r="A5" t="s">
        <v>4</v>
      </c>
      <c r="B5">
        <f>C5</f>
        <v>0.23413874645551924</v>
      </c>
      <c r="C5">
        <f>1-C2</f>
        <v>0.23413874645551924</v>
      </c>
      <c r="D5">
        <f>C5</f>
        <v>0.23413874645551924</v>
      </c>
      <c r="E5">
        <f t="shared" ref="E5:AQ5" si="2">D5</f>
        <v>0.23413874645551924</v>
      </c>
      <c r="F5">
        <f t="shared" si="2"/>
        <v>0.23413874645551924</v>
      </c>
      <c r="G5">
        <f t="shared" si="2"/>
        <v>0.23413874645551924</v>
      </c>
      <c r="H5">
        <f t="shared" si="2"/>
        <v>0.23413874645551924</v>
      </c>
      <c r="I5">
        <f t="shared" si="2"/>
        <v>0.23413874645551924</v>
      </c>
      <c r="J5">
        <f t="shared" si="2"/>
        <v>0.23413874645551924</v>
      </c>
      <c r="K5">
        <f t="shared" si="2"/>
        <v>0.23413874645551924</v>
      </c>
      <c r="L5">
        <f t="shared" si="2"/>
        <v>0.23413874645551924</v>
      </c>
      <c r="M5">
        <f t="shared" si="2"/>
        <v>0.23413874645551924</v>
      </c>
      <c r="N5">
        <f t="shared" si="2"/>
        <v>0.23413874645551924</v>
      </c>
      <c r="O5">
        <f t="shared" si="2"/>
        <v>0.23413874645551924</v>
      </c>
      <c r="P5">
        <f t="shared" si="2"/>
        <v>0.23413874645551924</v>
      </c>
      <c r="Q5">
        <f t="shared" si="2"/>
        <v>0.23413874645551924</v>
      </c>
      <c r="R5">
        <f t="shared" si="2"/>
        <v>0.23413874645551924</v>
      </c>
      <c r="S5">
        <f t="shared" si="2"/>
        <v>0.23413874645551924</v>
      </c>
      <c r="T5">
        <f t="shared" si="2"/>
        <v>0.23413874645551924</v>
      </c>
      <c r="U5">
        <f t="shared" si="2"/>
        <v>0.23413874645551924</v>
      </c>
      <c r="V5">
        <f t="shared" si="2"/>
        <v>0.23413874645551924</v>
      </c>
      <c r="W5">
        <f t="shared" si="2"/>
        <v>0.23413874645551924</v>
      </c>
      <c r="X5">
        <f t="shared" si="2"/>
        <v>0.23413874645551924</v>
      </c>
      <c r="Y5">
        <f t="shared" si="2"/>
        <v>0.23413874645551924</v>
      </c>
      <c r="Z5">
        <f t="shared" si="2"/>
        <v>0.23413874645551924</v>
      </c>
      <c r="AA5">
        <f t="shared" si="2"/>
        <v>0.23413874645551924</v>
      </c>
      <c r="AB5">
        <f t="shared" si="2"/>
        <v>0.23413874645551924</v>
      </c>
      <c r="AC5">
        <f t="shared" si="2"/>
        <v>0.23413874645551924</v>
      </c>
      <c r="AD5">
        <f t="shared" si="2"/>
        <v>0.23413874645551924</v>
      </c>
      <c r="AE5">
        <f t="shared" si="2"/>
        <v>0.23413874645551924</v>
      </c>
      <c r="AF5">
        <f t="shared" si="2"/>
        <v>0.23413874645551924</v>
      </c>
      <c r="AG5">
        <f t="shared" si="2"/>
        <v>0.23413874645551924</v>
      </c>
      <c r="AH5">
        <f t="shared" si="2"/>
        <v>0.23413874645551924</v>
      </c>
      <c r="AI5">
        <f t="shared" si="2"/>
        <v>0.23413874645551924</v>
      </c>
      <c r="AJ5">
        <f t="shared" si="2"/>
        <v>0.23413874645551924</v>
      </c>
      <c r="AK5">
        <f t="shared" si="2"/>
        <v>0.23413874645551924</v>
      </c>
      <c r="AL5">
        <f t="shared" si="2"/>
        <v>0.23413874645551924</v>
      </c>
      <c r="AM5">
        <f t="shared" si="2"/>
        <v>0.23413874645551924</v>
      </c>
      <c r="AN5">
        <f t="shared" si="2"/>
        <v>0.23413874645551924</v>
      </c>
      <c r="AO5">
        <f t="shared" si="2"/>
        <v>0.23413874645551924</v>
      </c>
      <c r="AP5">
        <f t="shared" si="2"/>
        <v>0.23413874645551924</v>
      </c>
      <c r="AQ5">
        <f t="shared" si="2"/>
        <v>0.23413874645551924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0</v>
      </c>
      <c r="AO6">
        <f t="shared" si="1"/>
        <v>0</v>
      </c>
      <c r="AP6">
        <f t="shared" si="1"/>
        <v>0</v>
      </c>
      <c r="AQ6">
        <f t="shared" si="1"/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M7">
        <f t="shared" si="1"/>
        <v>0</v>
      </c>
      <c r="AN7">
        <f t="shared" si="1"/>
        <v>0</v>
      </c>
      <c r="AO7">
        <f t="shared" si="1"/>
        <v>0</v>
      </c>
      <c r="AP7">
        <f t="shared" si="1"/>
        <v>0</v>
      </c>
      <c r="AQ7">
        <f t="shared" si="1"/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M8">
        <f t="shared" si="1"/>
        <v>0</v>
      </c>
      <c r="AN8">
        <f t="shared" si="1"/>
        <v>0</v>
      </c>
      <c r="AO8">
        <f t="shared" si="1"/>
        <v>0</v>
      </c>
      <c r="AP8">
        <f t="shared" si="1"/>
        <v>0</v>
      </c>
      <c r="AQ8">
        <f t="shared" si="1"/>
        <v>0</v>
      </c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Q8"/>
  <sheetViews>
    <sheetView workbookViewId="0">
      <selection activeCell="G2" sqref="G2"/>
    </sheetView>
    <sheetView workbookViewId="1">
      <selection activeCell="N2" sqref="N2"/>
    </sheetView>
  </sheetViews>
  <sheetFormatPr defaultColWidth="9.125" defaultRowHeight="12.9" x14ac:dyDescent="0.15"/>
  <cols>
    <col min="1" max="2" width="24.5" customWidth="1"/>
  </cols>
  <sheetData>
    <row r="1" spans="1:43" ht="38.75" x14ac:dyDescent="0.15">
      <c r="A1" s="25" t="s">
        <v>128</v>
      </c>
      <c r="B1" s="88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f>C2</f>
        <v>0.28735632183908044</v>
      </c>
      <c r="C2">
        <f t="shared" ref="C2:E2" si="0">D2</f>
        <v>0.28735632183908044</v>
      </c>
      <c r="D2">
        <f t="shared" si="0"/>
        <v>0.28735632183908044</v>
      </c>
      <c r="E2">
        <f t="shared" si="0"/>
        <v>0.28735632183908044</v>
      </c>
      <c r="F2">
        <f>G2</f>
        <v>0.28735632183908044</v>
      </c>
      <c r="G2">
        <f>H2</f>
        <v>0.28735632183908044</v>
      </c>
      <c r="H2">
        <f>Data!H65</f>
        <v>0.28735632183908044</v>
      </c>
      <c r="I2">
        <f>($R$2-$H$2)/10+H2</f>
        <v>0.30862068965517242</v>
      </c>
      <c r="J2">
        <f t="shared" ref="J2:Q2" si="1">($R$2-$H$2)/10+I2</f>
        <v>0.3298850574712644</v>
      </c>
      <c r="K2">
        <f t="shared" si="1"/>
        <v>0.35114942528735638</v>
      </c>
      <c r="L2">
        <f t="shared" si="1"/>
        <v>0.37241379310344835</v>
      </c>
      <c r="M2">
        <f t="shared" si="1"/>
        <v>0.39367816091954033</v>
      </c>
      <c r="N2">
        <f t="shared" si="1"/>
        <v>0.41494252873563231</v>
      </c>
      <c r="O2">
        <f t="shared" si="1"/>
        <v>0.43620689655172429</v>
      </c>
      <c r="P2">
        <f t="shared" si="1"/>
        <v>0.45747126436781627</v>
      </c>
      <c r="Q2">
        <f t="shared" si="1"/>
        <v>0.47873563218390824</v>
      </c>
      <c r="R2">
        <v>0.5</v>
      </c>
      <c r="S2">
        <f>($AG$2-$R$2)/15+R2</f>
        <v>0.52</v>
      </c>
      <c r="T2">
        <f t="shared" ref="T2:AF2" si="2">($AG$2-$R$2)/15+S2</f>
        <v>0.54</v>
      </c>
      <c r="U2">
        <f t="shared" si="2"/>
        <v>0.56000000000000005</v>
      </c>
      <c r="V2">
        <f t="shared" si="2"/>
        <v>0.58000000000000007</v>
      </c>
      <c r="W2">
        <f t="shared" si="2"/>
        <v>0.60000000000000009</v>
      </c>
      <c r="X2">
        <f t="shared" si="2"/>
        <v>0.62000000000000011</v>
      </c>
      <c r="Y2">
        <f t="shared" si="2"/>
        <v>0.64000000000000012</v>
      </c>
      <c r="Z2">
        <f t="shared" si="2"/>
        <v>0.66000000000000014</v>
      </c>
      <c r="AA2">
        <f t="shared" si="2"/>
        <v>0.68000000000000016</v>
      </c>
      <c r="AB2">
        <f t="shared" si="2"/>
        <v>0.70000000000000018</v>
      </c>
      <c r="AC2">
        <f t="shared" si="2"/>
        <v>0.7200000000000002</v>
      </c>
      <c r="AD2">
        <f t="shared" si="2"/>
        <v>0.74000000000000021</v>
      </c>
      <c r="AE2">
        <f t="shared" si="2"/>
        <v>0.76000000000000023</v>
      </c>
      <c r="AF2">
        <f t="shared" si="2"/>
        <v>0.78000000000000025</v>
      </c>
      <c r="AG2">
        <v>0.8</v>
      </c>
      <c r="AH2">
        <v>0.8</v>
      </c>
      <c r="AI2">
        <v>0.8</v>
      </c>
      <c r="AJ2">
        <v>0.8</v>
      </c>
      <c r="AK2">
        <v>0.8</v>
      </c>
      <c r="AL2">
        <v>0.8</v>
      </c>
      <c r="AM2">
        <v>0.8</v>
      </c>
      <c r="AN2">
        <v>0.8</v>
      </c>
      <c r="AO2">
        <v>0.8</v>
      </c>
      <c r="AP2">
        <v>0.8</v>
      </c>
      <c r="AQ2">
        <v>0.8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f t="shared" ref="AH6:AQ7" si="3">MAX(MIN(TREND($W6:$AG6,$W$1:$AG$1,AH$1),1),0)</f>
        <v>0</v>
      </c>
      <c r="AI6">
        <f t="shared" si="3"/>
        <v>0</v>
      </c>
      <c r="AJ6">
        <f t="shared" si="3"/>
        <v>0</v>
      </c>
      <c r="AK6">
        <f t="shared" si="3"/>
        <v>0</v>
      </c>
      <c r="AL6">
        <f t="shared" si="3"/>
        <v>0</v>
      </c>
      <c r="AM6">
        <f t="shared" si="3"/>
        <v>0</v>
      </c>
      <c r="AN6">
        <f t="shared" si="3"/>
        <v>0</v>
      </c>
      <c r="AO6">
        <f t="shared" si="3"/>
        <v>0</v>
      </c>
      <c r="AP6">
        <f t="shared" si="3"/>
        <v>0</v>
      </c>
      <c r="AQ6">
        <f t="shared" si="3"/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f t="shared" si="3"/>
        <v>0</v>
      </c>
      <c r="AI7">
        <f t="shared" si="3"/>
        <v>0</v>
      </c>
      <c r="AJ7">
        <f t="shared" si="3"/>
        <v>0</v>
      </c>
      <c r="AK7">
        <f t="shared" si="3"/>
        <v>0</v>
      </c>
      <c r="AL7">
        <f t="shared" si="3"/>
        <v>0</v>
      </c>
      <c r="AM7">
        <f t="shared" si="3"/>
        <v>0</v>
      </c>
      <c r="AN7">
        <f t="shared" si="3"/>
        <v>0</v>
      </c>
      <c r="AO7">
        <f t="shared" si="3"/>
        <v>0</v>
      </c>
      <c r="AP7">
        <f t="shared" si="3"/>
        <v>0</v>
      </c>
      <c r="AQ7">
        <f t="shared" si="3"/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</sheetData>
  <phoneticPr fontId="1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Q8"/>
  <sheetViews>
    <sheetView topLeftCell="R1" workbookViewId="0">
      <selection activeCell="B3" sqref="B3:AP3"/>
    </sheetView>
    <sheetView workbookViewId="1">
      <selection activeCell="B2" sqref="B2"/>
    </sheetView>
  </sheetViews>
  <sheetFormatPr defaultColWidth="9.125" defaultRowHeight="12.9" x14ac:dyDescent="0.15"/>
  <cols>
    <col min="1" max="1" width="24.5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f>Data!H72</f>
        <v>0</v>
      </c>
      <c r="H2">
        <f>0.1/6+G2</f>
        <v>1.6666666666666666E-2</v>
      </c>
      <c r="I2">
        <f t="shared" ref="I2:L2" si="0">0.1/6+H2</f>
        <v>3.3333333333333333E-2</v>
      </c>
      <c r="J2">
        <f t="shared" si="0"/>
        <v>0.05</v>
      </c>
      <c r="K2">
        <f t="shared" si="0"/>
        <v>6.6666666666666666E-2</v>
      </c>
      <c r="L2">
        <f t="shared" si="0"/>
        <v>8.3333333333333329E-2</v>
      </c>
      <c r="M2">
        <v>0.1</v>
      </c>
      <c r="N2">
        <f>(0.3-0.1)/10+M2</f>
        <v>0.12</v>
      </c>
      <c r="O2">
        <f t="shared" ref="O2:V2" si="1">(0.3-0.1)/10+N2</f>
        <v>0.13999999999999999</v>
      </c>
      <c r="P2">
        <f t="shared" si="1"/>
        <v>0.15999999999999998</v>
      </c>
      <c r="Q2">
        <f t="shared" si="1"/>
        <v>0.17999999999999997</v>
      </c>
      <c r="R2">
        <f t="shared" si="1"/>
        <v>0.19999999999999996</v>
      </c>
      <c r="S2">
        <f t="shared" si="1"/>
        <v>0.21999999999999995</v>
      </c>
      <c r="T2">
        <f t="shared" si="1"/>
        <v>0.23999999999999994</v>
      </c>
      <c r="U2">
        <f t="shared" si="1"/>
        <v>0.25999999999999995</v>
      </c>
      <c r="V2">
        <f t="shared" si="1"/>
        <v>0.27999999999999997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f t="shared" ref="AH4:AQ7" si="2">MAX(MIN(TREND($W4:$AG4,$W$1:$AG$1,AH$1),1),0)</f>
        <v>0</v>
      </c>
      <c r="AI4">
        <f t="shared" si="2"/>
        <v>0</v>
      </c>
      <c r="AJ4">
        <f t="shared" si="2"/>
        <v>0</v>
      </c>
      <c r="AK4">
        <f t="shared" si="2"/>
        <v>0</v>
      </c>
      <c r="AL4">
        <f t="shared" si="2"/>
        <v>0</v>
      </c>
      <c r="AM4">
        <f t="shared" si="2"/>
        <v>0</v>
      </c>
      <c r="AN4">
        <f t="shared" si="2"/>
        <v>0</v>
      </c>
      <c r="AO4">
        <f t="shared" si="2"/>
        <v>0</v>
      </c>
      <c r="AP4">
        <f t="shared" si="2"/>
        <v>0</v>
      </c>
      <c r="AQ4">
        <f t="shared" si="2"/>
        <v>0</v>
      </c>
    </row>
    <row r="5" spans="1:43" x14ac:dyDescent="0.1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f t="shared" si="2"/>
        <v>1</v>
      </c>
      <c r="AI5">
        <f t="shared" si="2"/>
        <v>1</v>
      </c>
      <c r="AJ5">
        <f t="shared" si="2"/>
        <v>1</v>
      </c>
      <c r="AK5">
        <f t="shared" si="2"/>
        <v>1</v>
      </c>
      <c r="AL5">
        <f t="shared" si="2"/>
        <v>1</v>
      </c>
      <c r="AM5">
        <f t="shared" si="2"/>
        <v>1</v>
      </c>
      <c r="AN5">
        <f t="shared" si="2"/>
        <v>1</v>
      </c>
      <c r="AO5">
        <f t="shared" si="2"/>
        <v>1</v>
      </c>
      <c r="AP5">
        <f t="shared" si="2"/>
        <v>1</v>
      </c>
      <c r="AQ5">
        <f t="shared" si="2"/>
        <v>1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f t="shared" si="2"/>
        <v>0</v>
      </c>
      <c r="AI6">
        <f t="shared" si="2"/>
        <v>0</v>
      </c>
      <c r="AJ6">
        <f t="shared" si="2"/>
        <v>0</v>
      </c>
      <c r="AK6">
        <f t="shared" si="2"/>
        <v>0</v>
      </c>
      <c r="AL6">
        <f t="shared" si="2"/>
        <v>0</v>
      </c>
      <c r="AM6">
        <f t="shared" si="2"/>
        <v>0</v>
      </c>
      <c r="AN6">
        <f t="shared" si="2"/>
        <v>0</v>
      </c>
      <c r="AO6">
        <f t="shared" si="2"/>
        <v>0</v>
      </c>
      <c r="AP6">
        <f t="shared" si="2"/>
        <v>0</v>
      </c>
      <c r="AQ6">
        <f t="shared" si="2"/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f t="shared" si="2"/>
        <v>0</v>
      </c>
      <c r="AI7">
        <f t="shared" si="2"/>
        <v>0</v>
      </c>
      <c r="AJ7">
        <f t="shared" si="2"/>
        <v>0</v>
      </c>
      <c r="AK7">
        <f t="shared" si="2"/>
        <v>0</v>
      </c>
      <c r="AL7">
        <f t="shared" si="2"/>
        <v>0</v>
      </c>
      <c r="AM7">
        <f t="shared" si="2"/>
        <v>0</v>
      </c>
      <c r="AN7">
        <f t="shared" si="2"/>
        <v>0</v>
      </c>
      <c r="AO7">
        <f t="shared" si="2"/>
        <v>0</v>
      </c>
      <c r="AP7">
        <f t="shared" si="2"/>
        <v>0</v>
      </c>
      <c r="AQ7">
        <f t="shared" si="2"/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Q8"/>
  <sheetViews>
    <sheetView workbookViewId="0"/>
    <sheetView workbookViewId="1">
      <selection activeCell="AQ2" sqref="AQ2:AQ8"/>
    </sheetView>
  </sheetViews>
  <sheetFormatPr defaultColWidth="9.125" defaultRowHeight="12.9" x14ac:dyDescent="0.15"/>
  <cols>
    <col min="1" max="1" width="24.5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v>0.13</v>
      </c>
      <c r="C2">
        <v>0.17</v>
      </c>
      <c r="D2">
        <v>0.2</v>
      </c>
      <c r="E2">
        <v>0.25</v>
      </c>
      <c r="F2">
        <f>(1-0.25)/22+E2</f>
        <v>0.28409090909090906</v>
      </c>
      <c r="G2">
        <f t="shared" ref="G2:Z2" si="0">(1-0.25)/22+F2</f>
        <v>0.31818181818181812</v>
      </c>
      <c r="H2">
        <f t="shared" si="0"/>
        <v>0.35227272727272718</v>
      </c>
      <c r="I2">
        <f t="shared" si="0"/>
        <v>0.38636363636363624</v>
      </c>
      <c r="J2">
        <f t="shared" si="0"/>
        <v>0.4204545454545453</v>
      </c>
      <c r="K2">
        <f t="shared" si="0"/>
        <v>0.45454545454545436</v>
      </c>
      <c r="L2">
        <f t="shared" si="0"/>
        <v>0.48863636363636342</v>
      </c>
      <c r="M2">
        <f t="shared" si="0"/>
        <v>0.52272727272727249</v>
      </c>
      <c r="N2">
        <f t="shared" si="0"/>
        <v>0.55681818181818155</v>
      </c>
      <c r="O2">
        <f t="shared" si="0"/>
        <v>0.59090909090909061</v>
      </c>
      <c r="P2">
        <f t="shared" si="0"/>
        <v>0.62499999999999967</v>
      </c>
      <c r="Q2">
        <f t="shared" si="0"/>
        <v>0.65909090909090873</v>
      </c>
      <c r="R2">
        <f t="shared" si="0"/>
        <v>0.69318181818181779</v>
      </c>
      <c r="S2">
        <f t="shared" si="0"/>
        <v>0.72727272727272685</v>
      </c>
      <c r="T2">
        <f t="shared" si="0"/>
        <v>0.76136363636363591</v>
      </c>
      <c r="U2">
        <f t="shared" si="0"/>
        <v>0.79545454545454497</v>
      </c>
      <c r="V2">
        <f t="shared" si="0"/>
        <v>0.82954545454545403</v>
      </c>
      <c r="W2">
        <f t="shared" si="0"/>
        <v>0.86363636363636309</v>
      </c>
      <c r="X2">
        <f t="shared" si="0"/>
        <v>0.89772727272727215</v>
      </c>
      <c r="Y2">
        <f t="shared" si="0"/>
        <v>0.93181818181818121</v>
      </c>
      <c r="Z2">
        <f t="shared" si="0"/>
        <v>0.96590909090909027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f t="shared" ref="AG2:AP2" si="1">MAX(MIN(TREND($V2:$AF2,$W$1:$AG$1,AH$1),1),0)</f>
        <v>1</v>
      </c>
      <c r="AH2">
        <f t="shared" si="1"/>
        <v>1</v>
      </c>
      <c r="AI2">
        <f t="shared" si="1"/>
        <v>1</v>
      </c>
      <c r="AJ2">
        <f t="shared" si="1"/>
        <v>1</v>
      </c>
      <c r="AK2">
        <f t="shared" si="1"/>
        <v>1</v>
      </c>
      <c r="AL2">
        <f t="shared" si="1"/>
        <v>1</v>
      </c>
      <c r="AM2">
        <f t="shared" si="1"/>
        <v>1</v>
      </c>
      <c r="AN2">
        <f t="shared" si="1"/>
        <v>1</v>
      </c>
      <c r="AO2">
        <f t="shared" si="1"/>
        <v>1</v>
      </c>
      <c r="AP2">
        <f t="shared" si="1"/>
        <v>1</v>
      </c>
      <c r="AQ2">
        <v>1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f t="shared" ref="AG3:AP3" si="2">MAX(MIN(TREND($V3:$AF3,$W$1:$AG$1,AH$1),1),0)</f>
        <v>0</v>
      </c>
      <c r="AH3">
        <f t="shared" si="2"/>
        <v>0</v>
      </c>
      <c r="AI3">
        <f t="shared" si="2"/>
        <v>0</v>
      </c>
      <c r="AJ3">
        <f t="shared" si="2"/>
        <v>0</v>
      </c>
      <c r="AK3">
        <f t="shared" si="2"/>
        <v>0</v>
      </c>
      <c r="AL3">
        <f t="shared" si="2"/>
        <v>0</v>
      </c>
      <c r="AM3">
        <f t="shared" si="2"/>
        <v>0</v>
      </c>
      <c r="AN3">
        <f t="shared" si="2"/>
        <v>0</v>
      </c>
      <c r="AO3">
        <f t="shared" si="2"/>
        <v>0</v>
      </c>
      <c r="AP3">
        <f t="shared" si="2"/>
        <v>0</v>
      </c>
      <c r="AQ3">
        <v>0</v>
      </c>
    </row>
    <row r="4" spans="1:43" x14ac:dyDescent="0.15">
      <c r="A4" t="s">
        <v>3</v>
      </c>
      <c r="B4">
        <v>1</v>
      </c>
      <c r="C4">
        <f>B4-1/15</f>
        <v>0.93333333333333335</v>
      </c>
      <c r="D4">
        <f t="shared" ref="D4:P4" si="3">C4-1/15</f>
        <v>0.8666666666666667</v>
      </c>
      <c r="E4">
        <f t="shared" si="3"/>
        <v>0.8</v>
      </c>
      <c r="F4">
        <f t="shared" si="3"/>
        <v>0.73333333333333339</v>
      </c>
      <c r="G4">
        <f t="shared" si="3"/>
        <v>0.66666666666666674</v>
      </c>
      <c r="H4">
        <f t="shared" si="3"/>
        <v>0.60000000000000009</v>
      </c>
      <c r="I4">
        <f t="shared" si="3"/>
        <v>0.53333333333333344</v>
      </c>
      <c r="J4">
        <f t="shared" si="3"/>
        <v>0.46666666666666679</v>
      </c>
      <c r="K4">
        <f t="shared" si="3"/>
        <v>0.40000000000000013</v>
      </c>
      <c r="L4">
        <f t="shared" si="3"/>
        <v>0.33333333333333348</v>
      </c>
      <c r="M4">
        <f t="shared" si="3"/>
        <v>0.26666666666666683</v>
      </c>
      <c r="N4">
        <f t="shared" si="3"/>
        <v>0.20000000000000018</v>
      </c>
      <c r="O4">
        <f t="shared" si="3"/>
        <v>0.13333333333333353</v>
      </c>
      <c r="P4">
        <f t="shared" si="3"/>
        <v>6.666666666666686E-2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 t="shared" ref="AG5:AP5" si="4">MAX(MIN(TREND($V5:$AF5,$W$1:$AG$1,AH$1),1),0)</f>
        <v>0</v>
      </c>
      <c r="AH5">
        <f t="shared" si="4"/>
        <v>0</v>
      </c>
      <c r="AI5">
        <f t="shared" si="4"/>
        <v>0</v>
      </c>
      <c r="AJ5">
        <f t="shared" si="4"/>
        <v>0</v>
      </c>
      <c r="AK5">
        <f t="shared" si="4"/>
        <v>0</v>
      </c>
      <c r="AL5">
        <f t="shared" si="4"/>
        <v>0</v>
      </c>
      <c r="AM5">
        <f t="shared" si="4"/>
        <v>0</v>
      </c>
      <c r="AN5">
        <f t="shared" si="4"/>
        <v>0</v>
      </c>
      <c r="AO5">
        <f t="shared" si="4"/>
        <v>0</v>
      </c>
      <c r="AP5">
        <f t="shared" si="4"/>
        <v>0</v>
      </c>
      <c r="AQ5">
        <v>0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 t="shared" ref="AG6:AP6" si="5">MAX(MIN(TREND($V6:$AF6,$W$1:$AG$1,AH$1),1),0)</f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 t="shared" ref="AG7:AP7" si="6">MAX(MIN(TREND($V7:$AF7,$W$1:$AG$1,AH$1),1),0)</f>
        <v>0</v>
      </c>
      <c r="AH7">
        <f t="shared" si="6"/>
        <v>0</v>
      </c>
      <c r="AI7">
        <f t="shared" si="6"/>
        <v>0</v>
      </c>
      <c r="AJ7">
        <f t="shared" si="6"/>
        <v>0</v>
      </c>
      <c r="AK7">
        <f t="shared" si="6"/>
        <v>0</v>
      </c>
      <c r="AL7">
        <f t="shared" si="6"/>
        <v>0</v>
      </c>
      <c r="AM7">
        <f t="shared" si="6"/>
        <v>0</v>
      </c>
      <c r="AN7">
        <f t="shared" si="6"/>
        <v>0</v>
      </c>
      <c r="AO7">
        <f t="shared" si="6"/>
        <v>0</v>
      </c>
      <c r="AP7">
        <f t="shared" si="6"/>
        <v>0</v>
      </c>
      <c r="AQ7"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 t="shared" ref="AG8:AP8" si="7">MAX(MIN(TREND($V8:$AF8,$W$1:$AG$1,AH$1),1),0)</f>
        <v>0</v>
      </c>
      <c r="AH8">
        <f t="shared" si="7"/>
        <v>0</v>
      </c>
      <c r="AI8">
        <f t="shared" si="7"/>
        <v>0</v>
      </c>
      <c r="AJ8">
        <f t="shared" si="7"/>
        <v>0</v>
      </c>
      <c r="AK8">
        <f t="shared" si="7"/>
        <v>0</v>
      </c>
      <c r="AL8">
        <f t="shared" si="7"/>
        <v>0</v>
      </c>
      <c r="AM8">
        <f t="shared" si="7"/>
        <v>0</v>
      </c>
      <c r="AN8">
        <f t="shared" si="7"/>
        <v>0</v>
      </c>
      <c r="AO8">
        <f t="shared" si="7"/>
        <v>0</v>
      </c>
      <c r="AP8">
        <f t="shared" si="7"/>
        <v>0</v>
      </c>
      <c r="AQ8">
        <v>0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Q8"/>
  <sheetViews>
    <sheetView workbookViewId="0"/>
    <sheetView tabSelected="1" workbookViewId="1">
      <selection activeCell="B2" sqref="B2"/>
    </sheetView>
  </sheetViews>
  <sheetFormatPr defaultColWidth="9.125" defaultRowHeight="12.9" x14ac:dyDescent="0.15"/>
  <cols>
    <col min="1" max="1" width="24.5" customWidth="1"/>
  </cols>
  <sheetData>
    <row r="1" spans="1:43" ht="38.75" x14ac:dyDescent="0.15">
      <c r="A1" s="25" t="s">
        <v>128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About</vt:lpstr>
      <vt:lpstr>AEO 38</vt:lpstr>
      <vt:lpstr>AEO 39</vt:lpstr>
      <vt:lpstr>AEO 49</vt:lpstr>
      <vt:lpstr>Summary</vt:lpstr>
      <vt:lpstr>SYVbT-passenger</vt:lpstr>
      <vt:lpstr>SYVbT-freight</vt:lpstr>
      <vt:lpstr>Tech Avaliability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wcy3015@126.com</cp:lastModifiedBy>
  <dcterms:created xsi:type="dcterms:W3CDTF">2017-07-01T03:43:09Z</dcterms:created>
  <dcterms:modified xsi:type="dcterms:W3CDTF">2025-02-26T03:26:50Z</dcterms:modified>
</cp:coreProperties>
</file>