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26670" windowHeight="11265"/>
  </bookViews>
  <sheets>
    <sheet name="delta time" sheetId="1" r:id="rId1"/>
    <sheet name="gamma" sheetId="4" r:id="rId2"/>
    <sheet name="theta" sheetId="7" r:id="rId3"/>
    <sheet name="vega" sheetId="6" r:id="rId4"/>
    <sheet name="n(d1)" sheetId="5" r:id="rId5"/>
    <sheet name="d1" sheetId="3" r:id="rId6"/>
    <sheet name="минимакс" sheetId="8" r:id="rId7"/>
    <sheet name="futures" sheetId="9" r:id="rId8"/>
    <sheet name="Стоимость опциона" sheetId="11" r:id="rId9"/>
    <sheet name="цены из TOS" sheetId="12" r:id="rId10"/>
  </sheets>
  <definedNames>
    <definedName name="Currencies" localSheetId="7">futures!$A$1</definedName>
    <definedName name="Energies" localSheetId="7">futures!$A$11</definedName>
    <definedName name="Financials" localSheetId="7">futures!$A$19</definedName>
    <definedName name="Grains" localSheetId="7">futures!$A$28</definedName>
    <definedName name="Indices" localSheetId="7">futures!$A$39</definedName>
    <definedName name="Meats" localSheetId="7">futures!$A$49</definedName>
    <definedName name="Metals" localSheetId="7">futures!$A$55</definedName>
    <definedName name="Softs" localSheetId="7">futures!$A$62</definedName>
    <definedName name="solver_adj" localSheetId="6" hidden="1">минимакс!$N$7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2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минимакс!$P$7</definedName>
    <definedName name="solver_pre" localSheetId="6" hidden="1">0.000001</definedName>
    <definedName name="solver_rbv" localSheetId="6" hidden="1">2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1.96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T23" i="12" l="1"/>
  <c r="T22" i="12"/>
  <c r="U17" i="12"/>
  <c r="U18" i="12"/>
  <c r="U19" i="12"/>
  <c r="U20" i="12"/>
  <c r="U21" i="12"/>
  <c r="U22" i="12"/>
  <c r="U23" i="12"/>
  <c r="U16" i="12"/>
  <c r="T17" i="12"/>
  <c r="T18" i="12"/>
  <c r="T19" i="12"/>
  <c r="T20" i="12"/>
  <c r="T21" i="12"/>
  <c r="T16" i="12"/>
  <c r="U103" i="1" l="1"/>
  <c r="C6" i="12"/>
  <c r="K6" i="12"/>
  <c r="C7" i="12"/>
  <c r="K7" i="12"/>
  <c r="C8" i="12"/>
  <c r="K8" i="12"/>
  <c r="C9" i="12"/>
  <c r="K9" i="12"/>
  <c r="C10" i="12"/>
  <c r="K10" i="12"/>
  <c r="C11" i="12"/>
  <c r="K11" i="12"/>
  <c r="C12" i="12"/>
  <c r="K12" i="12"/>
  <c r="C13" i="12"/>
  <c r="K13" i="12"/>
  <c r="C16" i="12"/>
  <c r="K16" i="12"/>
  <c r="C17" i="12"/>
  <c r="K17" i="12"/>
  <c r="C18" i="12"/>
  <c r="K18" i="12"/>
  <c r="C19" i="12"/>
  <c r="K19" i="12"/>
  <c r="C20" i="12"/>
  <c r="K20" i="12"/>
  <c r="C21" i="12"/>
  <c r="K21" i="12"/>
  <c r="C22" i="12"/>
  <c r="K22" i="12"/>
  <c r="C23" i="12"/>
  <c r="K23" i="12"/>
  <c r="C26" i="12"/>
  <c r="K26" i="12"/>
  <c r="C27" i="12"/>
  <c r="K27" i="12"/>
  <c r="C28" i="12"/>
  <c r="K28" i="12"/>
  <c r="C29" i="12"/>
  <c r="K29" i="12"/>
  <c r="C30" i="12"/>
  <c r="K30" i="12"/>
  <c r="C31" i="12"/>
  <c r="K31" i="12"/>
  <c r="C32" i="12"/>
  <c r="K32" i="12"/>
  <c r="C33" i="12"/>
  <c r="K33" i="12"/>
  <c r="C36" i="12"/>
  <c r="K36" i="12"/>
  <c r="C37" i="12"/>
  <c r="K37" i="12"/>
  <c r="C38" i="12"/>
  <c r="K38" i="12"/>
  <c r="C39" i="12"/>
  <c r="K39" i="12"/>
  <c r="C40" i="12"/>
  <c r="K40" i="12"/>
  <c r="C41" i="12"/>
  <c r="K41" i="12"/>
  <c r="C42" i="12"/>
  <c r="K42" i="12"/>
  <c r="C43" i="12"/>
  <c r="K43" i="12"/>
  <c r="C46" i="12"/>
  <c r="K46" i="12"/>
  <c r="C47" i="12"/>
  <c r="K47" i="12"/>
  <c r="C48" i="12"/>
  <c r="K48" i="12"/>
  <c r="C49" i="12"/>
  <c r="K49" i="12"/>
  <c r="C50" i="12"/>
  <c r="K50" i="12"/>
  <c r="C51" i="12"/>
  <c r="K51" i="12"/>
  <c r="C52" i="12"/>
  <c r="K52" i="12"/>
  <c r="C53" i="12"/>
  <c r="K53" i="12"/>
  <c r="C56" i="12"/>
  <c r="K56" i="12"/>
  <c r="C57" i="12"/>
  <c r="K57" i="12"/>
  <c r="C58" i="12"/>
  <c r="K58" i="12"/>
  <c r="C59" i="12"/>
  <c r="K59" i="12"/>
  <c r="C60" i="12"/>
  <c r="K60" i="12"/>
  <c r="C61" i="12"/>
  <c r="K61" i="12"/>
  <c r="C62" i="12"/>
  <c r="K62" i="12"/>
  <c r="C63" i="12"/>
  <c r="K63" i="12"/>
  <c r="L62" i="12"/>
  <c r="L63" i="12"/>
  <c r="J9" i="12"/>
  <c r="R10" i="12"/>
  <c r="J16" i="12"/>
  <c r="R18" i="12"/>
  <c r="R21" i="12"/>
  <c r="J26" i="12"/>
  <c r="J29" i="12"/>
  <c r="J33" i="12"/>
  <c r="J39" i="12"/>
  <c r="R42" i="12"/>
  <c r="R47" i="12"/>
  <c r="J52" i="12"/>
  <c r="J59" i="12"/>
  <c r="R63" i="12"/>
  <c r="D6" i="12"/>
  <c r="L6" i="12"/>
  <c r="D7" i="12"/>
  <c r="L7" i="12"/>
  <c r="D8" i="12"/>
  <c r="L8" i="12"/>
  <c r="D9" i="12"/>
  <c r="L9" i="12"/>
  <c r="D10" i="12"/>
  <c r="L10" i="12"/>
  <c r="D11" i="12"/>
  <c r="L11" i="12"/>
  <c r="D12" i="12"/>
  <c r="L12" i="12"/>
  <c r="D13" i="12"/>
  <c r="L13" i="12"/>
  <c r="D16" i="12"/>
  <c r="L16" i="12"/>
  <c r="D17" i="12"/>
  <c r="L17" i="12"/>
  <c r="D18" i="12"/>
  <c r="L18" i="12"/>
  <c r="D19" i="12"/>
  <c r="L19" i="12"/>
  <c r="D20" i="12"/>
  <c r="L20" i="12"/>
  <c r="D21" i="12"/>
  <c r="L21" i="12"/>
  <c r="D22" i="12"/>
  <c r="L22" i="12"/>
  <c r="D23" i="12"/>
  <c r="L23" i="12"/>
  <c r="D26" i="12"/>
  <c r="L26" i="12"/>
  <c r="D27" i="12"/>
  <c r="L27" i="12"/>
  <c r="D28" i="12"/>
  <c r="L28" i="12"/>
  <c r="D29" i="12"/>
  <c r="L29" i="12"/>
  <c r="D30" i="12"/>
  <c r="L30" i="12"/>
  <c r="D31" i="12"/>
  <c r="L31" i="12"/>
  <c r="D32" i="12"/>
  <c r="L32" i="12"/>
  <c r="D33" i="12"/>
  <c r="L33" i="12"/>
  <c r="D36" i="12"/>
  <c r="L36" i="12"/>
  <c r="D37" i="12"/>
  <c r="L37" i="12"/>
  <c r="D38" i="12"/>
  <c r="L38" i="12"/>
  <c r="D39" i="12"/>
  <c r="L39" i="12"/>
  <c r="D40" i="12"/>
  <c r="L40" i="12"/>
  <c r="D41" i="12"/>
  <c r="L41" i="12"/>
  <c r="D42" i="12"/>
  <c r="L42" i="12"/>
  <c r="D43" i="12"/>
  <c r="L43" i="12"/>
  <c r="D46" i="12"/>
  <c r="L46" i="12"/>
  <c r="D47" i="12"/>
  <c r="L47" i="12"/>
  <c r="D48" i="12"/>
  <c r="L48" i="12"/>
  <c r="D49" i="12"/>
  <c r="L49" i="12"/>
  <c r="D50" i="12"/>
  <c r="L50" i="12"/>
  <c r="D51" i="12"/>
  <c r="L51" i="12"/>
  <c r="D52" i="12"/>
  <c r="L52" i="12"/>
  <c r="D53" i="12"/>
  <c r="L53" i="12"/>
  <c r="D56" i="12"/>
  <c r="L56" i="12"/>
  <c r="D57" i="12"/>
  <c r="L57" i="12"/>
  <c r="D58" i="12"/>
  <c r="L58" i="12"/>
  <c r="D59" i="12"/>
  <c r="L59" i="12"/>
  <c r="D60" i="12"/>
  <c r="L60" i="12"/>
  <c r="D61" i="12"/>
  <c r="L61" i="12"/>
  <c r="D62" i="12"/>
  <c r="D63" i="12"/>
  <c r="R8" i="12"/>
  <c r="R9" i="12"/>
  <c r="J11" i="12"/>
  <c r="R16" i="12"/>
  <c r="R19" i="12"/>
  <c r="J23" i="12"/>
  <c r="J28" i="12"/>
  <c r="R30" i="12"/>
  <c r="R33" i="12"/>
  <c r="J38" i="12"/>
  <c r="J40" i="12"/>
  <c r="R43" i="12"/>
  <c r="J48" i="12"/>
  <c r="J50" i="12"/>
  <c r="R53" i="12"/>
  <c r="J57" i="12"/>
  <c r="R59" i="12"/>
  <c r="R62" i="12"/>
  <c r="E6" i="12"/>
  <c r="M6" i="12"/>
  <c r="E7" i="12"/>
  <c r="M7" i="12"/>
  <c r="E8" i="12"/>
  <c r="M8" i="12"/>
  <c r="E9" i="12"/>
  <c r="M9" i="12"/>
  <c r="E10" i="12"/>
  <c r="M10" i="12"/>
  <c r="E11" i="12"/>
  <c r="M11" i="12"/>
  <c r="E12" i="12"/>
  <c r="M12" i="12"/>
  <c r="E13" i="12"/>
  <c r="M13" i="12"/>
  <c r="E16" i="12"/>
  <c r="M16" i="12"/>
  <c r="E17" i="12"/>
  <c r="M17" i="12"/>
  <c r="E18" i="12"/>
  <c r="M18" i="12"/>
  <c r="E19" i="12"/>
  <c r="M19" i="12"/>
  <c r="E20" i="12"/>
  <c r="M20" i="12"/>
  <c r="E21" i="12"/>
  <c r="M21" i="12"/>
  <c r="E22" i="12"/>
  <c r="M22" i="12"/>
  <c r="E23" i="12"/>
  <c r="M23" i="12"/>
  <c r="E26" i="12"/>
  <c r="M26" i="12"/>
  <c r="E27" i="12"/>
  <c r="M27" i="12"/>
  <c r="E28" i="12"/>
  <c r="M28" i="12"/>
  <c r="E29" i="12"/>
  <c r="M29" i="12"/>
  <c r="E30" i="12"/>
  <c r="M30" i="12"/>
  <c r="E31" i="12"/>
  <c r="M31" i="12"/>
  <c r="E32" i="12"/>
  <c r="M32" i="12"/>
  <c r="E33" i="12"/>
  <c r="M33" i="12"/>
  <c r="E36" i="12"/>
  <c r="M36" i="12"/>
  <c r="E37" i="12"/>
  <c r="M37" i="12"/>
  <c r="E38" i="12"/>
  <c r="M38" i="12"/>
  <c r="E39" i="12"/>
  <c r="M39" i="12"/>
  <c r="E40" i="12"/>
  <c r="M40" i="12"/>
  <c r="E41" i="12"/>
  <c r="M41" i="12"/>
  <c r="E42" i="12"/>
  <c r="M42" i="12"/>
  <c r="E43" i="12"/>
  <c r="M43" i="12"/>
  <c r="E46" i="12"/>
  <c r="M46" i="12"/>
  <c r="E47" i="12"/>
  <c r="M47" i="12"/>
  <c r="E48" i="12"/>
  <c r="M48" i="12"/>
  <c r="E49" i="12"/>
  <c r="M49" i="12"/>
  <c r="E50" i="12"/>
  <c r="M50" i="12"/>
  <c r="E51" i="12"/>
  <c r="M51" i="12"/>
  <c r="E52" i="12"/>
  <c r="M52" i="12"/>
  <c r="E53" i="12"/>
  <c r="M53" i="12"/>
  <c r="E56" i="12"/>
  <c r="M56" i="12"/>
  <c r="E57" i="12"/>
  <c r="M57" i="12"/>
  <c r="E58" i="12"/>
  <c r="M58" i="12"/>
  <c r="E59" i="12"/>
  <c r="M59" i="12"/>
  <c r="E60" i="12"/>
  <c r="M60" i="12"/>
  <c r="E61" i="12"/>
  <c r="M61" i="12"/>
  <c r="E62" i="12"/>
  <c r="M62" i="12"/>
  <c r="E63" i="12"/>
  <c r="M63" i="12"/>
  <c r="J8" i="12"/>
  <c r="J12" i="12"/>
  <c r="J18" i="12"/>
  <c r="R22" i="12"/>
  <c r="J30" i="12"/>
  <c r="J36" i="12"/>
  <c r="R40" i="12"/>
  <c r="J46" i="12"/>
  <c r="R49" i="12"/>
  <c r="J56" i="12"/>
  <c r="R61" i="12"/>
  <c r="F6" i="12"/>
  <c r="N6" i="12"/>
  <c r="F7" i="12"/>
  <c r="N7" i="12"/>
  <c r="F8" i="12"/>
  <c r="N8" i="12"/>
  <c r="F9" i="12"/>
  <c r="N9" i="12"/>
  <c r="F10" i="12"/>
  <c r="N10" i="12"/>
  <c r="F11" i="12"/>
  <c r="N11" i="12"/>
  <c r="F12" i="12"/>
  <c r="N12" i="12"/>
  <c r="F13" i="12"/>
  <c r="N13" i="12"/>
  <c r="F16" i="12"/>
  <c r="N16" i="12"/>
  <c r="F17" i="12"/>
  <c r="N17" i="12"/>
  <c r="F18" i="12"/>
  <c r="N18" i="12"/>
  <c r="F19" i="12"/>
  <c r="N19" i="12"/>
  <c r="F20" i="12"/>
  <c r="N20" i="12"/>
  <c r="F21" i="12"/>
  <c r="N21" i="12"/>
  <c r="F22" i="12"/>
  <c r="N22" i="12"/>
  <c r="F23" i="12"/>
  <c r="N23" i="12"/>
  <c r="F26" i="12"/>
  <c r="N26" i="12"/>
  <c r="F27" i="12"/>
  <c r="N27" i="12"/>
  <c r="F28" i="12"/>
  <c r="N28" i="12"/>
  <c r="F29" i="12"/>
  <c r="N29" i="12"/>
  <c r="F30" i="12"/>
  <c r="N30" i="12"/>
  <c r="F31" i="12"/>
  <c r="N31" i="12"/>
  <c r="F32" i="12"/>
  <c r="N32" i="12"/>
  <c r="F33" i="12"/>
  <c r="N33" i="12"/>
  <c r="F36" i="12"/>
  <c r="N36" i="12"/>
  <c r="F37" i="12"/>
  <c r="N37" i="12"/>
  <c r="F38" i="12"/>
  <c r="N38" i="12"/>
  <c r="F39" i="12"/>
  <c r="N39" i="12"/>
  <c r="F40" i="12"/>
  <c r="N40" i="12"/>
  <c r="F41" i="12"/>
  <c r="N41" i="12"/>
  <c r="F42" i="12"/>
  <c r="N42" i="12"/>
  <c r="F43" i="12"/>
  <c r="N43" i="12"/>
  <c r="F46" i="12"/>
  <c r="N46" i="12"/>
  <c r="F47" i="12"/>
  <c r="N47" i="12"/>
  <c r="F48" i="12"/>
  <c r="N48" i="12"/>
  <c r="F49" i="12"/>
  <c r="N49" i="12"/>
  <c r="F50" i="12"/>
  <c r="N50" i="12"/>
  <c r="F51" i="12"/>
  <c r="N51" i="12"/>
  <c r="F52" i="12"/>
  <c r="N52" i="12"/>
  <c r="F53" i="12"/>
  <c r="N53" i="12"/>
  <c r="F56" i="12"/>
  <c r="N56" i="12"/>
  <c r="F57" i="12"/>
  <c r="N57" i="12"/>
  <c r="F58" i="12"/>
  <c r="N58" i="12"/>
  <c r="F59" i="12"/>
  <c r="N59" i="12"/>
  <c r="F60" i="12"/>
  <c r="N60" i="12"/>
  <c r="F61" i="12"/>
  <c r="N61" i="12"/>
  <c r="F62" i="12"/>
  <c r="N62" i="12"/>
  <c r="F63" i="12"/>
  <c r="N63" i="12"/>
  <c r="J7" i="12"/>
  <c r="R12" i="12"/>
  <c r="R17" i="12"/>
  <c r="R20" i="12"/>
  <c r="R23" i="12"/>
  <c r="R28" i="12"/>
  <c r="J32" i="12"/>
  <c r="R38" i="12"/>
  <c r="J42" i="12"/>
  <c r="J47" i="12"/>
  <c r="R51" i="12"/>
  <c r="J58" i="12"/>
  <c r="J62" i="12"/>
  <c r="G6" i="12"/>
  <c r="O6" i="12"/>
  <c r="G7" i="12"/>
  <c r="O7" i="12"/>
  <c r="G8" i="12"/>
  <c r="O8" i="12"/>
  <c r="G9" i="12"/>
  <c r="O9" i="12"/>
  <c r="G10" i="12"/>
  <c r="O10" i="12"/>
  <c r="G11" i="12"/>
  <c r="O11" i="12"/>
  <c r="G12" i="12"/>
  <c r="O12" i="12"/>
  <c r="G13" i="12"/>
  <c r="O13" i="12"/>
  <c r="G16" i="12"/>
  <c r="O16" i="12"/>
  <c r="G17" i="12"/>
  <c r="O17" i="12"/>
  <c r="G18" i="12"/>
  <c r="O18" i="12"/>
  <c r="G19" i="12"/>
  <c r="O19" i="12"/>
  <c r="G20" i="12"/>
  <c r="O20" i="12"/>
  <c r="G21" i="12"/>
  <c r="O21" i="12"/>
  <c r="G22" i="12"/>
  <c r="O22" i="12"/>
  <c r="G23" i="12"/>
  <c r="O23" i="12"/>
  <c r="G26" i="12"/>
  <c r="O26" i="12"/>
  <c r="G27" i="12"/>
  <c r="O27" i="12"/>
  <c r="G28" i="12"/>
  <c r="O28" i="12"/>
  <c r="G29" i="12"/>
  <c r="O29" i="12"/>
  <c r="G30" i="12"/>
  <c r="O30" i="12"/>
  <c r="G31" i="12"/>
  <c r="O31" i="12"/>
  <c r="G32" i="12"/>
  <c r="O32" i="12"/>
  <c r="G33" i="12"/>
  <c r="O33" i="12"/>
  <c r="G36" i="12"/>
  <c r="O36" i="12"/>
  <c r="G37" i="12"/>
  <c r="O37" i="12"/>
  <c r="G38" i="12"/>
  <c r="O38" i="12"/>
  <c r="G39" i="12"/>
  <c r="O39" i="12"/>
  <c r="G40" i="12"/>
  <c r="O40" i="12"/>
  <c r="G41" i="12"/>
  <c r="O41" i="12"/>
  <c r="G42" i="12"/>
  <c r="O42" i="12"/>
  <c r="G43" i="12"/>
  <c r="O43" i="12"/>
  <c r="G46" i="12"/>
  <c r="O46" i="12"/>
  <c r="G47" i="12"/>
  <c r="O47" i="12"/>
  <c r="G48" i="12"/>
  <c r="O48" i="12"/>
  <c r="G49" i="12"/>
  <c r="O49" i="12"/>
  <c r="G50" i="12"/>
  <c r="O50" i="12"/>
  <c r="G51" i="12"/>
  <c r="O51" i="12"/>
  <c r="G52" i="12"/>
  <c r="O52" i="12"/>
  <c r="G53" i="12"/>
  <c r="O53" i="12"/>
  <c r="G56" i="12"/>
  <c r="O56" i="12"/>
  <c r="G57" i="12"/>
  <c r="O57" i="12"/>
  <c r="G58" i="12"/>
  <c r="O58" i="12"/>
  <c r="G59" i="12"/>
  <c r="O59" i="12"/>
  <c r="G60" i="12"/>
  <c r="O60" i="12"/>
  <c r="G61" i="12"/>
  <c r="O61" i="12"/>
  <c r="G62" i="12"/>
  <c r="O62" i="12"/>
  <c r="G63" i="12"/>
  <c r="O63" i="12"/>
  <c r="H56" i="12"/>
  <c r="H58" i="12"/>
  <c r="H59" i="12"/>
  <c r="H60" i="12"/>
  <c r="H61" i="12"/>
  <c r="H62" i="12"/>
  <c r="H63" i="12"/>
  <c r="J6" i="12"/>
  <c r="R13" i="12"/>
  <c r="J21" i="12"/>
  <c r="R27" i="12"/>
  <c r="R31" i="12"/>
  <c r="J37" i="12"/>
  <c r="R41" i="12"/>
  <c r="J49" i="12"/>
  <c r="R52" i="12"/>
  <c r="R57" i="12"/>
  <c r="J61" i="12"/>
  <c r="H6" i="12"/>
  <c r="P6" i="12"/>
  <c r="H7" i="12"/>
  <c r="P7" i="12"/>
  <c r="H8" i="12"/>
  <c r="P8" i="12"/>
  <c r="H9" i="12"/>
  <c r="P9" i="12"/>
  <c r="H10" i="12"/>
  <c r="P10" i="12"/>
  <c r="H11" i="12"/>
  <c r="P11" i="12"/>
  <c r="H12" i="12"/>
  <c r="P12" i="12"/>
  <c r="H13" i="12"/>
  <c r="P13" i="12"/>
  <c r="H16" i="12"/>
  <c r="P16" i="12"/>
  <c r="H17" i="12"/>
  <c r="P17" i="12"/>
  <c r="H18" i="12"/>
  <c r="P18" i="12"/>
  <c r="H19" i="12"/>
  <c r="P19" i="12"/>
  <c r="H20" i="12"/>
  <c r="P20" i="12"/>
  <c r="H21" i="12"/>
  <c r="P21" i="12"/>
  <c r="H22" i="12"/>
  <c r="P22" i="12"/>
  <c r="H23" i="12"/>
  <c r="P23" i="12"/>
  <c r="H26" i="12"/>
  <c r="P26" i="12"/>
  <c r="H27" i="12"/>
  <c r="P27" i="12"/>
  <c r="H28" i="12"/>
  <c r="P28" i="12"/>
  <c r="H29" i="12"/>
  <c r="P29" i="12"/>
  <c r="H30" i="12"/>
  <c r="P30" i="12"/>
  <c r="H31" i="12"/>
  <c r="P31" i="12"/>
  <c r="H32" i="12"/>
  <c r="P32" i="12"/>
  <c r="H33" i="12"/>
  <c r="P33" i="12"/>
  <c r="H36" i="12"/>
  <c r="P36" i="12"/>
  <c r="H37" i="12"/>
  <c r="P37" i="12"/>
  <c r="H38" i="12"/>
  <c r="P38" i="12"/>
  <c r="H39" i="12"/>
  <c r="P39" i="12"/>
  <c r="H40" i="12"/>
  <c r="P40" i="12"/>
  <c r="H41" i="12"/>
  <c r="P41" i="12"/>
  <c r="H42" i="12"/>
  <c r="P42" i="12"/>
  <c r="H43" i="12"/>
  <c r="P43" i="12"/>
  <c r="H46" i="12"/>
  <c r="P46" i="12"/>
  <c r="H47" i="12"/>
  <c r="P47" i="12"/>
  <c r="H48" i="12"/>
  <c r="P48" i="12"/>
  <c r="H49" i="12"/>
  <c r="P49" i="12"/>
  <c r="H50" i="12"/>
  <c r="P50" i="12"/>
  <c r="H51" i="12"/>
  <c r="P51" i="12"/>
  <c r="H52" i="12"/>
  <c r="P52" i="12"/>
  <c r="H53" i="12"/>
  <c r="P53" i="12"/>
  <c r="P56" i="12"/>
  <c r="H57" i="12"/>
  <c r="P57" i="12"/>
  <c r="P58" i="12"/>
  <c r="P59" i="12"/>
  <c r="P60" i="12"/>
  <c r="P61" i="12"/>
  <c r="P62" i="12"/>
  <c r="P63" i="12"/>
  <c r="R7" i="12"/>
  <c r="J10" i="12"/>
  <c r="R11" i="12"/>
  <c r="J17" i="12"/>
  <c r="J19" i="12"/>
  <c r="J22" i="12"/>
  <c r="R26" i="12"/>
  <c r="R29" i="12"/>
  <c r="R32" i="12"/>
  <c r="R37" i="12"/>
  <c r="R39" i="12"/>
  <c r="J43" i="12"/>
  <c r="R48" i="12"/>
  <c r="R50" i="12"/>
  <c r="J53" i="12"/>
  <c r="R58" i="12"/>
  <c r="R60" i="12"/>
  <c r="J63" i="12"/>
  <c r="I6" i="12"/>
  <c r="Q6" i="12"/>
  <c r="I7" i="12"/>
  <c r="Q7" i="12"/>
  <c r="I8" i="12"/>
  <c r="Q8" i="12"/>
  <c r="I9" i="12"/>
  <c r="Q9" i="12"/>
  <c r="I10" i="12"/>
  <c r="Q10" i="12"/>
  <c r="I11" i="12"/>
  <c r="Q11" i="12"/>
  <c r="I12" i="12"/>
  <c r="Q12" i="12"/>
  <c r="I13" i="12"/>
  <c r="Q13" i="12"/>
  <c r="I16" i="12"/>
  <c r="Q16" i="12"/>
  <c r="I17" i="12"/>
  <c r="Q17" i="12"/>
  <c r="I18" i="12"/>
  <c r="Q18" i="12"/>
  <c r="I19" i="12"/>
  <c r="Q19" i="12"/>
  <c r="I20" i="12"/>
  <c r="Q20" i="12"/>
  <c r="I21" i="12"/>
  <c r="Q21" i="12"/>
  <c r="I22" i="12"/>
  <c r="Q22" i="12"/>
  <c r="I23" i="12"/>
  <c r="Q23" i="12"/>
  <c r="I26" i="12"/>
  <c r="Q26" i="12"/>
  <c r="I27" i="12"/>
  <c r="Q27" i="12"/>
  <c r="I28" i="12"/>
  <c r="Q28" i="12"/>
  <c r="I29" i="12"/>
  <c r="Q29" i="12"/>
  <c r="I30" i="12"/>
  <c r="Q30" i="12"/>
  <c r="I31" i="12"/>
  <c r="Q31" i="12"/>
  <c r="I32" i="12"/>
  <c r="Q32" i="12"/>
  <c r="I33" i="12"/>
  <c r="Q33" i="12"/>
  <c r="I36" i="12"/>
  <c r="Q36" i="12"/>
  <c r="I37" i="12"/>
  <c r="Q37" i="12"/>
  <c r="I38" i="12"/>
  <c r="Q38" i="12"/>
  <c r="I39" i="12"/>
  <c r="Q39" i="12"/>
  <c r="I40" i="12"/>
  <c r="Q40" i="12"/>
  <c r="I41" i="12"/>
  <c r="Q41" i="12"/>
  <c r="I42" i="12"/>
  <c r="Q42" i="12"/>
  <c r="I43" i="12"/>
  <c r="Q43" i="12"/>
  <c r="I46" i="12"/>
  <c r="Q46" i="12"/>
  <c r="I47" i="12"/>
  <c r="Q47" i="12"/>
  <c r="I48" i="12"/>
  <c r="Q48" i="12"/>
  <c r="I49" i="12"/>
  <c r="Q49" i="12"/>
  <c r="I50" i="12"/>
  <c r="Q50" i="12"/>
  <c r="I51" i="12"/>
  <c r="Q51" i="12"/>
  <c r="I52" i="12"/>
  <c r="Q52" i="12"/>
  <c r="I53" i="12"/>
  <c r="Q53" i="12"/>
  <c r="I56" i="12"/>
  <c r="Q56" i="12"/>
  <c r="I57" i="12"/>
  <c r="Q57" i="12"/>
  <c r="I58" i="12"/>
  <c r="Q58" i="12"/>
  <c r="I59" i="12"/>
  <c r="Q59" i="12"/>
  <c r="I60" i="12"/>
  <c r="Q60" i="12"/>
  <c r="I61" i="12"/>
  <c r="Q61" i="12"/>
  <c r="I62" i="12"/>
  <c r="Q62" i="12"/>
  <c r="I63" i="12"/>
  <c r="Q63" i="12"/>
  <c r="R6" i="12"/>
  <c r="J13" i="12"/>
  <c r="J20" i="12"/>
  <c r="J27" i="12"/>
  <c r="J31" i="12"/>
  <c r="R36" i="12"/>
  <c r="J41" i="12"/>
  <c r="R46" i="12"/>
  <c r="J51" i="12"/>
  <c r="R56" i="12"/>
  <c r="J60" i="12"/>
  <c r="I4" i="11" l="1"/>
  <c r="T146" i="7" l="1"/>
  <c r="T147" i="7" s="1"/>
  <c r="T148" i="7" s="1"/>
  <c r="T149" i="7" s="1"/>
  <c r="T134" i="7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99" i="7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98" i="7"/>
  <c r="U100" i="4"/>
  <c r="U101" i="4" l="1"/>
  <c r="U102" i="4" l="1"/>
  <c r="T104" i="1"/>
  <c r="T105" i="1" s="1"/>
  <c r="U102" i="1"/>
  <c r="U103" i="4" l="1"/>
  <c r="T106" i="1"/>
  <c r="U106" i="1" s="1"/>
  <c r="AC3" i="6"/>
  <c r="AD3" i="6"/>
  <c r="AE3" i="6"/>
  <c r="AF3" i="6"/>
  <c r="AG3" i="6"/>
  <c r="AH3" i="6"/>
  <c r="AI3" i="6"/>
  <c r="AJ3" i="6"/>
  <c r="AK3" i="6"/>
  <c r="AC2" i="6"/>
  <c r="AD2" i="6" s="1"/>
  <c r="AE2" i="6" s="1"/>
  <c r="AF2" i="6" s="1"/>
  <c r="AG2" i="6" s="1"/>
  <c r="AH2" i="6" s="1"/>
  <c r="AI2" i="6" s="1"/>
  <c r="AJ2" i="6" s="1"/>
  <c r="AK2" i="6" s="1"/>
  <c r="K2" i="6"/>
  <c r="AG2" i="1"/>
  <c r="AH2" i="1"/>
  <c r="AI2" i="1" s="1"/>
  <c r="AJ2" i="1" s="1"/>
  <c r="AK2" i="1" s="1"/>
  <c r="AC2" i="1"/>
  <c r="AD2" i="1" s="1"/>
  <c r="AE2" i="1" s="1"/>
  <c r="AF2" i="1" s="1"/>
  <c r="U104" i="4" l="1"/>
  <c r="T107" i="1"/>
  <c r="F71" i="11"/>
  <c r="F70" i="11"/>
  <c r="F69" i="11"/>
  <c r="P4" i="11" s="1"/>
  <c r="I5" i="1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J4" i="1"/>
  <c r="M2" i="1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L2" i="11"/>
  <c r="K2" i="11"/>
  <c r="K2" i="1"/>
  <c r="L2" i="1"/>
  <c r="K54" i="11" l="1"/>
  <c r="I55" i="11"/>
  <c r="J55" i="11" s="1"/>
  <c r="U105" i="4"/>
  <c r="T108" i="1"/>
  <c r="J3" i="11"/>
  <c r="J13" i="11"/>
  <c r="V3" i="11"/>
  <c r="Y52" i="11"/>
  <c r="Q49" i="11"/>
  <c r="M40" i="11"/>
  <c r="O8" i="11"/>
  <c r="X3" i="11"/>
  <c r="AA52" i="11"/>
  <c r="Y48" i="11"/>
  <c r="AA43" i="11"/>
  <c r="AA37" i="11"/>
  <c r="U30" i="11"/>
  <c r="V17" i="11"/>
  <c r="U47" i="11"/>
  <c r="R27" i="11"/>
  <c r="L3" i="11"/>
  <c r="O42" i="11"/>
  <c r="K27" i="11"/>
  <c r="AA55" i="11"/>
  <c r="M51" i="11"/>
  <c r="K47" i="11"/>
  <c r="M42" i="11"/>
  <c r="T35" i="11"/>
  <c r="K26" i="11"/>
  <c r="Y12" i="11"/>
  <c r="X37" i="11"/>
  <c r="Q52" i="11"/>
  <c r="N37" i="11"/>
  <c r="X55" i="11"/>
  <c r="K51" i="11"/>
  <c r="Y45" i="11"/>
  <c r="W41" i="11"/>
  <c r="R35" i="11"/>
  <c r="U22" i="11"/>
  <c r="Y11" i="11"/>
  <c r="S43" i="11"/>
  <c r="Q16" i="11"/>
  <c r="S47" i="11"/>
  <c r="N13" i="11"/>
  <c r="W54" i="11"/>
  <c r="U50" i="11"/>
  <c r="W45" i="11"/>
  <c r="P40" i="11"/>
  <c r="V34" i="11"/>
  <c r="S22" i="11"/>
  <c r="Q8" i="11"/>
  <c r="U54" i="11"/>
  <c r="O45" i="11"/>
  <c r="O32" i="11"/>
  <c r="N21" i="11"/>
  <c r="Z3" i="11"/>
  <c r="M54" i="11"/>
  <c r="O49" i="11"/>
  <c r="K44" i="11"/>
  <c r="T39" i="11"/>
  <c r="Z31" i="11"/>
  <c r="K18" i="11"/>
  <c r="J7" i="11"/>
  <c r="P3" i="11"/>
  <c r="M55" i="11"/>
  <c r="Q53" i="11"/>
  <c r="U51" i="11"/>
  <c r="Y49" i="11"/>
  <c r="K48" i="11"/>
  <c r="O46" i="11"/>
  <c r="S44" i="11"/>
  <c r="W42" i="11"/>
  <c r="Y40" i="11"/>
  <c r="T38" i="11"/>
  <c r="M36" i="11"/>
  <c r="O33" i="11"/>
  <c r="W28" i="11"/>
  <c r="Z23" i="11"/>
  <c r="K19" i="11"/>
  <c r="S14" i="11"/>
  <c r="V9" i="11"/>
  <c r="O3" i="11"/>
  <c r="K55" i="11"/>
  <c r="O53" i="11"/>
  <c r="S51" i="11"/>
  <c r="W49" i="11"/>
  <c r="AA47" i="11"/>
  <c r="M46" i="11"/>
  <c r="Q44" i="11"/>
  <c r="U42" i="11"/>
  <c r="W40" i="11"/>
  <c r="Q38" i="11"/>
  <c r="J36" i="11"/>
  <c r="M33" i="11"/>
  <c r="P28" i="11"/>
  <c r="S23" i="11"/>
  <c r="AA18" i="11"/>
  <c r="L14" i="11"/>
  <c r="O9" i="11"/>
  <c r="W3" i="11"/>
  <c r="Y55" i="11"/>
  <c r="O54" i="11"/>
  <c r="S52" i="11"/>
  <c r="W50" i="11"/>
  <c r="AA48" i="11"/>
  <c r="M47" i="11"/>
  <c r="Q45" i="11"/>
  <c r="U43" i="11"/>
  <c r="Y41" i="11"/>
  <c r="W39" i="11"/>
  <c r="P37" i="11"/>
  <c r="AA34" i="11"/>
  <c r="J31" i="11"/>
  <c r="M26" i="11"/>
  <c r="U21" i="11"/>
  <c r="X16" i="11"/>
  <c r="AA11" i="11"/>
  <c r="Q7" i="11"/>
  <c r="T3" i="11"/>
  <c r="U55" i="11"/>
  <c r="Y53" i="11"/>
  <c r="K52" i="11"/>
  <c r="O50" i="11"/>
  <c r="S48" i="11"/>
  <c r="W46" i="11"/>
  <c r="AA44" i="11"/>
  <c r="M43" i="11"/>
  <c r="P41" i="11"/>
  <c r="L39" i="11"/>
  <c r="X36" i="11"/>
  <c r="M34" i="11"/>
  <c r="W29" i="11"/>
  <c r="M25" i="11"/>
  <c r="P20" i="11"/>
  <c r="S15" i="11"/>
  <c r="AA10" i="11"/>
  <c r="V5" i="11"/>
  <c r="R3" i="11"/>
  <c r="S55" i="11"/>
  <c r="W53" i="11"/>
  <c r="AA51" i="11"/>
  <c r="M50" i="11"/>
  <c r="Q48" i="11"/>
  <c r="U46" i="11"/>
  <c r="Y44" i="11"/>
  <c r="K43" i="11"/>
  <c r="N41" i="11"/>
  <c r="J39" i="11"/>
  <c r="U36" i="11"/>
  <c r="K34" i="11"/>
  <c r="U29" i="11"/>
  <c r="X24" i="11"/>
  <c r="AA19" i="11"/>
  <c r="Q15" i="11"/>
  <c r="T10" i="11"/>
  <c r="N5" i="11"/>
  <c r="AA3" i="11"/>
  <c r="S3" i="11"/>
  <c r="K3" i="11"/>
  <c r="T55" i="11"/>
  <c r="L55" i="11"/>
  <c r="V54" i="11"/>
  <c r="N54" i="11"/>
  <c r="X53" i="11"/>
  <c r="P53" i="11"/>
  <c r="Z52" i="11"/>
  <c r="R52" i="11"/>
  <c r="J52" i="11"/>
  <c r="T51" i="11"/>
  <c r="L51" i="11"/>
  <c r="V50" i="11"/>
  <c r="N50" i="11"/>
  <c r="X49" i="11"/>
  <c r="P49" i="11"/>
  <c r="Z48" i="11"/>
  <c r="R48" i="11"/>
  <c r="J48" i="11"/>
  <c r="T47" i="11"/>
  <c r="L47" i="11"/>
  <c r="V46" i="11"/>
  <c r="N46" i="11"/>
  <c r="X45" i="11"/>
  <c r="P45" i="11"/>
  <c r="Z44" i="11"/>
  <c r="R44" i="11"/>
  <c r="J44" i="11"/>
  <c r="T43" i="11"/>
  <c r="L43" i="11"/>
  <c r="V42" i="11"/>
  <c r="N42" i="11"/>
  <c r="X41" i="11"/>
  <c r="O41" i="11"/>
  <c r="X40" i="11"/>
  <c r="O40" i="11"/>
  <c r="U39" i="11"/>
  <c r="K39" i="11"/>
  <c r="S38" i="11"/>
  <c r="Y37" i="11"/>
  <c r="O37" i="11"/>
  <c r="W36" i="11"/>
  <c r="K36" i="11"/>
  <c r="S35" i="11"/>
  <c r="W34" i="11"/>
  <c r="L34" i="11"/>
  <c r="N33" i="11"/>
  <c r="AA31" i="11"/>
  <c r="AA30" i="11"/>
  <c r="V29" i="11"/>
  <c r="Q28" i="11"/>
  <c r="Q27" i="11"/>
  <c r="L26" i="11"/>
  <c r="Y24" i="11"/>
  <c r="Y23" i="11"/>
  <c r="T22" i="11"/>
  <c r="O21" i="11"/>
  <c r="O20" i="11"/>
  <c r="J19" i="11"/>
  <c r="W17" i="11"/>
  <c r="W16" i="11"/>
  <c r="R15" i="11"/>
  <c r="M14" i="11"/>
  <c r="M13" i="11"/>
  <c r="Z11" i="11"/>
  <c r="U10" i="11"/>
  <c r="U9" i="11"/>
  <c r="P8" i="11"/>
  <c r="K7" i="11"/>
  <c r="U5" i="11"/>
  <c r="Y3" i="11"/>
  <c r="Q3" i="11"/>
  <c r="Z55" i="11"/>
  <c r="R55" i="11"/>
  <c r="T54" i="11"/>
  <c r="L54" i="11"/>
  <c r="V53" i="11"/>
  <c r="N53" i="11"/>
  <c r="X52" i="11"/>
  <c r="P52" i="11"/>
  <c r="Z51" i="11"/>
  <c r="R51" i="11"/>
  <c r="J51" i="11"/>
  <c r="T50" i="11"/>
  <c r="L50" i="11"/>
  <c r="V49" i="11"/>
  <c r="N49" i="11"/>
  <c r="X48" i="11"/>
  <c r="P48" i="11"/>
  <c r="Z47" i="11"/>
  <c r="R47" i="11"/>
  <c r="J47" i="11"/>
  <c r="T46" i="11"/>
  <c r="L46" i="11"/>
  <c r="V45" i="11"/>
  <c r="N45" i="11"/>
  <c r="X44" i="11"/>
  <c r="P44" i="11"/>
  <c r="Z43" i="11"/>
  <c r="R43" i="11"/>
  <c r="J43" i="11"/>
  <c r="T42" i="11"/>
  <c r="L42" i="11"/>
  <c r="V41" i="11"/>
  <c r="M41" i="11"/>
  <c r="U40" i="11"/>
  <c r="K40" i="11"/>
  <c r="S39" i="11"/>
  <c r="AA38" i="11"/>
  <c r="O38" i="11"/>
  <c r="W37" i="11"/>
  <c r="M37" i="11"/>
  <c r="S36" i="11"/>
  <c r="AA35" i="11"/>
  <c r="Q35" i="11"/>
  <c r="U34" i="11"/>
  <c r="X33" i="11"/>
  <c r="Y32" i="11"/>
  <c r="Y31" i="11"/>
  <c r="T30" i="11"/>
  <c r="O29" i="11"/>
  <c r="O28" i="11"/>
  <c r="J27" i="11"/>
  <c r="W25" i="11"/>
  <c r="W24" i="11"/>
  <c r="R23" i="11"/>
  <c r="M22" i="11"/>
  <c r="M21" i="11"/>
  <c r="Z19" i="11"/>
  <c r="U18" i="11"/>
  <c r="U17" i="11"/>
  <c r="P16" i="11"/>
  <c r="K15" i="11"/>
  <c r="K14" i="11"/>
  <c r="X12" i="11"/>
  <c r="S11" i="11"/>
  <c r="S10" i="11"/>
  <c r="N9" i="11"/>
  <c r="AA7" i="11"/>
  <c r="AA6" i="11"/>
  <c r="M5" i="11"/>
  <c r="Q55" i="11"/>
  <c r="AA54" i="11"/>
  <c r="S54" i="11"/>
  <c r="U53" i="11"/>
  <c r="M53" i="11"/>
  <c r="W52" i="11"/>
  <c r="O52" i="11"/>
  <c r="Y51" i="11"/>
  <c r="Q51" i="11"/>
  <c r="AA50" i="11"/>
  <c r="S50" i="11"/>
  <c r="K50" i="11"/>
  <c r="U49" i="11"/>
  <c r="M49" i="11"/>
  <c r="W48" i="11"/>
  <c r="O48" i="11"/>
  <c r="Y47" i="11"/>
  <c r="Q47" i="11"/>
  <c r="AA46" i="11"/>
  <c r="S46" i="11"/>
  <c r="K46" i="11"/>
  <c r="U45" i="11"/>
  <c r="M45" i="11"/>
  <c r="W44" i="11"/>
  <c r="O44" i="11"/>
  <c r="Y43" i="11"/>
  <c r="Q43" i="11"/>
  <c r="AA42" i="11"/>
  <c r="S42" i="11"/>
  <c r="K42" i="11"/>
  <c r="U41" i="11"/>
  <c r="K41" i="11"/>
  <c r="T40" i="11"/>
  <c r="J40" i="11"/>
  <c r="R39" i="11"/>
  <c r="Y38" i="11"/>
  <c r="N38" i="11"/>
  <c r="V37" i="11"/>
  <c r="K37" i="11"/>
  <c r="R36" i="11"/>
  <c r="Z35" i="11"/>
  <c r="M35" i="11"/>
  <c r="T34" i="11"/>
  <c r="W33" i="11"/>
  <c r="X32" i="11"/>
  <c r="S31" i="11"/>
  <c r="S30" i="11"/>
  <c r="N29" i="11"/>
  <c r="AA27" i="11"/>
  <c r="AA26" i="11"/>
  <c r="V25" i="11"/>
  <c r="Q24" i="11"/>
  <c r="Q23" i="11"/>
  <c r="L22" i="11"/>
  <c r="Y20" i="11"/>
  <c r="Y19" i="11"/>
  <c r="T18" i="11"/>
  <c r="O17" i="11"/>
  <c r="O16" i="11"/>
  <c r="J15" i="11"/>
  <c r="W13" i="11"/>
  <c r="W12" i="11"/>
  <c r="R11" i="11"/>
  <c r="M10" i="11"/>
  <c r="M9" i="11"/>
  <c r="Z7" i="11"/>
  <c r="T6" i="11"/>
  <c r="X4" i="11"/>
  <c r="P55" i="11"/>
  <c r="Z54" i="11"/>
  <c r="R54" i="11"/>
  <c r="J54" i="11"/>
  <c r="T53" i="11"/>
  <c r="L53" i="11"/>
  <c r="V52" i="11"/>
  <c r="N52" i="11"/>
  <c r="X51" i="11"/>
  <c r="P51" i="11"/>
  <c r="Z50" i="11"/>
  <c r="R50" i="11"/>
  <c r="J50" i="11"/>
  <c r="T49" i="11"/>
  <c r="L49" i="11"/>
  <c r="V48" i="11"/>
  <c r="N48" i="11"/>
  <c r="X47" i="11"/>
  <c r="P47" i="11"/>
  <c r="Z46" i="11"/>
  <c r="R46" i="11"/>
  <c r="J46" i="11"/>
  <c r="T45" i="11"/>
  <c r="L45" i="11"/>
  <c r="V44" i="11"/>
  <c r="N44" i="11"/>
  <c r="X43" i="11"/>
  <c r="P43" i="11"/>
  <c r="Z42" i="11"/>
  <c r="R42" i="11"/>
  <c r="J42" i="11"/>
  <c r="S41" i="11"/>
  <c r="J41" i="11"/>
  <c r="S40" i="11"/>
  <c r="AA39" i="11"/>
  <c r="Q39" i="11"/>
  <c r="W38" i="11"/>
  <c r="M38" i="11"/>
  <c r="U37" i="11"/>
  <c r="AA36" i="11"/>
  <c r="Q36" i="11"/>
  <c r="Y35" i="11"/>
  <c r="L35" i="11"/>
  <c r="S34" i="11"/>
  <c r="V33" i="11"/>
  <c r="W32" i="11"/>
  <c r="R31" i="11"/>
  <c r="M30" i="11"/>
  <c r="M29" i="11"/>
  <c r="Z27" i="11"/>
  <c r="U26" i="11"/>
  <c r="U25" i="11"/>
  <c r="P24" i="11"/>
  <c r="K23" i="11"/>
  <c r="K22" i="11"/>
  <c r="X20" i="11"/>
  <c r="S19" i="11"/>
  <c r="S18" i="11"/>
  <c r="N17" i="11"/>
  <c r="AA15" i="11"/>
  <c r="AA14" i="11"/>
  <c r="V13" i="11"/>
  <c r="Q12" i="11"/>
  <c r="Q11" i="11"/>
  <c r="L10" i="11"/>
  <c r="Y8" i="11"/>
  <c r="Y7" i="11"/>
  <c r="S6" i="11"/>
  <c r="W4" i="11"/>
  <c r="N3" i="11"/>
  <c r="W55" i="11"/>
  <c r="O55" i="11"/>
  <c r="Y54" i="11"/>
  <c r="Q54" i="11"/>
  <c r="AA53" i="11"/>
  <c r="S53" i="11"/>
  <c r="K53" i="11"/>
  <c r="U52" i="11"/>
  <c r="M52" i="11"/>
  <c r="W51" i="11"/>
  <c r="O51" i="11"/>
  <c r="Y50" i="11"/>
  <c r="Q50" i="11"/>
  <c r="AA49" i="11"/>
  <c r="S49" i="11"/>
  <c r="K49" i="11"/>
  <c r="U48" i="11"/>
  <c r="M48" i="11"/>
  <c r="W47" i="11"/>
  <c r="O47" i="11"/>
  <c r="Y46" i="11"/>
  <c r="Q46" i="11"/>
  <c r="AA45" i="11"/>
  <c r="S45" i="11"/>
  <c r="K45" i="11"/>
  <c r="U44" i="11"/>
  <c r="M44" i="11"/>
  <c r="W43" i="11"/>
  <c r="O43" i="11"/>
  <c r="Y42" i="11"/>
  <c r="Q42" i="11"/>
  <c r="AA41" i="11"/>
  <c r="R41" i="11"/>
  <c r="AA40" i="11"/>
  <c r="R40" i="11"/>
  <c r="Z39" i="11"/>
  <c r="O39" i="11"/>
  <c r="V38" i="11"/>
  <c r="L38" i="11"/>
  <c r="S37" i="11"/>
  <c r="Z36" i="11"/>
  <c r="P36" i="11"/>
  <c r="W35" i="11"/>
  <c r="K35" i="11"/>
  <c r="O34" i="11"/>
  <c r="U33" i="11"/>
  <c r="Q32" i="11"/>
  <c r="Q31" i="11"/>
  <c r="L30" i="11"/>
  <c r="Y28" i="11"/>
  <c r="Y27" i="11"/>
  <c r="T26" i="11"/>
  <c r="O25" i="11"/>
  <c r="O24" i="11"/>
  <c r="J23" i="11"/>
  <c r="W21" i="11"/>
  <c r="W20" i="11"/>
  <c r="R19" i="11"/>
  <c r="M18" i="11"/>
  <c r="M17" i="11"/>
  <c r="Z15" i="11"/>
  <c r="U14" i="11"/>
  <c r="U13" i="11"/>
  <c r="P12" i="11"/>
  <c r="K11" i="11"/>
  <c r="K10" i="11"/>
  <c r="X8" i="11"/>
  <c r="S7" i="11"/>
  <c r="L6" i="11"/>
  <c r="J4" i="11"/>
  <c r="R4" i="11"/>
  <c r="Z4" i="11"/>
  <c r="P5" i="11"/>
  <c r="X5" i="11"/>
  <c r="N6" i="11"/>
  <c r="V6" i="11"/>
  <c r="L7" i="11"/>
  <c r="T7" i="11"/>
  <c r="J8" i="11"/>
  <c r="R8" i="11"/>
  <c r="Z8" i="11"/>
  <c r="P9" i="11"/>
  <c r="X9" i="11"/>
  <c r="N10" i="11"/>
  <c r="V10" i="11"/>
  <c r="L11" i="11"/>
  <c r="T11" i="11"/>
  <c r="J12" i="11"/>
  <c r="R12" i="11"/>
  <c r="Z12" i="11"/>
  <c r="P13" i="11"/>
  <c r="X13" i="11"/>
  <c r="N14" i="11"/>
  <c r="V14" i="11"/>
  <c r="L15" i="11"/>
  <c r="T15" i="11"/>
  <c r="J16" i="11"/>
  <c r="R16" i="11"/>
  <c r="Z16" i="11"/>
  <c r="P17" i="11"/>
  <c r="X17" i="11"/>
  <c r="N18" i="11"/>
  <c r="V18" i="11"/>
  <c r="L19" i="11"/>
  <c r="T19" i="11"/>
  <c r="J20" i="11"/>
  <c r="R20" i="11"/>
  <c r="Z20" i="11"/>
  <c r="P21" i="11"/>
  <c r="X21" i="11"/>
  <c r="N22" i="11"/>
  <c r="V22" i="11"/>
  <c r="L23" i="11"/>
  <c r="T23" i="11"/>
  <c r="J24" i="11"/>
  <c r="R24" i="11"/>
  <c r="Z24" i="11"/>
  <c r="P25" i="11"/>
  <c r="X25" i="11"/>
  <c r="N26" i="11"/>
  <c r="V26" i="11"/>
  <c r="L27" i="11"/>
  <c r="T27" i="11"/>
  <c r="J28" i="11"/>
  <c r="R28" i="11"/>
  <c r="Z28" i="11"/>
  <c r="P29" i="11"/>
  <c r="X29" i="11"/>
  <c r="N30" i="11"/>
  <c r="V30" i="11"/>
  <c r="L31" i="11"/>
  <c r="T31" i="11"/>
  <c r="J32" i="11"/>
  <c r="R32" i="11"/>
  <c r="Z32" i="11"/>
  <c r="K4" i="11"/>
  <c r="S4" i="11"/>
  <c r="AA4" i="11"/>
  <c r="Q5" i="11"/>
  <c r="Y5" i="11"/>
  <c r="O6" i="11"/>
  <c r="W6" i="11"/>
  <c r="M7" i="11"/>
  <c r="U7" i="11"/>
  <c r="K8" i="11"/>
  <c r="S8" i="11"/>
  <c r="AA8" i="11"/>
  <c r="Q9" i="11"/>
  <c r="Y9" i="11"/>
  <c r="O10" i="11"/>
  <c r="W10" i="11"/>
  <c r="M11" i="11"/>
  <c r="U11" i="11"/>
  <c r="K12" i="11"/>
  <c r="S12" i="11"/>
  <c r="AA12" i="11"/>
  <c r="Q13" i="11"/>
  <c r="Y13" i="11"/>
  <c r="O14" i="11"/>
  <c r="W14" i="11"/>
  <c r="M15" i="11"/>
  <c r="U15" i="11"/>
  <c r="K16" i="11"/>
  <c r="S16" i="11"/>
  <c r="AA16" i="11"/>
  <c r="Q17" i="11"/>
  <c r="Y17" i="11"/>
  <c r="O18" i="11"/>
  <c r="W18" i="11"/>
  <c r="M19" i="11"/>
  <c r="U19" i="11"/>
  <c r="K20" i="11"/>
  <c r="S20" i="11"/>
  <c r="AA20" i="11"/>
  <c r="Q21" i="11"/>
  <c r="Y21" i="11"/>
  <c r="O22" i="11"/>
  <c r="W22" i="11"/>
  <c r="M23" i="11"/>
  <c r="U23" i="11"/>
  <c r="K24" i="11"/>
  <c r="S24" i="11"/>
  <c r="AA24" i="11"/>
  <c r="Q25" i="11"/>
  <c r="Y25" i="11"/>
  <c r="O26" i="11"/>
  <c r="W26" i="11"/>
  <c r="M27" i="11"/>
  <c r="U27" i="11"/>
  <c r="K28" i="11"/>
  <c r="S28" i="11"/>
  <c r="AA28" i="11"/>
  <c r="Q29" i="11"/>
  <c r="Y29" i="11"/>
  <c r="O30" i="11"/>
  <c r="W30" i="11"/>
  <c r="M31" i="11"/>
  <c r="U31" i="11"/>
  <c r="K32" i="11"/>
  <c r="S32" i="11"/>
  <c r="AA32" i="11"/>
  <c r="Q33" i="11"/>
  <c r="Y33" i="11"/>
  <c r="L4" i="11"/>
  <c r="T4" i="11"/>
  <c r="J5" i="11"/>
  <c r="R5" i="11"/>
  <c r="Z5" i="11"/>
  <c r="P6" i="11"/>
  <c r="X6" i="11"/>
  <c r="N7" i="11"/>
  <c r="V7" i="11"/>
  <c r="L8" i="11"/>
  <c r="T8" i="11"/>
  <c r="J9" i="11"/>
  <c r="R9" i="11"/>
  <c r="Z9" i="11"/>
  <c r="P10" i="11"/>
  <c r="X10" i="11"/>
  <c r="N11" i="11"/>
  <c r="V11" i="11"/>
  <c r="L12" i="11"/>
  <c r="T12" i="11"/>
  <c r="R13" i="11"/>
  <c r="Z13" i="11"/>
  <c r="P14" i="11"/>
  <c r="X14" i="11"/>
  <c r="N15" i="11"/>
  <c r="V15" i="11"/>
  <c r="L16" i="11"/>
  <c r="T16" i="11"/>
  <c r="J17" i="11"/>
  <c r="R17" i="11"/>
  <c r="Z17" i="11"/>
  <c r="P18" i="11"/>
  <c r="X18" i="11"/>
  <c r="N19" i="11"/>
  <c r="V19" i="11"/>
  <c r="L20" i="11"/>
  <c r="T20" i="11"/>
  <c r="J21" i="11"/>
  <c r="R21" i="11"/>
  <c r="Z21" i="11"/>
  <c r="P22" i="11"/>
  <c r="X22" i="11"/>
  <c r="N23" i="11"/>
  <c r="V23" i="11"/>
  <c r="L24" i="11"/>
  <c r="T24" i="11"/>
  <c r="J25" i="11"/>
  <c r="R25" i="11"/>
  <c r="Z25" i="11"/>
  <c r="P26" i="11"/>
  <c r="X26" i="11"/>
  <c r="N27" i="11"/>
  <c r="V27" i="11"/>
  <c r="L28" i="11"/>
  <c r="T28" i="11"/>
  <c r="J29" i="11"/>
  <c r="R29" i="11"/>
  <c r="Z29" i="11"/>
  <c r="P30" i="11"/>
  <c r="X30" i="11"/>
  <c r="N31" i="11"/>
  <c r="V31" i="11"/>
  <c r="L32" i="11"/>
  <c r="T32" i="11"/>
  <c r="J33" i="11"/>
  <c r="R33" i="11"/>
  <c r="Z33" i="11"/>
  <c r="P34" i="11"/>
  <c r="X34" i="11"/>
  <c r="N35" i="11"/>
  <c r="V35" i="11"/>
  <c r="L36" i="11"/>
  <c r="T36" i="11"/>
  <c r="J37" i="11"/>
  <c r="R37" i="11"/>
  <c r="Z37" i="11"/>
  <c r="P38" i="11"/>
  <c r="X38" i="11"/>
  <c r="N39" i="11"/>
  <c r="V39" i="11"/>
  <c r="L40" i="11"/>
  <c r="M4" i="11"/>
  <c r="U4" i="11"/>
  <c r="K5" i="11"/>
  <c r="S5" i="11"/>
  <c r="AA5" i="11"/>
  <c r="Q6" i="11"/>
  <c r="Y6" i="11"/>
  <c r="O7" i="11"/>
  <c r="W7" i="11"/>
  <c r="M8" i="11"/>
  <c r="U8" i="11"/>
  <c r="K9" i="11"/>
  <c r="S9" i="11"/>
  <c r="AA9" i="11"/>
  <c r="Q10" i="11"/>
  <c r="Y10" i="11"/>
  <c r="O11" i="11"/>
  <c r="W11" i="11"/>
  <c r="M12" i="11"/>
  <c r="U12" i="11"/>
  <c r="K13" i="11"/>
  <c r="S13" i="11"/>
  <c r="AA13" i="11"/>
  <c r="Q14" i="11"/>
  <c r="Y14" i="11"/>
  <c r="O15" i="11"/>
  <c r="W15" i="11"/>
  <c r="M16" i="11"/>
  <c r="U16" i="11"/>
  <c r="K17" i="11"/>
  <c r="S17" i="11"/>
  <c r="AA17" i="11"/>
  <c r="Q18" i="11"/>
  <c r="Y18" i="11"/>
  <c r="O19" i="11"/>
  <c r="W19" i="11"/>
  <c r="M20" i="11"/>
  <c r="U20" i="11"/>
  <c r="K21" i="11"/>
  <c r="S21" i="11"/>
  <c r="AA21" i="11"/>
  <c r="Q22" i="11"/>
  <c r="Y22" i="11"/>
  <c r="O23" i="11"/>
  <c r="W23" i="11"/>
  <c r="M24" i="11"/>
  <c r="U24" i="11"/>
  <c r="K25" i="11"/>
  <c r="S25" i="11"/>
  <c r="AA25" i="11"/>
  <c r="Q26" i="11"/>
  <c r="Y26" i="11"/>
  <c r="O27" i="11"/>
  <c r="W27" i="11"/>
  <c r="M28" i="11"/>
  <c r="U28" i="11"/>
  <c r="K29" i="11"/>
  <c r="S29" i="11"/>
  <c r="AA29" i="11"/>
  <c r="Q30" i="11"/>
  <c r="Y30" i="11"/>
  <c r="O31" i="11"/>
  <c r="W31" i="11"/>
  <c r="M32" i="11"/>
  <c r="U32" i="11"/>
  <c r="K33" i="11"/>
  <c r="S33" i="11"/>
  <c r="AA33" i="11"/>
  <c r="Q34" i="11"/>
  <c r="Y34" i="11"/>
  <c r="O35" i="11"/>
  <c r="N4" i="11"/>
  <c r="V4" i="11"/>
  <c r="L5" i="11"/>
  <c r="T5" i="11"/>
  <c r="J6" i="11"/>
  <c r="R6" i="11"/>
  <c r="Z6" i="11"/>
  <c r="P7" i="11"/>
  <c r="X7" i="11"/>
  <c r="N8" i="11"/>
  <c r="V8" i="11"/>
  <c r="L9" i="11"/>
  <c r="T9" i="11"/>
  <c r="J10" i="11"/>
  <c r="R10" i="11"/>
  <c r="Z10" i="11"/>
  <c r="P11" i="11"/>
  <c r="X11" i="11"/>
  <c r="N12" i="11"/>
  <c r="V12" i="11"/>
  <c r="L13" i="11"/>
  <c r="T13" i="11"/>
  <c r="J14" i="11"/>
  <c r="R14" i="11"/>
  <c r="Z14" i="11"/>
  <c r="P15" i="11"/>
  <c r="X15" i="11"/>
  <c r="N16" i="11"/>
  <c r="V16" i="11"/>
  <c r="L17" i="11"/>
  <c r="T17" i="11"/>
  <c r="J18" i="11"/>
  <c r="R18" i="11"/>
  <c r="Z18" i="11"/>
  <c r="P19" i="11"/>
  <c r="X19" i="11"/>
  <c r="N20" i="11"/>
  <c r="V20" i="11"/>
  <c r="L21" i="11"/>
  <c r="T21" i="11"/>
  <c r="J22" i="11"/>
  <c r="R22" i="11"/>
  <c r="Z22" i="11"/>
  <c r="P23" i="11"/>
  <c r="X23" i="11"/>
  <c r="N24" i="11"/>
  <c r="V24" i="11"/>
  <c r="L25" i="11"/>
  <c r="T25" i="11"/>
  <c r="J26" i="11"/>
  <c r="R26" i="11"/>
  <c r="Z26" i="11"/>
  <c r="P27" i="11"/>
  <c r="X27" i="11"/>
  <c r="N28" i="11"/>
  <c r="V28" i="11"/>
  <c r="L29" i="11"/>
  <c r="T29" i="11"/>
  <c r="J30" i="11"/>
  <c r="R30" i="11"/>
  <c r="Z30" i="11"/>
  <c r="P31" i="11"/>
  <c r="X31" i="11"/>
  <c r="N32" i="11"/>
  <c r="V32" i="11"/>
  <c r="L33" i="11"/>
  <c r="T33" i="11"/>
  <c r="J34" i="11"/>
  <c r="R34" i="11"/>
  <c r="Z34" i="11"/>
  <c r="P35" i="11"/>
  <c r="X35" i="11"/>
  <c r="N36" i="11"/>
  <c r="V36" i="11"/>
  <c r="L37" i="11"/>
  <c r="T37" i="11"/>
  <c r="J38" i="11"/>
  <c r="R38" i="11"/>
  <c r="Z38" i="11"/>
  <c r="P39" i="11"/>
  <c r="X39" i="11"/>
  <c r="N40" i="11"/>
  <c r="V40" i="11"/>
  <c r="L41" i="11"/>
  <c r="T41" i="11"/>
  <c r="Q4" i="11"/>
  <c r="Y4" i="11"/>
  <c r="O5" i="11"/>
  <c r="W5" i="11"/>
  <c r="M6" i="11"/>
  <c r="U6" i="11"/>
  <c r="U3" i="11"/>
  <c r="M3" i="11"/>
  <c r="V55" i="11"/>
  <c r="N55" i="11"/>
  <c r="X54" i="11"/>
  <c r="P54" i="11"/>
  <c r="Z53" i="11"/>
  <c r="R53" i="11"/>
  <c r="J53" i="11"/>
  <c r="T52" i="11"/>
  <c r="L52" i="11"/>
  <c r="V51" i="11"/>
  <c r="N51" i="11"/>
  <c r="X50" i="11"/>
  <c r="P50" i="11"/>
  <c r="Z49" i="11"/>
  <c r="R49" i="11"/>
  <c r="J49" i="11"/>
  <c r="T48" i="11"/>
  <c r="L48" i="11"/>
  <c r="V47" i="11"/>
  <c r="N47" i="11"/>
  <c r="X46" i="11"/>
  <c r="P46" i="11"/>
  <c r="Z45" i="11"/>
  <c r="R45" i="11"/>
  <c r="J45" i="11"/>
  <c r="T44" i="11"/>
  <c r="L44" i="11"/>
  <c r="V43" i="11"/>
  <c r="N43" i="11"/>
  <c r="X42" i="11"/>
  <c r="P42" i="11"/>
  <c r="Z41" i="11"/>
  <c r="Q41" i="11"/>
  <c r="Z40" i="11"/>
  <c r="Q40" i="11"/>
  <c r="Y39" i="11"/>
  <c r="M39" i="11"/>
  <c r="U38" i="11"/>
  <c r="K38" i="11"/>
  <c r="Q37" i="11"/>
  <c r="Y36" i="11"/>
  <c r="O36" i="11"/>
  <c r="U35" i="11"/>
  <c r="J35" i="11"/>
  <c r="N34" i="11"/>
  <c r="P33" i="11"/>
  <c r="P32" i="11"/>
  <c r="K31" i="11"/>
  <c r="K30" i="11"/>
  <c r="X28" i="11"/>
  <c r="S27" i="11"/>
  <c r="S26" i="11"/>
  <c r="N25" i="11"/>
  <c r="AA23" i="11"/>
  <c r="AA22" i="11"/>
  <c r="V21" i="11"/>
  <c r="Q20" i="11"/>
  <c r="Q19" i="11"/>
  <c r="L18" i="11"/>
  <c r="Y16" i="11"/>
  <c r="Y15" i="11"/>
  <c r="T14" i="11"/>
  <c r="O13" i="11"/>
  <c r="O12" i="11"/>
  <c r="J11" i="11"/>
  <c r="W9" i="11"/>
  <c r="W8" i="11"/>
  <c r="R7" i="11"/>
  <c r="K6" i="11"/>
  <c r="O4" i="11"/>
  <c r="Q13" i="8"/>
  <c r="N13" i="8"/>
  <c r="O13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5" i="8"/>
  <c r="P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Q6" i="8"/>
  <c r="Q7" i="8"/>
  <c r="Q8" i="8"/>
  <c r="Q9" i="8"/>
  <c r="Q10" i="8"/>
  <c r="Q11" i="8"/>
  <c r="Q12" i="8"/>
  <c r="Q14" i="8"/>
  <c r="Q15" i="8"/>
  <c r="Q16" i="8"/>
  <c r="Q17" i="8"/>
  <c r="Q18" i="8"/>
  <c r="Q19" i="8"/>
  <c r="Q20" i="8"/>
  <c r="Q21" i="8"/>
  <c r="R5" i="8"/>
  <c r="Q5" i="8"/>
  <c r="P16" i="8"/>
  <c r="P17" i="8"/>
  <c r="P18" i="8"/>
  <c r="P19" i="8"/>
  <c r="P20" i="8"/>
  <c r="P21" i="8"/>
  <c r="N16" i="8"/>
  <c r="N17" i="8"/>
  <c r="N18" i="8"/>
  <c r="N19" i="8"/>
  <c r="N20" i="8"/>
  <c r="N21" i="8"/>
  <c r="M16" i="8"/>
  <c r="M17" i="8"/>
  <c r="M18" i="8"/>
  <c r="M19" i="8"/>
  <c r="M20" i="8"/>
  <c r="M21" i="8"/>
  <c r="L16" i="8"/>
  <c r="L17" i="8"/>
  <c r="L18" i="8"/>
  <c r="L19" i="8"/>
  <c r="L20" i="8"/>
  <c r="L21" i="8"/>
  <c r="D21" i="8"/>
  <c r="K21" i="8" s="1"/>
  <c r="O21" i="8" s="1"/>
  <c r="D20" i="8"/>
  <c r="K20" i="8" s="1"/>
  <c r="O20" i="8" s="1"/>
  <c r="D19" i="8"/>
  <c r="K19" i="8" s="1"/>
  <c r="O19" i="8" s="1"/>
  <c r="D18" i="8"/>
  <c r="K18" i="8" s="1"/>
  <c r="O18" i="8" s="1"/>
  <c r="D17" i="8"/>
  <c r="K17" i="8" s="1"/>
  <c r="O17" i="8" s="1"/>
  <c r="D16" i="8"/>
  <c r="K16" i="8" s="1"/>
  <c r="O16" i="8" s="1"/>
  <c r="P10" i="8"/>
  <c r="P11" i="8"/>
  <c r="P12" i="8"/>
  <c r="P13" i="8"/>
  <c r="P14" i="8"/>
  <c r="P15" i="8"/>
  <c r="O10" i="8"/>
  <c r="N10" i="8"/>
  <c r="N11" i="8"/>
  <c r="N12" i="8"/>
  <c r="N14" i="8"/>
  <c r="N15" i="8"/>
  <c r="M10" i="8"/>
  <c r="M11" i="8"/>
  <c r="M12" i="8"/>
  <c r="M13" i="8"/>
  <c r="M14" i="8"/>
  <c r="M15" i="8"/>
  <c r="L10" i="8"/>
  <c r="L11" i="8"/>
  <c r="L12" i="8"/>
  <c r="L13" i="8"/>
  <c r="L14" i="8"/>
  <c r="L15" i="8"/>
  <c r="D10" i="8"/>
  <c r="D11" i="8"/>
  <c r="D12" i="8"/>
  <c r="D13" i="8"/>
  <c r="K13" i="8" s="1"/>
  <c r="D14" i="8"/>
  <c r="D15" i="8"/>
  <c r="K15" i="8" s="1"/>
  <c r="O15" i="8" s="1"/>
  <c r="K14" i="8"/>
  <c r="O14" i="8" s="1"/>
  <c r="K12" i="8"/>
  <c r="O12" i="8" s="1"/>
  <c r="K11" i="8"/>
  <c r="O11" i="8" s="1"/>
  <c r="K10" i="8"/>
  <c r="U106" i="4" l="1"/>
  <c r="T109" i="1"/>
  <c r="D8" i="8"/>
  <c r="K8" i="8" s="1"/>
  <c r="D9" i="8"/>
  <c r="K9" i="8" s="1"/>
  <c r="O9" i="8" s="1"/>
  <c r="D7" i="8"/>
  <c r="U107" i="4" l="1"/>
  <c r="T110" i="1"/>
  <c r="O8" i="8"/>
  <c r="L9" i="8"/>
  <c r="M9" i="8"/>
  <c r="N9" i="8" s="1"/>
  <c r="P9" i="8" s="1"/>
  <c r="Y4" i="8"/>
  <c r="Z4" i="8" s="1"/>
  <c r="O34" i="8"/>
  <c r="U108" i="4" l="1"/>
  <c r="T111" i="1"/>
  <c r="I35" i="8"/>
  <c r="J35" i="8" s="1"/>
  <c r="J34" i="8"/>
  <c r="U109" i="4" l="1"/>
  <c r="T112" i="1"/>
  <c r="I36" i="8"/>
  <c r="J36" i="8" s="1"/>
  <c r="D5" i="8"/>
  <c r="K5" i="8" s="1"/>
  <c r="O5" i="8" s="1"/>
  <c r="D6" i="8"/>
  <c r="K6" i="8" s="1"/>
  <c r="K7" i="8"/>
  <c r="D4" i="8"/>
  <c r="K4" i="8" s="1"/>
  <c r="L5" i="8" s="1"/>
  <c r="U110" i="4" l="1"/>
  <c r="T113" i="1"/>
  <c r="O7" i="8"/>
  <c r="L8" i="8"/>
  <c r="M8" i="8" s="1"/>
  <c r="N8" i="8" s="1"/>
  <c r="P8" i="8" s="1"/>
  <c r="L6" i="8"/>
  <c r="M6" i="8" s="1"/>
  <c r="N6" i="8" s="1"/>
  <c r="I37" i="8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J53" i="8" s="1"/>
  <c r="M5" i="8"/>
  <c r="N5" i="8" s="1"/>
  <c r="L7" i="8"/>
  <c r="M7" i="8" s="1"/>
  <c r="N7" i="8" s="1"/>
  <c r="P7" i="8" s="1"/>
  <c r="O6" i="8"/>
  <c r="J37" i="8"/>
  <c r="J42" i="8"/>
  <c r="J41" i="8"/>
  <c r="F61" i="3"/>
  <c r="F60" i="3"/>
  <c r="K3" i="3" s="1"/>
  <c r="F62" i="5"/>
  <c r="F61" i="5"/>
  <c r="F61" i="6"/>
  <c r="F60" i="6"/>
  <c r="F61" i="7"/>
  <c r="F60" i="7"/>
  <c r="F62" i="4"/>
  <c r="X109" i="4" s="1"/>
  <c r="F61" i="4"/>
  <c r="F69" i="1"/>
  <c r="U112" i="1" s="1"/>
  <c r="F68" i="1"/>
  <c r="W3" i="1" s="1"/>
  <c r="W112" i="1" l="1"/>
  <c r="V112" i="1"/>
  <c r="V103" i="1"/>
  <c r="W103" i="1"/>
  <c r="W105" i="1"/>
  <c r="AJ3" i="1"/>
  <c r="AK3" i="1"/>
  <c r="V104" i="1"/>
  <c r="U104" i="1"/>
  <c r="V105" i="1"/>
  <c r="AI3" i="1"/>
  <c r="W104" i="1"/>
  <c r="AC3" i="1"/>
  <c r="AD3" i="1"/>
  <c r="AE3" i="1"/>
  <c r="AH3" i="1"/>
  <c r="AF3" i="1"/>
  <c r="U105" i="1"/>
  <c r="AG3" i="1"/>
  <c r="V106" i="1"/>
  <c r="W106" i="1"/>
  <c r="K3" i="1"/>
  <c r="AE4" i="1"/>
  <c r="AK4" i="1"/>
  <c r="W107" i="1"/>
  <c r="AF4" i="1"/>
  <c r="AD4" i="1"/>
  <c r="AG4" i="1"/>
  <c r="AH4" i="1"/>
  <c r="AI4" i="1"/>
  <c r="AB4" i="1"/>
  <c r="AJ4" i="1"/>
  <c r="U107" i="1"/>
  <c r="AC4" i="1"/>
  <c r="V107" i="1"/>
  <c r="W108" i="1"/>
  <c r="U108" i="1"/>
  <c r="V108" i="1"/>
  <c r="U109" i="1"/>
  <c r="V109" i="1"/>
  <c r="W109" i="1"/>
  <c r="U110" i="1"/>
  <c r="V110" i="1"/>
  <c r="W110" i="1"/>
  <c r="V111" i="1"/>
  <c r="W111" i="1"/>
  <c r="U111" i="1"/>
  <c r="W109" i="4"/>
  <c r="V109" i="4"/>
  <c r="K3" i="4"/>
  <c r="S3" i="4"/>
  <c r="W99" i="4"/>
  <c r="X99" i="4"/>
  <c r="V99" i="4"/>
  <c r="V100" i="4"/>
  <c r="W100" i="4"/>
  <c r="X100" i="4"/>
  <c r="V101" i="4"/>
  <c r="W101" i="4"/>
  <c r="X101" i="4"/>
  <c r="W102" i="4"/>
  <c r="X102" i="4"/>
  <c r="V102" i="4"/>
  <c r="W103" i="4"/>
  <c r="X103" i="4"/>
  <c r="V103" i="4"/>
  <c r="X104" i="4"/>
  <c r="W104" i="4"/>
  <c r="V104" i="4"/>
  <c r="W105" i="4"/>
  <c r="X105" i="4"/>
  <c r="V105" i="4"/>
  <c r="V106" i="4"/>
  <c r="W106" i="4"/>
  <c r="X106" i="4"/>
  <c r="W107" i="4"/>
  <c r="X107" i="4"/>
  <c r="V107" i="4"/>
  <c r="V108" i="4"/>
  <c r="X108" i="4"/>
  <c r="W108" i="4"/>
  <c r="V100" i="7"/>
  <c r="W99" i="7"/>
  <c r="W102" i="7"/>
  <c r="V105" i="7"/>
  <c r="U108" i="7"/>
  <c r="W110" i="7"/>
  <c r="V113" i="7"/>
  <c r="U116" i="7"/>
  <c r="W118" i="7"/>
  <c r="V121" i="7"/>
  <c r="U124" i="7"/>
  <c r="W126" i="7"/>
  <c r="V129" i="7"/>
  <c r="U132" i="7"/>
  <c r="W134" i="7"/>
  <c r="V137" i="7"/>
  <c r="U140" i="7"/>
  <c r="W142" i="7"/>
  <c r="V145" i="7"/>
  <c r="U148" i="7"/>
  <c r="U107" i="7"/>
  <c r="V120" i="7"/>
  <c r="U131" i="7"/>
  <c r="V144" i="7"/>
  <c r="V107" i="7"/>
  <c r="V123" i="7"/>
  <c r="V147" i="7"/>
  <c r="U97" i="7"/>
  <c r="U100" i="7"/>
  <c r="U103" i="7"/>
  <c r="W105" i="7"/>
  <c r="V108" i="7"/>
  <c r="U111" i="7"/>
  <c r="W113" i="7"/>
  <c r="V116" i="7"/>
  <c r="U119" i="7"/>
  <c r="W121" i="7"/>
  <c r="V124" i="7"/>
  <c r="U127" i="7"/>
  <c r="W129" i="7"/>
  <c r="V132" i="7"/>
  <c r="U135" i="7"/>
  <c r="W137" i="7"/>
  <c r="V140" i="7"/>
  <c r="U143" i="7"/>
  <c r="W145" i="7"/>
  <c r="V148" i="7"/>
  <c r="W109" i="7"/>
  <c r="W125" i="7"/>
  <c r="W141" i="7"/>
  <c r="U110" i="7"/>
  <c r="W128" i="7"/>
  <c r="U142" i="7"/>
  <c r="W100" i="7"/>
  <c r="V103" i="7"/>
  <c r="U106" i="7"/>
  <c r="W108" i="7"/>
  <c r="V111" i="7"/>
  <c r="U114" i="7"/>
  <c r="W116" i="7"/>
  <c r="V119" i="7"/>
  <c r="U122" i="7"/>
  <c r="W124" i="7"/>
  <c r="V127" i="7"/>
  <c r="U130" i="7"/>
  <c r="W132" i="7"/>
  <c r="V135" i="7"/>
  <c r="U138" i="7"/>
  <c r="W140" i="7"/>
  <c r="V143" i="7"/>
  <c r="U146" i="7"/>
  <c r="W148" i="7"/>
  <c r="W101" i="7"/>
  <c r="U115" i="7"/>
  <c r="V128" i="7"/>
  <c r="U147" i="7"/>
  <c r="W104" i="7"/>
  <c r="W120" i="7"/>
  <c r="W136" i="7"/>
  <c r="U98" i="7"/>
  <c r="U101" i="7"/>
  <c r="W103" i="7"/>
  <c r="V106" i="7"/>
  <c r="U109" i="7"/>
  <c r="W111" i="7"/>
  <c r="V114" i="7"/>
  <c r="U117" i="7"/>
  <c r="W119" i="7"/>
  <c r="V122" i="7"/>
  <c r="U125" i="7"/>
  <c r="W127" i="7"/>
  <c r="V130" i="7"/>
  <c r="U133" i="7"/>
  <c r="W135" i="7"/>
  <c r="V138" i="7"/>
  <c r="U141" i="7"/>
  <c r="W143" i="7"/>
  <c r="V146" i="7"/>
  <c r="U149" i="7"/>
  <c r="W98" i="7"/>
  <c r="W117" i="7"/>
  <c r="W133" i="7"/>
  <c r="W149" i="7"/>
  <c r="W112" i="7"/>
  <c r="U126" i="7"/>
  <c r="V139" i="7"/>
  <c r="V98" i="7"/>
  <c r="V101" i="7"/>
  <c r="U104" i="7"/>
  <c r="W106" i="7"/>
  <c r="V109" i="7"/>
  <c r="U112" i="7"/>
  <c r="W114" i="7"/>
  <c r="V117" i="7"/>
  <c r="U120" i="7"/>
  <c r="W122" i="7"/>
  <c r="V125" i="7"/>
  <c r="U128" i="7"/>
  <c r="W130" i="7"/>
  <c r="V133" i="7"/>
  <c r="U136" i="7"/>
  <c r="W138" i="7"/>
  <c r="V141" i="7"/>
  <c r="U144" i="7"/>
  <c r="W146" i="7"/>
  <c r="V149" i="7"/>
  <c r="V112" i="7"/>
  <c r="U139" i="7"/>
  <c r="U102" i="7"/>
  <c r="U118" i="7"/>
  <c r="U134" i="7"/>
  <c r="W144" i="7"/>
  <c r="V99" i="7"/>
  <c r="V102" i="7"/>
  <c r="U105" i="7"/>
  <c r="W107" i="7"/>
  <c r="V110" i="7"/>
  <c r="U113" i="7"/>
  <c r="W115" i="7"/>
  <c r="V118" i="7"/>
  <c r="U121" i="7"/>
  <c r="W123" i="7"/>
  <c r="V126" i="7"/>
  <c r="U129" i="7"/>
  <c r="W131" i="7"/>
  <c r="V134" i="7"/>
  <c r="U137" i="7"/>
  <c r="W139" i="7"/>
  <c r="V142" i="7"/>
  <c r="U145" i="7"/>
  <c r="W147" i="7"/>
  <c r="W97" i="7"/>
  <c r="V104" i="7"/>
  <c r="U123" i="7"/>
  <c r="V136" i="7"/>
  <c r="U99" i="7"/>
  <c r="V115" i="7"/>
  <c r="V131" i="7"/>
  <c r="V97" i="7"/>
  <c r="U111" i="4"/>
  <c r="W110" i="4"/>
  <c r="X110" i="4"/>
  <c r="V110" i="4"/>
  <c r="T114" i="1"/>
  <c r="W113" i="1"/>
  <c r="U113" i="1"/>
  <c r="V113" i="1"/>
  <c r="J49" i="8"/>
  <c r="J40" i="8"/>
  <c r="J39" i="8"/>
  <c r="J47" i="8"/>
  <c r="J46" i="8"/>
  <c r="J38" i="8"/>
  <c r="J52" i="8"/>
  <c r="J43" i="8"/>
  <c r="J45" i="8"/>
  <c r="J44" i="8"/>
  <c r="P6" i="8"/>
  <c r="J51" i="8"/>
  <c r="X4" i="1"/>
  <c r="J50" i="8"/>
  <c r="J48" i="8"/>
  <c r="P3" i="1"/>
  <c r="Z3" i="1"/>
  <c r="X3" i="1"/>
  <c r="R3" i="1"/>
  <c r="Y3" i="1"/>
  <c r="Q3" i="1"/>
  <c r="O3" i="1"/>
  <c r="N3" i="1"/>
  <c r="U3" i="1"/>
  <c r="V3" i="1"/>
  <c r="M3" i="1"/>
  <c r="AB3" i="1"/>
  <c r="T3" i="1"/>
  <c r="L3" i="1"/>
  <c r="K4" i="1"/>
  <c r="S4" i="1"/>
  <c r="AA4" i="1"/>
  <c r="L4" i="1"/>
  <c r="T4" i="1"/>
  <c r="M4" i="1"/>
  <c r="U4" i="1"/>
  <c r="N4" i="1"/>
  <c r="V4" i="1"/>
  <c r="O4" i="1"/>
  <c r="W4" i="1"/>
  <c r="Q4" i="1"/>
  <c r="Y4" i="1"/>
  <c r="R4" i="1"/>
  <c r="Z4" i="1"/>
  <c r="AA3" i="1"/>
  <c r="S3" i="1"/>
  <c r="P4" i="1"/>
  <c r="M2" i="1"/>
  <c r="K2" i="4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U112" i="4" l="1"/>
  <c r="V111" i="4"/>
  <c r="W111" i="4"/>
  <c r="X111" i="4"/>
  <c r="T115" i="1"/>
  <c r="U114" i="1"/>
  <c r="V114" i="1"/>
  <c r="W114" i="1"/>
  <c r="K3" i="7"/>
  <c r="J4" i="7"/>
  <c r="J5" i="7" s="1"/>
  <c r="K5" i="7" s="1"/>
  <c r="L2" i="7"/>
  <c r="K2" i="7"/>
  <c r="J4" i="6"/>
  <c r="K2" i="5"/>
  <c r="L2" i="5" s="1"/>
  <c r="J3" i="5"/>
  <c r="J4" i="5" s="1"/>
  <c r="J5" i="5" s="1"/>
  <c r="K4" i="7" l="1"/>
  <c r="J5" i="6"/>
  <c r="AF4" i="6"/>
  <c r="AG4" i="6"/>
  <c r="AH4" i="6"/>
  <c r="AI4" i="6"/>
  <c r="AB4" i="6"/>
  <c r="AJ4" i="6"/>
  <c r="AC4" i="6"/>
  <c r="AK4" i="6"/>
  <c r="AD4" i="6"/>
  <c r="AE4" i="6"/>
  <c r="U113" i="4"/>
  <c r="V112" i="4"/>
  <c r="X112" i="4"/>
  <c r="W112" i="4"/>
  <c r="T116" i="1"/>
  <c r="U115" i="1"/>
  <c r="V115" i="1"/>
  <c r="W115" i="1"/>
  <c r="L3" i="5"/>
  <c r="L4" i="5"/>
  <c r="L5" i="5"/>
  <c r="K5" i="5"/>
  <c r="K4" i="5"/>
  <c r="K3" i="6"/>
  <c r="K4" i="6"/>
  <c r="L2" i="6"/>
  <c r="L3" i="7"/>
  <c r="L4" i="7"/>
  <c r="L5" i="7"/>
  <c r="J6" i="7"/>
  <c r="M2" i="7"/>
  <c r="J6" i="6"/>
  <c r="M2" i="6"/>
  <c r="M2" i="5"/>
  <c r="K3" i="5"/>
  <c r="J6" i="5"/>
  <c r="K6" i="5" s="1"/>
  <c r="J3" i="3"/>
  <c r="J4" i="3" s="1"/>
  <c r="J5" i="3" s="1"/>
  <c r="K2" i="3"/>
  <c r="AD5" i="6" l="1"/>
  <c r="AE5" i="6"/>
  <c r="AF5" i="6"/>
  <c r="AG5" i="6"/>
  <c r="AH5" i="6"/>
  <c r="AI5" i="6"/>
  <c r="AB5" i="6"/>
  <c r="AJ5" i="6"/>
  <c r="AC5" i="6"/>
  <c r="AK5" i="6"/>
  <c r="K5" i="6"/>
  <c r="J7" i="6"/>
  <c r="L7" i="6" s="1"/>
  <c r="AB6" i="6"/>
  <c r="AJ6" i="6"/>
  <c r="AC6" i="6"/>
  <c r="AK6" i="6"/>
  <c r="AD6" i="6"/>
  <c r="AE6" i="6"/>
  <c r="AF6" i="6"/>
  <c r="AG6" i="6"/>
  <c r="AH6" i="6"/>
  <c r="AI6" i="6"/>
  <c r="U114" i="4"/>
  <c r="V113" i="4"/>
  <c r="W113" i="4"/>
  <c r="X113" i="4"/>
  <c r="T117" i="1"/>
  <c r="W116" i="1"/>
  <c r="U116" i="1"/>
  <c r="V116" i="1"/>
  <c r="K6" i="6"/>
  <c r="M3" i="5"/>
  <c r="M4" i="5"/>
  <c r="M5" i="5"/>
  <c r="M6" i="5"/>
  <c r="L6" i="5"/>
  <c r="M3" i="6"/>
  <c r="M4" i="6"/>
  <c r="M5" i="6"/>
  <c r="M6" i="6"/>
  <c r="M7" i="6"/>
  <c r="L4" i="6"/>
  <c r="L5" i="6"/>
  <c r="L6" i="6"/>
  <c r="L3" i="6"/>
  <c r="J7" i="7"/>
  <c r="M7" i="7" s="1"/>
  <c r="K6" i="7"/>
  <c r="M3" i="7"/>
  <c r="M4" i="7"/>
  <c r="M5" i="7"/>
  <c r="M6" i="7"/>
  <c r="L6" i="7"/>
  <c r="J5" i="1"/>
  <c r="J4" i="4"/>
  <c r="N3" i="4"/>
  <c r="V3" i="4"/>
  <c r="O3" i="4"/>
  <c r="W3" i="4"/>
  <c r="P3" i="4"/>
  <c r="X3" i="4"/>
  <c r="Q3" i="4"/>
  <c r="Y3" i="4"/>
  <c r="R3" i="4"/>
  <c r="Z3" i="4"/>
  <c r="AA3" i="4"/>
  <c r="U3" i="4"/>
  <c r="AB3" i="4"/>
  <c r="L3" i="4"/>
  <c r="M3" i="4"/>
  <c r="T3" i="4"/>
  <c r="N2" i="7"/>
  <c r="N2" i="6"/>
  <c r="N2" i="5"/>
  <c r="K5" i="3"/>
  <c r="L2" i="3"/>
  <c r="K4" i="3"/>
  <c r="J7" i="5"/>
  <c r="J6" i="3"/>
  <c r="J7" i="3" s="1"/>
  <c r="J8" i="3" s="1"/>
  <c r="K8" i="3" s="1"/>
  <c r="M2" i="3"/>
  <c r="AC5" i="1" l="1"/>
  <c r="AK5" i="1"/>
  <c r="AD5" i="1"/>
  <c r="AE5" i="1"/>
  <c r="AF5" i="1"/>
  <c r="AG5" i="1"/>
  <c r="AH5" i="1"/>
  <c r="AI5" i="1"/>
  <c r="AB5" i="1"/>
  <c r="AJ5" i="1"/>
  <c r="R5" i="1"/>
  <c r="U5" i="1"/>
  <c r="Z5" i="1"/>
  <c r="Q5" i="1"/>
  <c r="Y5" i="1"/>
  <c r="K5" i="1"/>
  <c r="L5" i="1"/>
  <c r="S5" i="1"/>
  <c r="T5" i="1"/>
  <c r="N5" i="1"/>
  <c r="AA5" i="1"/>
  <c r="V5" i="1"/>
  <c r="M5" i="1"/>
  <c r="P5" i="1"/>
  <c r="X5" i="1"/>
  <c r="O5" i="1"/>
  <c r="W5" i="1"/>
  <c r="K7" i="6"/>
  <c r="J8" i="6"/>
  <c r="N8" i="6" s="1"/>
  <c r="AH7" i="6"/>
  <c r="AI7" i="6"/>
  <c r="AB7" i="6"/>
  <c r="AJ7" i="6"/>
  <c r="AC7" i="6"/>
  <c r="AK7" i="6"/>
  <c r="AD7" i="6"/>
  <c r="AE7" i="6"/>
  <c r="AF7" i="6"/>
  <c r="AG7" i="6"/>
  <c r="U115" i="4"/>
  <c r="V114" i="4"/>
  <c r="W114" i="4"/>
  <c r="X114" i="4"/>
  <c r="T118" i="1"/>
  <c r="U117" i="1"/>
  <c r="V117" i="1"/>
  <c r="W117" i="1"/>
  <c r="K6" i="3"/>
  <c r="K7" i="3"/>
  <c r="N3" i="5"/>
  <c r="N4" i="5"/>
  <c r="N5" i="5"/>
  <c r="N6" i="5"/>
  <c r="N7" i="5"/>
  <c r="L7" i="5"/>
  <c r="K7" i="5"/>
  <c r="M7" i="5"/>
  <c r="N3" i="6"/>
  <c r="N4" i="6"/>
  <c r="N5" i="6"/>
  <c r="N6" i="6"/>
  <c r="N7" i="6"/>
  <c r="N3" i="7"/>
  <c r="N4" i="7"/>
  <c r="N5" i="7"/>
  <c r="N6" i="7"/>
  <c r="N7" i="7"/>
  <c r="J8" i="7"/>
  <c r="L7" i="7"/>
  <c r="K7" i="7"/>
  <c r="J6" i="1"/>
  <c r="J5" i="4"/>
  <c r="M4" i="4"/>
  <c r="U4" i="4"/>
  <c r="N4" i="4"/>
  <c r="V4" i="4"/>
  <c r="O4" i="4"/>
  <c r="W4" i="4"/>
  <c r="P4" i="4"/>
  <c r="X4" i="4"/>
  <c r="Q4" i="4"/>
  <c r="Y4" i="4"/>
  <c r="R4" i="4"/>
  <c r="Z4" i="4"/>
  <c r="L4" i="4"/>
  <c r="S4" i="4"/>
  <c r="T4" i="4"/>
  <c r="AA4" i="4"/>
  <c r="AB4" i="4"/>
  <c r="K4" i="4"/>
  <c r="O2" i="7"/>
  <c r="O2" i="6"/>
  <c r="O2" i="5"/>
  <c r="M4" i="3"/>
  <c r="M6" i="3"/>
  <c r="M8" i="3"/>
  <c r="M5" i="3"/>
  <c r="M9" i="3"/>
  <c r="M3" i="3"/>
  <c r="M7" i="3"/>
  <c r="L3" i="3"/>
  <c r="L5" i="3"/>
  <c r="L7" i="3"/>
  <c r="L9" i="3"/>
  <c r="L6" i="3"/>
  <c r="L4" i="3"/>
  <c r="L8" i="3"/>
  <c r="J8" i="5"/>
  <c r="N2" i="3"/>
  <c r="J9" i="3"/>
  <c r="K9" i="3" s="1"/>
  <c r="J7" i="1" l="1"/>
  <c r="AI6" i="1"/>
  <c r="AB6" i="1"/>
  <c r="AJ6" i="1"/>
  <c r="AC6" i="1"/>
  <c r="AK6" i="1"/>
  <c r="AD6" i="1"/>
  <c r="AE6" i="1"/>
  <c r="AF6" i="1"/>
  <c r="AG6" i="1"/>
  <c r="AH6" i="1"/>
  <c r="T6" i="1"/>
  <c r="K6" i="1"/>
  <c r="L6" i="1"/>
  <c r="P6" i="1"/>
  <c r="S6" i="1"/>
  <c r="X6" i="1"/>
  <c r="AA6" i="1"/>
  <c r="O6" i="1"/>
  <c r="W6" i="1"/>
  <c r="R6" i="1"/>
  <c r="Q6" i="1"/>
  <c r="Z6" i="1"/>
  <c r="U6" i="1"/>
  <c r="Y6" i="1"/>
  <c r="N6" i="1"/>
  <c r="V6" i="1"/>
  <c r="M6" i="1"/>
  <c r="K8" i="6"/>
  <c r="AF8" i="6"/>
  <c r="AG8" i="6"/>
  <c r="AH8" i="6"/>
  <c r="AI8" i="6"/>
  <c r="AB8" i="6"/>
  <c r="AJ8" i="6"/>
  <c r="AC8" i="6"/>
  <c r="AK8" i="6"/>
  <c r="AD8" i="6"/>
  <c r="AE8" i="6"/>
  <c r="M8" i="6"/>
  <c r="J9" i="6"/>
  <c r="L8" i="6"/>
  <c r="U116" i="4"/>
  <c r="X115" i="4"/>
  <c r="W115" i="4"/>
  <c r="V115" i="4"/>
  <c r="T119" i="1"/>
  <c r="W118" i="1"/>
  <c r="U118" i="1"/>
  <c r="V118" i="1"/>
  <c r="K8" i="5"/>
  <c r="L8" i="5"/>
  <c r="M8" i="5"/>
  <c r="O7" i="5"/>
  <c r="O8" i="5"/>
  <c r="O3" i="5"/>
  <c r="O4" i="5"/>
  <c r="O5" i="5"/>
  <c r="O6" i="5"/>
  <c r="N8" i="5"/>
  <c r="O3" i="6"/>
  <c r="O4" i="6"/>
  <c r="O5" i="6"/>
  <c r="O7" i="6"/>
  <c r="O6" i="6"/>
  <c r="O8" i="6"/>
  <c r="O3" i="7"/>
  <c r="O4" i="7"/>
  <c r="O5" i="7"/>
  <c r="O6" i="7"/>
  <c r="O7" i="7"/>
  <c r="O8" i="7"/>
  <c r="J9" i="7"/>
  <c r="O9" i="7" s="1"/>
  <c r="K8" i="7"/>
  <c r="L8" i="7"/>
  <c r="M8" i="7"/>
  <c r="N8" i="7"/>
  <c r="N2" i="1"/>
  <c r="O2" i="1" s="1"/>
  <c r="J6" i="4"/>
  <c r="L5" i="4"/>
  <c r="T5" i="4"/>
  <c r="AB5" i="4"/>
  <c r="M5" i="4"/>
  <c r="U5" i="4"/>
  <c r="N5" i="4"/>
  <c r="V5" i="4"/>
  <c r="O5" i="4"/>
  <c r="W5" i="4"/>
  <c r="P5" i="4"/>
  <c r="X5" i="4"/>
  <c r="Q5" i="4"/>
  <c r="Y5" i="4"/>
  <c r="S5" i="4"/>
  <c r="K5" i="4"/>
  <c r="Z5" i="4"/>
  <c r="AA5" i="4"/>
  <c r="R5" i="4"/>
  <c r="P2" i="7"/>
  <c r="P2" i="6"/>
  <c r="P2" i="5"/>
  <c r="N3" i="3"/>
  <c r="N5" i="3"/>
  <c r="N7" i="3"/>
  <c r="N9" i="3"/>
  <c r="N4" i="3"/>
  <c r="N8" i="3"/>
  <c r="N6" i="3"/>
  <c r="J9" i="5"/>
  <c r="O9" i="5" s="1"/>
  <c r="O2" i="3"/>
  <c r="J10" i="3"/>
  <c r="AG7" i="1" l="1"/>
  <c r="AH7" i="1"/>
  <c r="AI7" i="1"/>
  <c r="AB7" i="1"/>
  <c r="AJ7" i="1"/>
  <c r="AC7" i="1"/>
  <c r="AK7" i="1"/>
  <c r="AD7" i="1"/>
  <c r="AE7" i="1"/>
  <c r="AF7" i="1"/>
  <c r="O7" i="1"/>
  <c r="X7" i="1"/>
  <c r="R7" i="1"/>
  <c r="W7" i="1"/>
  <c r="N7" i="1"/>
  <c r="V7" i="1"/>
  <c r="Y7" i="1"/>
  <c r="M7" i="1"/>
  <c r="K7" i="1"/>
  <c r="S7" i="1"/>
  <c r="Z7" i="1"/>
  <c r="Q7" i="1"/>
  <c r="AA7" i="1"/>
  <c r="U7" i="1"/>
  <c r="P7" i="1"/>
  <c r="L7" i="1"/>
  <c r="T7" i="1"/>
  <c r="K9" i="6"/>
  <c r="AD9" i="6"/>
  <c r="AE9" i="6"/>
  <c r="AF9" i="6"/>
  <c r="AG9" i="6"/>
  <c r="AH9" i="6"/>
  <c r="AI9" i="6"/>
  <c r="AB9" i="6"/>
  <c r="AJ9" i="6"/>
  <c r="AC9" i="6"/>
  <c r="AK9" i="6"/>
  <c r="N9" i="6"/>
  <c r="J10" i="6"/>
  <c r="L9" i="6"/>
  <c r="M9" i="6"/>
  <c r="O9" i="6"/>
  <c r="U117" i="4"/>
  <c r="V116" i="4"/>
  <c r="W116" i="4"/>
  <c r="X116" i="4"/>
  <c r="T120" i="1"/>
  <c r="U119" i="1"/>
  <c r="W119" i="1"/>
  <c r="V119" i="1"/>
  <c r="K10" i="3"/>
  <c r="M10" i="3"/>
  <c r="L10" i="3"/>
  <c r="N10" i="3"/>
  <c r="P6" i="5"/>
  <c r="P7" i="5"/>
  <c r="P8" i="5"/>
  <c r="P9" i="5"/>
  <c r="P3" i="5"/>
  <c r="P4" i="5"/>
  <c r="P5" i="5"/>
  <c r="K9" i="5"/>
  <c r="L9" i="5"/>
  <c r="M9" i="5"/>
  <c r="N9" i="5"/>
  <c r="P8" i="6"/>
  <c r="P9" i="6"/>
  <c r="P10" i="6"/>
  <c r="P3" i="6"/>
  <c r="P4" i="6"/>
  <c r="P6" i="6"/>
  <c r="P7" i="6"/>
  <c r="P5" i="6"/>
  <c r="J10" i="7"/>
  <c r="P10" i="7" s="1"/>
  <c r="K9" i="7"/>
  <c r="L9" i="7"/>
  <c r="M9" i="7"/>
  <c r="N9" i="7"/>
  <c r="P3" i="7"/>
  <c r="P4" i="7"/>
  <c r="P5" i="7"/>
  <c r="P6" i="7"/>
  <c r="P7" i="7"/>
  <c r="P8" i="7"/>
  <c r="P9" i="7"/>
  <c r="J8" i="1"/>
  <c r="J7" i="4"/>
  <c r="S6" i="4"/>
  <c r="AA6" i="4"/>
  <c r="L6" i="4"/>
  <c r="T6" i="4"/>
  <c r="AB6" i="4"/>
  <c r="M6" i="4"/>
  <c r="U6" i="4"/>
  <c r="N6" i="4"/>
  <c r="V6" i="4"/>
  <c r="O6" i="4"/>
  <c r="W6" i="4"/>
  <c r="P6" i="4"/>
  <c r="X6" i="4"/>
  <c r="K6" i="4"/>
  <c r="Q6" i="4"/>
  <c r="R6" i="4"/>
  <c r="Y6" i="4"/>
  <c r="Z6" i="4"/>
  <c r="Q2" i="7"/>
  <c r="Q2" i="6"/>
  <c r="Q2" i="5"/>
  <c r="O4" i="3"/>
  <c r="O6" i="3"/>
  <c r="O8" i="3"/>
  <c r="O10" i="3"/>
  <c r="O3" i="3"/>
  <c r="O7" i="3"/>
  <c r="O9" i="3"/>
  <c r="O5" i="3"/>
  <c r="J10" i="5"/>
  <c r="P10" i="5" s="1"/>
  <c r="J11" i="3"/>
  <c r="P2" i="3"/>
  <c r="P2" i="1"/>
  <c r="AE8" i="1" l="1"/>
  <c r="AF8" i="1"/>
  <c r="AG8" i="1"/>
  <c r="AH8" i="1"/>
  <c r="AI8" i="1"/>
  <c r="AB8" i="1"/>
  <c r="AJ8" i="1"/>
  <c r="AC8" i="1"/>
  <c r="AK8" i="1"/>
  <c r="AD8" i="1"/>
  <c r="K8" i="1"/>
  <c r="S8" i="1"/>
  <c r="N8" i="1"/>
  <c r="AA8" i="1"/>
  <c r="M8" i="1"/>
  <c r="V8" i="1"/>
  <c r="U8" i="1"/>
  <c r="X8" i="1"/>
  <c r="P8" i="1"/>
  <c r="L8" i="1"/>
  <c r="O8" i="1"/>
  <c r="R8" i="1"/>
  <c r="Z8" i="1"/>
  <c r="T8" i="1"/>
  <c r="W8" i="1"/>
  <c r="Q8" i="1"/>
  <c r="Y8" i="1"/>
  <c r="AB10" i="6"/>
  <c r="AJ10" i="6"/>
  <c r="AC10" i="6"/>
  <c r="AK10" i="6"/>
  <c r="AD10" i="6"/>
  <c r="AE10" i="6"/>
  <c r="AF10" i="6"/>
  <c r="AG10" i="6"/>
  <c r="AH10" i="6"/>
  <c r="AI10" i="6"/>
  <c r="M10" i="6"/>
  <c r="J11" i="6"/>
  <c r="L10" i="6"/>
  <c r="O10" i="6"/>
  <c r="N10" i="6"/>
  <c r="K10" i="6"/>
  <c r="U118" i="4"/>
  <c r="V117" i="4"/>
  <c r="W117" i="4"/>
  <c r="X117" i="4"/>
  <c r="T121" i="1"/>
  <c r="U120" i="1"/>
  <c r="V120" i="1"/>
  <c r="W120" i="1"/>
  <c r="K11" i="3"/>
  <c r="L11" i="3"/>
  <c r="M11" i="3"/>
  <c r="N11" i="3"/>
  <c r="O11" i="3"/>
  <c r="Q5" i="5"/>
  <c r="Q6" i="5"/>
  <c r="Q7" i="5"/>
  <c r="Q8" i="5"/>
  <c r="Q9" i="5"/>
  <c r="Q10" i="5"/>
  <c r="Q3" i="5"/>
  <c r="Q4" i="5"/>
  <c r="L10" i="5"/>
  <c r="K10" i="5"/>
  <c r="M10" i="5"/>
  <c r="N10" i="5"/>
  <c r="O10" i="5"/>
  <c r="Q7" i="6"/>
  <c r="Q8" i="6"/>
  <c r="Q9" i="6"/>
  <c r="Q10" i="6"/>
  <c r="Q3" i="6"/>
  <c r="Q11" i="6"/>
  <c r="Q5" i="6"/>
  <c r="Q4" i="6"/>
  <c r="Q6" i="6"/>
  <c r="Q3" i="7"/>
  <c r="Q4" i="7"/>
  <c r="Q5" i="7"/>
  <c r="Q6" i="7"/>
  <c r="Q7" i="7"/>
  <c r="Q8" i="7"/>
  <c r="Q9" i="7"/>
  <c r="Q10" i="7"/>
  <c r="J11" i="7"/>
  <c r="K10" i="7"/>
  <c r="L10" i="7"/>
  <c r="M10" i="7"/>
  <c r="N10" i="7"/>
  <c r="O10" i="7"/>
  <c r="J9" i="1"/>
  <c r="J8" i="4"/>
  <c r="R7" i="4"/>
  <c r="Z7" i="4"/>
  <c r="S7" i="4"/>
  <c r="AA7" i="4"/>
  <c r="L7" i="4"/>
  <c r="T7" i="4"/>
  <c r="AB7" i="4"/>
  <c r="M7" i="4"/>
  <c r="U7" i="4"/>
  <c r="N7" i="4"/>
  <c r="V7" i="4"/>
  <c r="O7" i="4"/>
  <c r="W7" i="4"/>
  <c r="Q7" i="4"/>
  <c r="X7" i="4"/>
  <c r="Y7" i="4"/>
  <c r="K7" i="4"/>
  <c r="P7" i="4"/>
  <c r="R2" i="7"/>
  <c r="R2" i="6"/>
  <c r="R2" i="5"/>
  <c r="P3" i="3"/>
  <c r="P5" i="3"/>
  <c r="P7" i="3"/>
  <c r="P9" i="3"/>
  <c r="P11" i="3"/>
  <c r="P6" i="3"/>
  <c r="P10" i="3"/>
  <c r="P8" i="3"/>
  <c r="P4" i="3"/>
  <c r="J11" i="5"/>
  <c r="Q2" i="3"/>
  <c r="J12" i="3"/>
  <c r="Q2" i="1"/>
  <c r="AC9" i="1" l="1"/>
  <c r="AK9" i="1"/>
  <c r="AD9" i="1"/>
  <c r="AE9" i="1"/>
  <c r="AF9" i="1"/>
  <c r="AG9" i="1"/>
  <c r="AH9" i="1"/>
  <c r="AI9" i="1"/>
  <c r="AB9" i="1"/>
  <c r="AJ9" i="1"/>
  <c r="R9" i="1"/>
  <c r="M9" i="1"/>
  <c r="V9" i="1"/>
  <c r="Z9" i="1"/>
  <c r="U9" i="1"/>
  <c r="Q9" i="1"/>
  <c r="L9" i="1"/>
  <c r="Y9" i="1"/>
  <c r="K9" i="1"/>
  <c r="T9" i="1"/>
  <c r="S9" i="1"/>
  <c r="N9" i="1"/>
  <c r="AA9" i="1"/>
  <c r="P9" i="1"/>
  <c r="W9" i="1"/>
  <c r="X9" i="1"/>
  <c r="O9" i="1"/>
  <c r="O11" i="6"/>
  <c r="AH11" i="6"/>
  <c r="AI11" i="6"/>
  <c r="AB11" i="6"/>
  <c r="AJ11" i="6"/>
  <c r="K11" i="6"/>
  <c r="AC11" i="6"/>
  <c r="AK11" i="6"/>
  <c r="AD11" i="6"/>
  <c r="AE11" i="6"/>
  <c r="AF11" i="6"/>
  <c r="AG11" i="6"/>
  <c r="M11" i="6"/>
  <c r="L11" i="6"/>
  <c r="J12" i="6"/>
  <c r="R12" i="6" s="1"/>
  <c r="N11" i="6"/>
  <c r="P11" i="6"/>
  <c r="U119" i="4"/>
  <c r="W118" i="4"/>
  <c r="X118" i="4"/>
  <c r="V118" i="4"/>
  <c r="T122" i="1"/>
  <c r="U121" i="1"/>
  <c r="V121" i="1"/>
  <c r="W121" i="1"/>
  <c r="K12" i="3"/>
  <c r="L12" i="3"/>
  <c r="M12" i="3"/>
  <c r="N12" i="3"/>
  <c r="O12" i="3"/>
  <c r="P12" i="3"/>
  <c r="R4" i="5"/>
  <c r="R5" i="5"/>
  <c r="R6" i="5"/>
  <c r="R7" i="5"/>
  <c r="R8" i="5"/>
  <c r="R9" i="5"/>
  <c r="R10" i="5"/>
  <c r="R3" i="5"/>
  <c r="R11" i="5"/>
  <c r="L11" i="5"/>
  <c r="K11" i="5"/>
  <c r="M11" i="5"/>
  <c r="N11" i="5"/>
  <c r="O11" i="5"/>
  <c r="P11" i="5"/>
  <c r="Q11" i="5"/>
  <c r="R6" i="6"/>
  <c r="R7" i="6"/>
  <c r="R8" i="6"/>
  <c r="R9" i="6"/>
  <c r="R10" i="6"/>
  <c r="R4" i="6"/>
  <c r="R5" i="6"/>
  <c r="R11" i="6"/>
  <c r="R3" i="6"/>
  <c r="L11" i="7"/>
  <c r="K11" i="7"/>
  <c r="M11" i="7"/>
  <c r="J12" i="7"/>
  <c r="N11" i="7"/>
  <c r="O11" i="7"/>
  <c r="P11" i="7"/>
  <c r="R3" i="7"/>
  <c r="R11" i="7"/>
  <c r="R6" i="7"/>
  <c r="R9" i="7"/>
  <c r="R4" i="7"/>
  <c r="R12" i="7"/>
  <c r="R7" i="7"/>
  <c r="R10" i="7"/>
  <c r="R5" i="7"/>
  <c r="R8" i="7"/>
  <c r="Q11" i="7"/>
  <c r="J10" i="1"/>
  <c r="J9" i="4"/>
  <c r="Q8" i="4"/>
  <c r="Y8" i="4"/>
  <c r="R8" i="4"/>
  <c r="Z8" i="4"/>
  <c r="S8" i="4"/>
  <c r="AA8" i="4"/>
  <c r="L8" i="4"/>
  <c r="T8" i="4"/>
  <c r="AB8" i="4"/>
  <c r="M8" i="4"/>
  <c r="U8" i="4"/>
  <c r="N8" i="4"/>
  <c r="V8" i="4"/>
  <c r="K8" i="4"/>
  <c r="O8" i="4"/>
  <c r="P8" i="4"/>
  <c r="W8" i="4"/>
  <c r="X8" i="4"/>
  <c r="S2" i="7"/>
  <c r="S2" i="6"/>
  <c r="S2" i="5"/>
  <c r="Q4" i="3"/>
  <c r="Q6" i="3"/>
  <c r="Q8" i="3"/>
  <c r="Q10" i="3"/>
  <c r="Q12" i="3"/>
  <c r="Q5" i="3"/>
  <c r="Q9" i="3"/>
  <c r="Q7" i="3"/>
  <c r="Q11" i="3"/>
  <c r="Q3" i="3"/>
  <c r="J12" i="5"/>
  <c r="J13" i="3"/>
  <c r="Q13" i="3" s="1"/>
  <c r="R2" i="3"/>
  <c r="R2" i="1"/>
  <c r="AI10" i="1" l="1"/>
  <c r="AB10" i="1"/>
  <c r="AJ10" i="1"/>
  <c r="AC10" i="1"/>
  <c r="AK10" i="1"/>
  <c r="AD10" i="1"/>
  <c r="AE10" i="1"/>
  <c r="AF10" i="1"/>
  <c r="AG10" i="1"/>
  <c r="AH10" i="1"/>
  <c r="Y10" i="1"/>
  <c r="L10" i="1"/>
  <c r="T10" i="1"/>
  <c r="P10" i="1"/>
  <c r="K10" i="1"/>
  <c r="X10" i="1"/>
  <c r="S10" i="1"/>
  <c r="O10" i="1"/>
  <c r="R10" i="1"/>
  <c r="W10" i="1"/>
  <c r="Z10" i="1"/>
  <c r="M10" i="1"/>
  <c r="U10" i="1"/>
  <c r="Q10" i="1"/>
  <c r="N10" i="1"/>
  <c r="AA10" i="1"/>
  <c r="V10" i="1"/>
  <c r="P12" i="6"/>
  <c r="AF12" i="6"/>
  <c r="AG12" i="6"/>
  <c r="AH12" i="6"/>
  <c r="AI12" i="6"/>
  <c r="AB12" i="6"/>
  <c r="AJ12" i="6"/>
  <c r="AC12" i="6"/>
  <c r="AK12" i="6"/>
  <c r="AD12" i="6"/>
  <c r="AE12" i="6"/>
  <c r="L12" i="6"/>
  <c r="J13" i="6"/>
  <c r="K12" i="6"/>
  <c r="M12" i="6"/>
  <c r="N12" i="6"/>
  <c r="O12" i="6"/>
  <c r="Q12" i="6"/>
  <c r="U120" i="4"/>
  <c r="V119" i="4"/>
  <c r="W119" i="4"/>
  <c r="X119" i="4"/>
  <c r="T123" i="1"/>
  <c r="W122" i="1"/>
  <c r="V122" i="1"/>
  <c r="U122" i="1"/>
  <c r="K13" i="3"/>
  <c r="M13" i="3"/>
  <c r="L13" i="3"/>
  <c r="N13" i="3"/>
  <c r="O13" i="3"/>
  <c r="P13" i="3"/>
  <c r="K12" i="5"/>
  <c r="L12" i="5"/>
  <c r="M12" i="5"/>
  <c r="N12" i="5"/>
  <c r="O12" i="5"/>
  <c r="P12" i="5"/>
  <c r="Q12" i="5"/>
  <c r="R12" i="5"/>
  <c r="S3" i="5"/>
  <c r="S11" i="5"/>
  <c r="S4" i="5"/>
  <c r="S12" i="5"/>
  <c r="S5" i="5"/>
  <c r="S6" i="5"/>
  <c r="S7" i="5"/>
  <c r="S8" i="5"/>
  <c r="S9" i="5"/>
  <c r="S10" i="5"/>
  <c r="S5" i="6"/>
  <c r="S6" i="6"/>
  <c r="S7" i="6"/>
  <c r="S8" i="6"/>
  <c r="S9" i="6"/>
  <c r="S3" i="6"/>
  <c r="S11" i="6"/>
  <c r="S4" i="6"/>
  <c r="S10" i="6"/>
  <c r="S12" i="6"/>
  <c r="K12" i="7"/>
  <c r="L12" i="7"/>
  <c r="M12" i="7"/>
  <c r="N12" i="7"/>
  <c r="J13" i="7"/>
  <c r="S13" i="7" s="1"/>
  <c r="O12" i="7"/>
  <c r="P12" i="7"/>
  <c r="Q12" i="7"/>
  <c r="S3" i="7"/>
  <c r="S4" i="7"/>
  <c r="S5" i="7"/>
  <c r="S6" i="7"/>
  <c r="S7" i="7"/>
  <c r="S8" i="7"/>
  <c r="S9" i="7"/>
  <c r="S10" i="7"/>
  <c r="S11" i="7"/>
  <c r="S12" i="7"/>
  <c r="J11" i="1"/>
  <c r="J10" i="4"/>
  <c r="P9" i="4"/>
  <c r="X9" i="4"/>
  <c r="Q9" i="4"/>
  <c r="Y9" i="4"/>
  <c r="R9" i="4"/>
  <c r="Z9" i="4"/>
  <c r="S9" i="4"/>
  <c r="AA9" i="4"/>
  <c r="L9" i="4"/>
  <c r="T9" i="4"/>
  <c r="AB9" i="4"/>
  <c r="M9" i="4"/>
  <c r="U9" i="4"/>
  <c r="O9" i="4"/>
  <c r="V9" i="4"/>
  <c r="W9" i="4"/>
  <c r="K9" i="4"/>
  <c r="N9" i="4"/>
  <c r="T2" i="7"/>
  <c r="T2" i="6"/>
  <c r="T2" i="5"/>
  <c r="R3" i="3"/>
  <c r="R5" i="3"/>
  <c r="R7" i="3"/>
  <c r="R9" i="3"/>
  <c r="R11" i="3"/>
  <c r="R4" i="3"/>
  <c r="R8" i="3"/>
  <c r="R12" i="3"/>
  <c r="R13" i="3"/>
  <c r="R6" i="3"/>
  <c r="R10" i="3"/>
  <c r="J13" i="5"/>
  <c r="S13" i="5" s="1"/>
  <c r="S2" i="3"/>
  <c r="J14" i="3"/>
  <c r="R14" i="3" s="1"/>
  <c r="S2" i="1"/>
  <c r="AG11" i="1" l="1"/>
  <c r="AH11" i="1"/>
  <c r="AI11" i="1"/>
  <c r="AB11" i="1"/>
  <c r="AJ11" i="1"/>
  <c r="AC11" i="1"/>
  <c r="AK11" i="1"/>
  <c r="AD11" i="1"/>
  <c r="AE11" i="1"/>
  <c r="AF11" i="1"/>
  <c r="U11" i="1"/>
  <c r="X11" i="1"/>
  <c r="O11" i="1"/>
  <c r="W11" i="1"/>
  <c r="N11" i="1"/>
  <c r="Z11" i="1"/>
  <c r="V11" i="1"/>
  <c r="Q11" i="1"/>
  <c r="Y11" i="1"/>
  <c r="P11" i="1"/>
  <c r="K11" i="1"/>
  <c r="R11" i="1"/>
  <c r="T11" i="1"/>
  <c r="S11" i="1"/>
  <c r="AA11" i="1"/>
  <c r="M11" i="1"/>
  <c r="L11" i="1"/>
  <c r="Q13" i="6"/>
  <c r="AD13" i="6"/>
  <c r="AE13" i="6"/>
  <c r="AF13" i="6"/>
  <c r="AG13" i="6"/>
  <c r="AH13" i="6"/>
  <c r="AI13" i="6"/>
  <c r="AB13" i="6"/>
  <c r="AJ13" i="6"/>
  <c r="AC13" i="6"/>
  <c r="AK13" i="6"/>
  <c r="M13" i="6"/>
  <c r="J14" i="6"/>
  <c r="L13" i="6"/>
  <c r="N13" i="6"/>
  <c r="O13" i="6"/>
  <c r="K13" i="6"/>
  <c r="P13" i="6"/>
  <c r="R13" i="6"/>
  <c r="S13" i="6"/>
  <c r="U121" i="4"/>
  <c r="V120" i="4"/>
  <c r="W120" i="4"/>
  <c r="X120" i="4"/>
  <c r="T124" i="1"/>
  <c r="U123" i="1"/>
  <c r="V123" i="1"/>
  <c r="W123" i="1"/>
  <c r="K14" i="3"/>
  <c r="M14" i="3"/>
  <c r="L14" i="3"/>
  <c r="N14" i="3"/>
  <c r="O14" i="3"/>
  <c r="P14" i="3"/>
  <c r="Q14" i="3"/>
  <c r="T10" i="5"/>
  <c r="T3" i="5"/>
  <c r="T11" i="5"/>
  <c r="T4" i="5"/>
  <c r="T12" i="5"/>
  <c r="T5" i="5"/>
  <c r="T13" i="5"/>
  <c r="T6" i="5"/>
  <c r="T7" i="5"/>
  <c r="T8" i="5"/>
  <c r="T9" i="5"/>
  <c r="L13" i="5"/>
  <c r="K13" i="5"/>
  <c r="M13" i="5"/>
  <c r="N13" i="5"/>
  <c r="O13" i="5"/>
  <c r="P13" i="5"/>
  <c r="Q13" i="5"/>
  <c r="R13" i="5"/>
  <c r="T4" i="6"/>
  <c r="T12" i="6"/>
  <c r="T5" i="6"/>
  <c r="T13" i="6"/>
  <c r="T6" i="6"/>
  <c r="T14" i="6"/>
  <c r="T7" i="6"/>
  <c r="T8" i="6"/>
  <c r="T10" i="6"/>
  <c r="T3" i="6"/>
  <c r="T9" i="6"/>
  <c r="T11" i="6"/>
  <c r="K13" i="7"/>
  <c r="L13" i="7"/>
  <c r="M13" i="7"/>
  <c r="N13" i="7"/>
  <c r="O13" i="7"/>
  <c r="J14" i="7"/>
  <c r="P13" i="7"/>
  <c r="Q13" i="7"/>
  <c r="R13" i="7"/>
  <c r="T3" i="7"/>
  <c r="T4" i="7"/>
  <c r="T5" i="7"/>
  <c r="T6" i="7"/>
  <c r="T7" i="7"/>
  <c r="T8" i="7"/>
  <c r="T9" i="7"/>
  <c r="T10" i="7"/>
  <c r="T11" i="7"/>
  <c r="T12" i="7"/>
  <c r="T13" i="7"/>
  <c r="T14" i="7"/>
  <c r="J12" i="1"/>
  <c r="J11" i="4"/>
  <c r="O10" i="4"/>
  <c r="W10" i="4"/>
  <c r="P10" i="4"/>
  <c r="X10" i="4"/>
  <c r="Q10" i="4"/>
  <c r="Y10" i="4"/>
  <c r="R10" i="4"/>
  <c r="Z10" i="4"/>
  <c r="S10" i="4"/>
  <c r="AA10" i="4"/>
  <c r="L10" i="4"/>
  <c r="T10" i="4"/>
  <c r="AB10" i="4"/>
  <c r="U10" i="4"/>
  <c r="M10" i="4"/>
  <c r="N10" i="4"/>
  <c r="V10" i="4"/>
  <c r="K10" i="4"/>
  <c r="U2" i="7"/>
  <c r="U2" i="6"/>
  <c r="U2" i="5"/>
  <c r="S4" i="3"/>
  <c r="S6" i="3"/>
  <c r="S8" i="3"/>
  <c r="S10" i="3"/>
  <c r="S12" i="3"/>
  <c r="S3" i="3"/>
  <c r="S7" i="3"/>
  <c r="S11" i="3"/>
  <c r="S14" i="3"/>
  <c r="S5" i="3"/>
  <c r="S13" i="3"/>
  <c r="S9" i="3"/>
  <c r="J14" i="5"/>
  <c r="J15" i="3"/>
  <c r="T2" i="3"/>
  <c r="T2" i="1"/>
  <c r="AE12" i="1" l="1"/>
  <c r="AF12" i="1"/>
  <c r="AG12" i="1"/>
  <c r="AH12" i="1"/>
  <c r="AI12" i="1"/>
  <c r="AB12" i="1"/>
  <c r="AJ12" i="1"/>
  <c r="AK12" i="1"/>
  <c r="AD12" i="1"/>
  <c r="AC12" i="1"/>
  <c r="W12" i="1"/>
  <c r="K12" i="1"/>
  <c r="N12" i="1"/>
  <c r="S12" i="1"/>
  <c r="V12" i="1"/>
  <c r="P12" i="1"/>
  <c r="AA12" i="1"/>
  <c r="M12" i="1"/>
  <c r="U12" i="1"/>
  <c r="X12" i="1"/>
  <c r="L12" i="1"/>
  <c r="T12" i="1"/>
  <c r="R12" i="1"/>
  <c r="Z12" i="1"/>
  <c r="Q12" i="1"/>
  <c r="O12" i="1"/>
  <c r="Y12" i="1"/>
  <c r="R14" i="6"/>
  <c r="AB14" i="6"/>
  <c r="AJ14" i="6"/>
  <c r="AC14" i="6"/>
  <c r="AK14" i="6"/>
  <c r="AD14" i="6"/>
  <c r="AE14" i="6"/>
  <c r="AF14" i="6"/>
  <c r="AG14" i="6"/>
  <c r="AH14" i="6"/>
  <c r="AI14" i="6"/>
  <c r="Q14" i="6"/>
  <c r="S14" i="6"/>
  <c r="O14" i="6"/>
  <c r="K14" i="6"/>
  <c r="L14" i="6"/>
  <c r="J15" i="6"/>
  <c r="M14" i="6"/>
  <c r="P14" i="6"/>
  <c r="N14" i="6"/>
  <c r="U122" i="4"/>
  <c r="V121" i="4"/>
  <c r="W121" i="4"/>
  <c r="X121" i="4"/>
  <c r="T125" i="1"/>
  <c r="U124" i="1"/>
  <c r="V124" i="1"/>
  <c r="W124" i="1"/>
  <c r="K15" i="3"/>
  <c r="L15" i="3"/>
  <c r="M15" i="3"/>
  <c r="N15" i="3"/>
  <c r="O15" i="3"/>
  <c r="P15" i="3"/>
  <c r="Q15" i="3"/>
  <c r="R15" i="3"/>
  <c r="S15" i="3"/>
  <c r="K14" i="5"/>
  <c r="L14" i="5"/>
  <c r="M14" i="5"/>
  <c r="N14" i="5"/>
  <c r="O14" i="5"/>
  <c r="P14" i="5"/>
  <c r="Q14" i="5"/>
  <c r="R14" i="5"/>
  <c r="S14" i="5"/>
  <c r="U9" i="5"/>
  <c r="U10" i="5"/>
  <c r="U3" i="5"/>
  <c r="U11" i="5"/>
  <c r="U4" i="5"/>
  <c r="U12" i="5"/>
  <c r="U5" i="5"/>
  <c r="U13" i="5"/>
  <c r="U6" i="5"/>
  <c r="U14" i="5"/>
  <c r="U7" i="5"/>
  <c r="U8" i="5"/>
  <c r="T14" i="5"/>
  <c r="U3" i="6"/>
  <c r="U11" i="6"/>
  <c r="U4" i="6"/>
  <c r="U12" i="6"/>
  <c r="U5" i="6"/>
  <c r="U13" i="6"/>
  <c r="U6" i="6"/>
  <c r="U14" i="6"/>
  <c r="U7" i="6"/>
  <c r="U15" i="6"/>
  <c r="U9" i="6"/>
  <c r="U8" i="6"/>
  <c r="U10" i="6"/>
  <c r="K14" i="7"/>
  <c r="L14" i="7"/>
  <c r="M14" i="7"/>
  <c r="N14" i="7"/>
  <c r="O14" i="7"/>
  <c r="P14" i="7"/>
  <c r="J15" i="7"/>
  <c r="Q14" i="7"/>
  <c r="R14" i="7"/>
  <c r="S14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J13" i="1"/>
  <c r="J12" i="4"/>
  <c r="N11" i="4"/>
  <c r="V11" i="4"/>
  <c r="O11" i="4"/>
  <c r="W11" i="4"/>
  <c r="P11" i="4"/>
  <c r="X11" i="4"/>
  <c r="Q11" i="4"/>
  <c r="Y11" i="4"/>
  <c r="R11" i="4"/>
  <c r="Z11" i="4"/>
  <c r="S11" i="4"/>
  <c r="AA11" i="4"/>
  <c r="M11" i="4"/>
  <c r="T11" i="4"/>
  <c r="U11" i="4"/>
  <c r="AB11" i="4"/>
  <c r="K11" i="4"/>
  <c r="L11" i="4"/>
  <c r="V2" i="7"/>
  <c r="V2" i="6"/>
  <c r="V2" i="5"/>
  <c r="T3" i="3"/>
  <c r="T5" i="3"/>
  <c r="T7" i="3"/>
  <c r="T9" i="3"/>
  <c r="T11" i="3"/>
  <c r="T6" i="3"/>
  <c r="T10" i="3"/>
  <c r="T13" i="3"/>
  <c r="T15" i="3"/>
  <c r="T4" i="3"/>
  <c r="T12" i="3"/>
  <c r="T8" i="3"/>
  <c r="T14" i="3"/>
  <c r="J15" i="5"/>
  <c r="U2" i="3"/>
  <c r="J16" i="3"/>
  <c r="U2" i="1"/>
  <c r="AC13" i="1" l="1"/>
  <c r="AK13" i="1"/>
  <c r="AD13" i="1"/>
  <c r="AE13" i="1"/>
  <c r="AF13" i="1"/>
  <c r="AG13" i="1"/>
  <c r="AI13" i="1"/>
  <c r="AH13" i="1"/>
  <c r="AB13" i="1"/>
  <c r="AJ13" i="1"/>
  <c r="N13" i="1"/>
  <c r="R13" i="1"/>
  <c r="V13" i="1"/>
  <c r="Z13" i="1"/>
  <c r="M13" i="1"/>
  <c r="U13" i="1"/>
  <c r="L13" i="1"/>
  <c r="Q13" i="1"/>
  <c r="T13" i="1"/>
  <c r="Y13" i="1"/>
  <c r="K13" i="1"/>
  <c r="S13" i="1"/>
  <c r="W13" i="1"/>
  <c r="O13" i="1"/>
  <c r="P13" i="1"/>
  <c r="X13" i="1"/>
  <c r="AA13" i="1"/>
  <c r="S15" i="6"/>
  <c r="AH15" i="6"/>
  <c r="AI15" i="6"/>
  <c r="AB15" i="6"/>
  <c r="AJ15" i="6"/>
  <c r="AC15" i="6"/>
  <c r="AK15" i="6"/>
  <c r="AD15" i="6"/>
  <c r="AE15" i="6"/>
  <c r="AF15" i="6"/>
  <c r="AG15" i="6"/>
  <c r="P15" i="6"/>
  <c r="J16" i="6"/>
  <c r="Q15" i="6"/>
  <c r="R15" i="6"/>
  <c r="N15" i="6"/>
  <c r="K15" i="6"/>
  <c r="O15" i="6"/>
  <c r="M15" i="6"/>
  <c r="T15" i="6"/>
  <c r="L15" i="6"/>
  <c r="U123" i="4"/>
  <c r="V122" i="4"/>
  <c r="W122" i="4"/>
  <c r="X122" i="4"/>
  <c r="T126" i="1"/>
  <c r="V125" i="1"/>
  <c r="W125" i="1"/>
  <c r="U125" i="1"/>
  <c r="K16" i="3"/>
  <c r="M16" i="3"/>
  <c r="L16" i="3"/>
  <c r="N16" i="3"/>
  <c r="O16" i="3"/>
  <c r="P16" i="3"/>
  <c r="Q16" i="3"/>
  <c r="R16" i="3"/>
  <c r="S16" i="3"/>
  <c r="T16" i="3"/>
  <c r="V8" i="5"/>
  <c r="V9" i="5"/>
  <c r="V10" i="5"/>
  <c r="V3" i="5"/>
  <c r="V11" i="5"/>
  <c r="V4" i="5"/>
  <c r="V12" i="5"/>
  <c r="V5" i="5"/>
  <c r="V13" i="5"/>
  <c r="V6" i="5"/>
  <c r="V14" i="5"/>
  <c r="V7" i="5"/>
  <c r="V15" i="5"/>
  <c r="K15" i="5"/>
  <c r="L15" i="5"/>
  <c r="M15" i="5"/>
  <c r="N15" i="5"/>
  <c r="O15" i="5"/>
  <c r="P15" i="5"/>
  <c r="Q15" i="5"/>
  <c r="R15" i="5"/>
  <c r="S15" i="5"/>
  <c r="T15" i="5"/>
  <c r="U15" i="5"/>
  <c r="V10" i="6"/>
  <c r="V3" i="6"/>
  <c r="V11" i="6"/>
  <c r="V4" i="6"/>
  <c r="V12" i="6"/>
  <c r="V5" i="6"/>
  <c r="V13" i="6"/>
  <c r="V6" i="6"/>
  <c r="V14" i="6"/>
  <c r="V8" i="6"/>
  <c r="V16" i="6"/>
  <c r="V7" i="6"/>
  <c r="V9" i="6"/>
  <c r="V15" i="6"/>
  <c r="L15" i="7"/>
  <c r="K15" i="7"/>
  <c r="M15" i="7"/>
  <c r="N15" i="7"/>
  <c r="O15" i="7"/>
  <c r="P15" i="7"/>
  <c r="Q15" i="7"/>
  <c r="J16" i="7"/>
  <c r="R15" i="7"/>
  <c r="S15" i="7"/>
  <c r="T15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J14" i="1"/>
  <c r="J13" i="4"/>
  <c r="M12" i="4"/>
  <c r="U12" i="4"/>
  <c r="N12" i="4"/>
  <c r="V12" i="4"/>
  <c r="O12" i="4"/>
  <c r="W12" i="4"/>
  <c r="P12" i="4"/>
  <c r="X12" i="4"/>
  <c r="Q12" i="4"/>
  <c r="Y12" i="4"/>
  <c r="R12" i="4"/>
  <c r="Z12" i="4"/>
  <c r="AB12" i="4"/>
  <c r="L12" i="4"/>
  <c r="S12" i="4"/>
  <c r="T12" i="4"/>
  <c r="AA12" i="4"/>
  <c r="K12" i="4"/>
  <c r="W2" i="7"/>
  <c r="W2" i="6"/>
  <c r="W2" i="5"/>
  <c r="U4" i="3"/>
  <c r="U6" i="3"/>
  <c r="U8" i="3"/>
  <c r="U10" i="3"/>
  <c r="U12" i="3"/>
  <c r="U5" i="3"/>
  <c r="U9" i="3"/>
  <c r="U14" i="3"/>
  <c r="U16" i="3"/>
  <c r="U3" i="3"/>
  <c r="U11" i="3"/>
  <c r="U15" i="3"/>
  <c r="U7" i="3"/>
  <c r="U13" i="3"/>
  <c r="J16" i="5"/>
  <c r="J17" i="3"/>
  <c r="U17" i="3" s="1"/>
  <c r="V2" i="3"/>
  <c r="V2" i="1"/>
  <c r="AI14" i="1" l="1"/>
  <c r="AB14" i="1"/>
  <c r="AJ14" i="1"/>
  <c r="AC14" i="1"/>
  <c r="AK14" i="1"/>
  <c r="AD14" i="1"/>
  <c r="AE14" i="1"/>
  <c r="AF14" i="1"/>
  <c r="AG14" i="1"/>
  <c r="AH14" i="1"/>
  <c r="T14" i="1"/>
  <c r="Q14" i="1"/>
  <c r="Y14" i="1"/>
  <c r="P14" i="1"/>
  <c r="X14" i="1"/>
  <c r="K14" i="1"/>
  <c r="L14" i="1"/>
  <c r="R14" i="1"/>
  <c r="AA14" i="1"/>
  <c r="O14" i="1"/>
  <c r="Z14" i="1"/>
  <c r="M14" i="1"/>
  <c r="U14" i="1"/>
  <c r="N14" i="1"/>
  <c r="S14" i="1"/>
  <c r="V14" i="1"/>
  <c r="W14" i="1"/>
  <c r="T16" i="6"/>
  <c r="AF16" i="6"/>
  <c r="AG16" i="6"/>
  <c r="AH16" i="6"/>
  <c r="AI16" i="6"/>
  <c r="AB16" i="6"/>
  <c r="AJ16" i="6"/>
  <c r="AC16" i="6"/>
  <c r="AK16" i="6"/>
  <c r="AD16" i="6"/>
  <c r="AE16" i="6"/>
  <c r="U16" i="6"/>
  <c r="R16" i="6"/>
  <c r="K16" i="6"/>
  <c r="S16" i="6"/>
  <c r="J17" i="6"/>
  <c r="M16" i="6"/>
  <c r="P16" i="6"/>
  <c r="L16" i="6"/>
  <c r="Q16" i="6"/>
  <c r="N16" i="6"/>
  <c r="O16" i="6"/>
  <c r="U124" i="4"/>
  <c r="X123" i="4"/>
  <c r="W123" i="4"/>
  <c r="V123" i="4"/>
  <c r="T127" i="1"/>
  <c r="U126" i="1"/>
  <c r="V126" i="1"/>
  <c r="W126" i="1"/>
  <c r="K17" i="3"/>
  <c r="M17" i="3"/>
  <c r="L17" i="3"/>
  <c r="N17" i="3"/>
  <c r="O17" i="3"/>
  <c r="P17" i="3"/>
  <c r="Q17" i="3"/>
  <c r="R17" i="3"/>
  <c r="S17" i="3"/>
  <c r="T17" i="3"/>
  <c r="K16" i="5"/>
  <c r="L16" i="5"/>
  <c r="M16" i="5"/>
  <c r="N16" i="5"/>
  <c r="O16" i="5"/>
  <c r="P16" i="5"/>
  <c r="Q16" i="5"/>
  <c r="R16" i="5"/>
  <c r="S16" i="5"/>
  <c r="T16" i="5"/>
  <c r="U16" i="5"/>
  <c r="V16" i="5"/>
  <c r="W7" i="5"/>
  <c r="W15" i="5"/>
  <c r="W8" i="5"/>
  <c r="W16" i="5"/>
  <c r="W9" i="5"/>
  <c r="W10" i="5"/>
  <c r="W3" i="5"/>
  <c r="W11" i="5"/>
  <c r="W4" i="5"/>
  <c r="W12" i="5"/>
  <c r="W5" i="5"/>
  <c r="W13" i="5"/>
  <c r="W6" i="5"/>
  <c r="W14" i="5"/>
  <c r="W9" i="6"/>
  <c r="W10" i="6"/>
  <c r="W3" i="6"/>
  <c r="W11" i="6"/>
  <c r="W4" i="6"/>
  <c r="W12" i="6"/>
  <c r="W5" i="6"/>
  <c r="W13" i="6"/>
  <c r="W7" i="6"/>
  <c r="W15" i="6"/>
  <c r="W16" i="6"/>
  <c r="W6" i="6"/>
  <c r="W8" i="6"/>
  <c r="W14" i="6"/>
  <c r="K16" i="7"/>
  <c r="L16" i="7"/>
  <c r="M16" i="7"/>
  <c r="N16" i="7"/>
  <c r="O16" i="7"/>
  <c r="P16" i="7"/>
  <c r="Q16" i="7"/>
  <c r="J17" i="7"/>
  <c r="R16" i="7"/>
  <c r="S16" i="7"/>
  <c r="T16" i="7"/>
  <c r="U16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V16" i="7"/>
  <c r="J15" i="1"/>
  <c r="J14" i="4"/>
  <c r="L13" i="4"/>
  <c r="T13" i="4"/>
  <c r="AB13" i="4"/>
  <c r="M13" i="4"/>
  <c r="U13" i="4"/>
  <c r="N13" i="4"/>
  <c r="V13" i="4"/>
  <c r="O13" i="4"/>
  <c r="W13" i="4"/>
  <c r="P13" i="4"/>
  <c r="X13" i="4"/>
  <c r="Q13" i="4"/>
  <c r="Y13" i="4"/>
  <c r="K13" i="4"/>
  <c r="R13" i="4"/>
  <c r="S13" i="4"/>
  <c r="Z13" i="4"/>
  <c r="AA13" i="4"/>
  <c r="X2" i="7"/>
  <c r="X2" i="6"/>
  <c r="X2" i="5"/>
  <c r="V3" i="3"/>
  <c r="V5" i="3"/>
  <c r="V7" i="3"/>
  <c r="V9" i="3"/>
  <c r="V11" i="3"/>
  <c r="V4" i="3"/>
  <c r="V8" i="3"/>
  <c r="V12" i="3"/>
  <c r="V13" i="3"/>
  <c r="V15" i="3"/>
  <c r="V17" i="3"/>
  <c r="V10" i="3"/>
  <c r="V14" i="3"/>
  <c r="V6" i="3"/>
  <c r="V16" i="3"/>
  <c r="J17" i="5"/>
  <c r="W2" i="3"/>
  <c r="J18" i="3"/>
  <c r="W2" i="1"/>
  <c r="AG15" i="1" l="1"/>
  <c r="AH15" i="1"/>
  <c r="AI15" i="1"/>
  <c r="AB15" i="1"/>
  <c r="AJ15" i="1"/>
  <c r="AC15" i="1"/>
  <c r="AK15" i="1"/>
  <c r="AD15" i="1"/>
  <c r="AE15" i="1"/>
  <c r="AF15" i="1"/>
  <c r="M15" i="1"/>
  <c r="X15" i="1"/>
  <c r="U15" i="1"/>
  <c r="Z15" i="1"/>
  <c r="O15" i="1"/>
  <c r="W15" i="1"/>
  <c r="R15" i="1"/>
  <c r="N15" i="1"/>
  <c r="V15" i="1"/>
  <c r="Q15" i="1"/>
  <c r="P15" i="1"/>
  <c r="Y15" i="1"/>
  <c r="K15" i="1"/>
  <c r="T15" i="1"/>
  <c r="S15" i="1"/>
  <c r="AA15" i="1"/>
  <c r="L15" i="1"/>
  <c r="AD17" i="6"/>
  <c r="AE17" i="6"/>
  <c r="AF17" i="6"/>
  <c r="AG17" i="6"/>
  <c r="AH17" i="6"/>
  <c r="AI17" i="6"/>
  <c r="AB17" i="6"/>
  <c r="AJ17" i="6"/>
  <c r="AC17" i="6"/>
  <c r="AK17" i="6"/>
  <c r="L17" i="6"/>
  <c r="U17" i="6"/>
  <c r="S17" i="6"/>
  <c r="N17" i="6"/>
  <c r="T17" i="6"/>
  <c r="O17" i="6"/>
  <c r="K17" i="6"/>
  <c r="P17" i="6"/>
  <c r="Q17" i="6"/>
  <c r="V17" i="6"/>
  <c r="R17" i="6"/>
  <c r="M17" i="6"/>
  <c r="J18" i="6"/>
  <c r="W17" i="6"/>
  <c r="U125" i="4"/>
  <c r="V124" i="4"/>
  <c r="W124" i="4"/>
  <c r="X124" i="4"/>
  <c r="T128" i="1"/>
  <c r="U127" i="1"/>
  <c r="W127" i="1"/>
  <c r="V127" i="1"/>
  <c r="K18" i="3"/>
  <c r="L18" i="3"/>
  <c r="M18" i="3"/>
  <c r="N18" i="3"/>
  <c r="O18" i="3"/>
  <c r="P18" i="3"/>
  <c r="Q18" i="3"/>
  <c r="R18" i="3"/>
  <c r="S18" i="3"/>
  <c r="T18" i="3"/>
  <c r="U18" i="3"/>
  <c r="V18" i="3"/>
  <c r="L17" i="5"/>
  <c r="K17" i="5"/>
  <c r="M17" i="5"/>
  <c r="N17" i="5"/>
  <c r="O17" i="5"/>
  <c r="P17" i="5"/>
  <c r="Q17" i="5"/>
  <c r="R17" i="5"/>
  <c r="S17" i="5"/>
  <c r="T17" i="5"/>
  <c r="U17" i="5"/>
  <c r="V17" i="5"/>
  <c r="W17" i="5"/>
  <c r="X6" i="5"/>
  <c r="X14" i="5"/>
  <c r="X7" i="5"/>
  <c r="X15" i="5"/>
  <c r="X8" i="5"/>
  <c r="X16" i="5"/>
  <c r="X9" i="5"/>
  <c r="X17" i="5"/>
  <c r="X10" i="5"/>
  <c r="X3" i="5"/>
  <c r="X11" i="5"/>
  <c r="X4" i="5"/>
  <c r="X12" i="5"/>
  <c r="X5" i="5"/>
  <c r="X13" i="5"/>
  <c r="X8" i="6"/>
  <c r="X16" i="6"/>
  <c r="X9" i="6"/>
  <c r="X17" i="6"/>
  <c r="X10" i="6"/>
  <c r="X3" i="6"/>
  <c r="X11" i="6"/>
  <c r="X4" i="6"/>
  <c r="X12" i="6"/>
  <c r="X6" i="6"/>
  <c r="X14" i="6"/>
  <c r="X5" i="6"/>
  <c r="X7" i="6"/>
  <c r="X13" i="6"/>
  <c r="X15" i="6"/>
  <c r="L17" i="7"/>
  <c r="K17" i="7"/>
  <c r="M17" i="7"/>
  <c r="N17" i="7"/>
  <c r="O17" i="7"/>
  <c r="P17" i="7"/>
  <c r="Q17" i="7"/>
  <c r="R17" i="7"/>
  <c r="S17" i="7"/>
  <c r="J18" i="7"/>
  <c r="X18" i="7" s="1"/>
  <c r="T17" i="7"/>
  <c r="U17" i="7"/>
  <c r="V17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W17" i="7"/>
  <c r="J16" i="1"/>
  <c r="J15" i="4"/>
  <c r="S14" i="4"/>
  <c r="AA14" i="4"/>
  <c r="L14" i="4"/>
  <c r="T14" i="4"/>
  <c r="AB14" i="4"/>
  <c r="M14" i="4"/>
  <c r="U14" i="4"/>
  <c r="N14" i="4"/>
  <c r="V14" i="4"/>
  <c r="O14" i="4"/>
  <c r="W14" i="4"/>
  <c r="P14" i="4"/>
  <c r="X14" i="4"/>
  <c r="Z14" i="4"/>
  <c r="K14" i="4"/>
  <c r="R14" i="4"/>
  <c r="Y14" i="4"/>
  <c r="Q14" i="4"/>
  <c r="Y2" i="7"/>
  <c r="Y2" i="6"/>
  <c r="Y2" i="5"/>
  <c r="W4" i="3"/>
  <c r="W6" i="3"/>
  <c r="W8" i="3"/>
  <c r="W10" i="3"/>
  <c r="W12" i="3"/>
  <c r="W3" i="3"/>
  <c r="W7" i="3"/>
  <c r="W11" i="3"/>
  <c r="W14" i="3"/>
  <c r="W16" i="3"/>
  <c r="W9" i="3"/>
  <c r="W13" i="3"/>
  <c r="W17" i="3"/>
  <c r="W18" i="3"/>
  <c r="W5" i="3"/>
  <c r="W15" i="3"/>
  <c r="J18" i="5"/>
  <c r="X18" i="5" s="1"/>
  <c r="X2" i="3"/>
  <c r="J19" i="3"/>
  <c r="X2" i="1"/>
  <c r="AE16" i="1" l="1"/>
  <c r="AC16" i="1"/>
  <c r="AF16" i="1"/>
  <c r="AG16" i="1"/>
  <c r="AH16" i="1"/>
  <c r="AI16" i="1"/>
  <c r="AB16" i="1"/>
  <c r="AJ16" i="1"/>
  <c r="AK16" i="1"/>
  <c r="AD16" i="1"/>
  <c r="O16" i="1"/>
  <c r="N16" i="1"/>
  <c r="W16" i="1"/>
  <c r="K16" i="1"/>
  <c r="V16" i="1"/>
  <c r="S16" i="1"/>
  <c r="P16" i="1"/>
  <c r="AA16" i="1"/>
  <c r="M16" i="1"/>
  <c r="U16" i="1"/>
  <c r="L16" i="1"/>
  <c r="R16" i="1"/>
  <c r="T16" i="1"/>
  <c r="Z16" i="1"/>
  <c r="X16" i="1"/>
  <c r="Y16" i="1"/>
  <c r="Q16" i="1"/>
  <c r="AB18" i="6"/>
  <c r="AJ18" i="6"/>
  <c r="AC18" i="6"/>
  <c r="AK18" i="6"/>
  <c r="AD18" i="6"/>
  <c r="AE18" i="6"/>
  <c r="AF18" i="6"/>
  <c r="AG18" i="6"/>
  <c r="AH18" i="6"/>
  <c r="AI18" i="6"/>
  <c r="Q18" i="6"/>
  <c r="W18" i="6"/>
  <c r="J19" i="6"/>
  <c r="Y19" i="6" s="1"/>
  <c r="R18" i="6"/>
  <c r="K18" i="6"/>
  <c r="S18" i="6"/>
  <c r="M18" i="6"/>
  <c r="T18" i="6"/>
  <c r="O18" i="6"/>
  <c r="V18" i="6"/>
  <c r="P18" i="6"/>
  <c r="L18" i="6"/>
  <c r="U18" i="6"/>
  <c r="N18" i="6"/>
  <c r="X18" i="6"/>
  <c r="U126" i="4"/>
  <c r="V125" i="4"/>
  <c r="W125" i="4"/>
  <c r="X125" i="4"/>
  <c r="T129" i="1"/>
  <c r="U128" i="1"/>
  <c r="V128" i="1"/>
  <c r="W128" i="1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Y5" i="5"/>
  <c r="Y13" i="5"/>
  <c r="Y6" i="5"/>
  <c r="Y14" i="5"/>
  <c r="Y7" i="5"/>
  <c r="Y15" i="5"/>
  <c r="Y8" i="5"/>
  <c r="Y16" i="5"/>
  <c r="Y9" i="5"/>
  <c r="Y17" i="5"/>
  <c r="Y10" i="5"/>
  <c r="Y18" i="5"/>
  <c r="Y3" i="5"/>
  <c r="Y11" i="5"/>
  <c r="Y4" i="5"/>
  <c r="Y12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Y7" i="6"/>
  <c r="Y15" i="6"/>
  <c r="Y8" i="6"/>
  <c r="Y16" i="6"/>
  <c r="Y9" i="6"/>
  <c r="Y17" i="6"/>
  <c r="Y10" i="6"/>
  <c r="Y18" i="6"/>
  <c r="Y3" i="6"/>
  <c r="Y11" i="6"/>
  <c r="Y5" i="6"/>
  <c r="Y13" i="6"/>
  <c r="Y14" i="6"/>
  <c r="Y4" i="6"/>
  <c r="Y6" i="6"/>
  <c r="Y12" i="6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K18" i="7"/>
  <c r="L18" i="7"/>
  <c r="M18" i="7"/>
  <c r="N18" i="7"/>
  <c r="O18" i="7"/>
  <c r="P18" i="7"/>
  <c r="Q18" i="7"/>
  <c r="R18" i="7"/>
  <c r="S18" i="7"/>
  <c r="T18" i="7"/>
  <c r="J19" i="7"/>
  <c r="U18" i="7"/>
  <c r="V18" i="7"/>
  <c r="W18" i="7"/>
  <c r="J17" i="1"/>
  <c r="J16" i="4"/>
  <c r="R15" i="4"/>
  <c r="Z15" i="4"/>
  <c r="S15" i="4"/>
  <c r="AA15" i="4"/>
  <c r="L15" i="4"/>
  <c r="T15" i="4"/>
  <c r="AB15" i="4"/>
  <c r="M15" i="4"/>
  <c r="U15" i="4"/>
  <c r="N15" i="4"/>
  <c r="V15" i="4"/>
  <c r="O15" i="4"/>
  <c r="W15" i="4"/>
  <c r="P15" i="4"/>
  <c r="Q15" i="4"/>
  <c r="K15" i="4"/>
  <c r="X15" i="4"/>
  <c r="Y15" i="4"/>
  <c r="Z2" i="7"/>
  <c r="Z2" i="6"/>
  <c r="Z2" i="5"/>
  <c r="X3" i="3"/>
  <c r="X5" i="3"/>
  <c r="X7" i="3"/>
  <c r="X9" i="3"/>
  <c r="X11" i="3"/>
  <c r="X6" i="3"/>
  <c r="X10" i="3"/>
  <c r="X13" i="3"/>
  <c r="X15" i="3"/>
  <c r="X17" i="3"/>
  <c r="X8" i="3"/>
  <c r="X16" i="3"/>
  <c r="X19" i="3"/>
  <c r="X4" i="3"/>
  <c r="X12" i="3"/>
  <c r="X14" i="3"/>
  <c r="X18" i="3"/>
  <c r="J19" i="5"/>
  <c r="Y2" i="3"/>
  <c r="J20" i="3"/>
  <c r="X20" i="3" s="1"/>
  <c r="Y2" i="1"/>
  <c r="AC17" i="1" l="1"/>
  <c r="AK17" i="1"/>
  <c r="AD17" i="1"/>
  <c r="AE17" i="1"/>
  <c r="AF17" i="1"/>
  <c r="AG17" i="1"/>
  <c r="AH17" i="1"/>
  <c r="AI17" i="1"/>
  <c r="AB17" i="1"/>
  <c r="AJ17" i="1"/>
  <c r="V17" i="1"/>
  <c r="R17" i="1"/>
  <c r="AA17" i="1"/>
  <c r="N17" i="1"/>
  <c r="Z17" i="1"/>
  <c r="M17" i="1"/>
  <c r="L17" i="1"/>
  <c r="U17" i="1"/>
  <c r="T17" i="1"/>
  <c r="Q17" i="1"/>
  <c r="Y17" i="1"/>
  <c r="K17" i="1"/>
  <c r="O17" i="1"/>
  <c r="W17" i="1"/>
  <c r="P17" i="1"/>
  <c r="X17" i="1"/>
  <c r="S17" i="1"/>
  <c r="AH19" i="6"/>
  <c r="AI19" i="6"/>
  <c r="K19" i="6"/>
  <c r="AB19" i="6"/>
  <c r="AJ19" i="6"/>
  <c r="AC19" i="6"/>
  <c r="AK19" i="6"/>
  <c r="AD19" i="6"/>
  <c r="AE19" i="6"/>
  <c r="AF19" i="6"/>
  <c r="AG19" i="6"/>
  <c r="W19" i="6"/>
  <c r="L19" i="6"/>
  <c r="T19" i="6"/>
  <c r="S19" i="6"/>
  <c r="M19" i="6"/>
  <c r="U19" i="6"/>
  <c r="N19" i="6"/>
  <c r="V19" i="6"/>
  <c r="O19" i="6"/>
  <c r="X19" i="6"/>
  <c r="J20" i="6"/>
  <c r="P19" i="6"/>
  <c r="Q19" i="6"/>
  <c r="R19" i="6"/>
  <c r="U127" i="4"/>
  <c r="W126" i="4"/>
  <c r="X126" i="4"/>
  <c r="V126" i="4"/>
  <c r="T130" i="1"/>
  <c r="U129" i="1"/>
  <c r="V129" i="1"/>
  <c r="W129" i="1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L19" i="5"/>
  <c r="K19" i="5"/>
  <c r="M19" i="5"/>
  <c r="N19" i="5"/>
  <c r="O19" i="5"/>
  <c r="P19" i="5"/>
  <c r="Q19" i="5"/>
  <c r="R19" i="5"/>
  <c r="S19" i="5"/>
  <c r="T19" i="5"/>
  <c r="U19" i="5"/>
  <c r="V19" i="5"/>
  <c r="W19" i="5"/>
  <c r="X19" i="5"/>
  <c r="Z4" i="5"/>
  <c r="Z12" i="5"/>
  <c r="Z5" i="5"/>
  <c r="Z13" i="5"/>
  <c r="Z6" i="5"/>
  <c r="Z14" i="5"/>
  <c r="Z7" i="5"/>
  <c r="Z15" i="5"/>
  <c r="Z8" i="5"/>
  <c r="Z16" i="5"/>
  <c r="Z9" i="5"/>
  <c r="Z17" i="5"/>
  <c r="Z10" i="5"/>
  <c r="Z18" i="5"/>
  <c r="Z3" i="5"/>
  <c r="Z11" i="5"/>
  <c r="Z19" i="5"/>
  <c r="Y19" i="5"/>
  <c r="Z6" i="6"/>
  <c r="Z14" i="6"/>
  <c r="Z7" i="6"/>
  <c r="Z15" i="6"/>
  <c r="Z8" i="6"/>
  <c r="Z16" i="6"/>
  <c r="Z9" i="6"/>
  <c r="Z17" i="6"/>
  <c r="Z10" i="6"/>
  <c r="Z18" i="6"/>
  <c r="Z4" i="6"/>
  <c r="Z12" i="6"/>
  <c r="Z3" i="6"/>
  <c r="Z19" i="6"/>
  <c r="Z5" i="6"/>
  <c r="Z11" i="6"/>
  <c r="Z13" i="6"/>
  <c r="K19" i="7"/>
  <c r="L19" i="7"/>
  <c r="M19" i="7"/>
  <c r="N19" i="7"/>
  <c r="O19" i="7"/>
  <c r="P19" i="7"/>
  <c r="Q19" i="7"/>
  <c r="R19" i="7"/>
  <c r="S19" i="7"/>
  <c r="T19" i="7"/>
  <c r="J20" i="7"/>
  <c r="Z20" i="7" s="1"/>
  <c r="U19" i="7"/>
  <c r="V19" i="7"/>
  <c r="W19" i="7"/>
  <c r="X19" i="7"/>
  <c r="Z8" i="7"/>
  <c r="Z3" i="7"/>
  <c r="Z11" i="7"/>
  <c r="Z17" i="7"/>
  <c r="Z19" i="7"/>
  <c r="Z6" i="7"/>
  <c r="Z14" i="7"/>
  <c r="Z9" i="7"/>
  <c r="Z15" i="7"/>
  <c r="Z4" i="7"/>
  <c r="Z12" i="7"/>
  <c r="Z7" i="7"/>
  <c r="Z16" i="7"/>
  <c r="Z18" i="7"/>
  <c r="Z10" i="7"/>
  <c r="Z5" i="7"/>
  <c r="Z13" i="7"/>
  <c r="Y19" i="7"/>
  <c r="J18" i="1"/>
  <c r="J17" i="4"/>
  <c r="Q16" i="4"/>
  <c r="Y16" i="4"/>
  <c r="R16" i="4"/>
  <c r="Z16" i="4"/>
  <c r="S16" i="4"/>
  <c r="AA16" i="4"/>
  <c r="L16" i="4"/>
  <c r="T16" i="4"/>
  <c r="AB16" i="4"/>
  <c r="M16" i="4"/>
  <c r="U16" i="4"/>
  <c r="N16" i="4"/>
  <c r="V16" i="4"/>
  <c r="X16" i="4"/>
  <c r="K16" i="4"/>
  <c r="O16" i="4"/>
  <c r="P16" i="4"/>
  <c r="W16" i="4"/>
  <c r="AA2" i="7"/>
  <c r="AA2" i="6"/>
  <c r="AA2" i="5"/>
  <c r="Y4" i="3"/>
  <c r="Y6" i="3"/>
  <c r="Y8" i="3"/>
  <c r="Y10" i="3"/>
  <c r="Y12" i="3"/>
  <c r="Y5" i="3"/>
  <c r="Y9" i="3"/>
  <c r="Y14" i="3"/>
  <c r="Y16" i="3"/>
  <c r="Y7" i="3"/>
  <c r="Y15" i="3"/>
  <c r="Y18" i="3"/>
  <c r="Y20" i="3"/>
  <c r="Y3" i="3"/>
  <c r="Y17" i="3"/>
  <c r="Y19" i="3"/>
  <c r="Y13" i="3"/>
  <c r="Y11" i="3"/>
  <c r="J20" i="5"/>
  <c r="Z2" i="3"/>
  <c r="J21" i="3"/>
  <c r="Z2" i="1"/>
  <c r="AI18" i="1" l="1"/>
  <c r="AB18" i="1"/>
  <c r="AJ18" i="1"/>
  <c r="AC18" i="1"/>
  <c r="AK18" i="1"/>
  <c r="AD18" i="1"/>
  <c r="AE18" i="1"/>
  <c r="AF18" i="1"/>
  <c r="AG18" i="1"/>
  <c r="AH18" i="1"/>
  <c r="W18" i="1"/>
  <c r="Q18" i="1"/>
  <c r="P18" i="1"/>
  <c r="Y18" i="1"/>
  <c r="X18" i="1"/>
  <c r="R18" i="1"/>
  <c r="S18" i="1"/>
  <c r="Z18" i="1"/>
  <c r="AA18" i="1"/>
  <c r="K18" i="1"/>
  <c r="M18" i="1"/>
  <c r="T18" i="1"/>
  <c r="O18" i="1"/>
  <c r="U18" i="1"/>
  <c r="N18" i="1"/>
  <c r="L18" i="1"/>
  <c r="V18" i="1"/>
  <c r="AF20" i="6"/>
  <c r="AG20" i="6"/>
  <c r="AH20" i="6"/>
  <c r="AI20" i="6"/>
  <c r="AB20" i="6"/>
  <c r="AJ20" i="6"/>
  <c r="AC20" i="6"/>
  <c r="AK20" i="6"/>
  <c r="AD20" i="6"/>
  <c r="AE20" i="6"/>
  <c r="N20" i="6"/>
  <c r="V20" i="6"/>
  <c r="U20" i="6"/>
  <c r="J21" i="6"/>
  <c r="AA21" i="6" s="1"/>
  <c r="Y20" i="6"/>
  <c r="O20" i="6"/>
  <c r="W20" i="6"/>
  <c r="X20" i="6"/>
  <c r="P20" i="6"/>
  <c r="L20" i="6"/>
  <c r="Q20" i="6"/>
  <c r="R20" i="6"/>
  <c r="T20" i="6"/>
  <c r="M20" i="6"/>
  <c r="K20" i="6"/>
  <c r="S20" i="6"/>
  <c r="Z20" i="6"/>
  <c r="U128" i="4"/>
  <c r="V127" i="4"/>
  <c r="W127" i="4"/>
  <c r="X127" i="4"/>
  <c r="T131" i="1"/>
  <c r="W130" i="1"/>
  <c r="U130" i="1"/>
  <c r="V130" i="1"/>
  <c r="K21" i="3"/>
  <c r="M21" i="3"/>
  <c r="L21" i="3"/>
  <c r="N21" i="3"/>
  <c r="O21" i="3"/>
  <c r="P21" i="3"/>
  <c r="Q21" i="3"/>
  <c r="R21" i="3"/>
  <c r="S21" i="3"/>
  <c r="T21" i="3"/>
  <c r="U21" i="3"/>
  <c r="V21" i="3"/>
  <c r="W21" i="3"/>
  <c r="X21" i="3"/>
  <c r="Y21" i="3"/>
  <c r="AA3" i="5"/>
  <c r="AA11" i="5"/>
  <c r="AA19" i="5"/>
  <c r="AA4" i="5"/>
  <c r="AA12" i="5"/>
  <c r="AA20" i="5"/>
  <c r="AA5" i="5"/>
  <c r="AA13" i="5"/>
  <c r="AA6" i="5"/>
  <c r="AA14" i="5"/>
  <c r="AA7" i="5"/>
  <c r="AA15" i="5"/>
  <c r="AA8" i="5"/>
  <c r="AA16" i="5"/>
  <c r="AA9" i="5"/>
  <c r="AA17" i="5"/>
  <c r="AA10" i="5"/>
  <c r="AA18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5" i="6"/>
  <c r="AA13" i="6"/>
  <c r="AA6" i="6"/>
  <c r="AA14" i="6"/>
  <c r="AA7" i="6"/>
  <c r="AA15" i="6"/>
  <c r="AA8" i="6"/>
  <c r="AA16" i="6"/>
  <c r="AA9" i="6"/>
  <c r="AA17" i="6"/>
  <c r="AA3" i="6"/>
  <c r="AA11" i="6"/>
  <c r="AA19" i="6"/>
  <c r="AA12" i="6"/>
  <c r="AA18" i="6"/>
  <c r="AA20" i="6"/>
  <c r="AA4" i="6"/>
  <c r="AA10" i="6"/>
  <c r="K20" i="7"/>
  <c r="L20" i="7"/>
  <c r="M20" i="7"/>
  <c r="N20" i="7"/>
  <c r="O20" i="7"/>
  <c r="P20" i="7"/>
  <c r="Q20" i="7"/>
  <c r="R20" i="7"/>
  <c r="S20" i="7"/>
  <c r="T20" i="7"/>
  <c r="U20" i="7"/>
  <c r="V20" i="7"/>
  <c r="J21" i="7"/>
  <c r="AA21" i="7" s="1"/>
  <c r="W20" i="7"/>
  <c r="X20" i="7"/>
  <c r="Y20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7" i="7"/>
  <c r="AA19" i="7"/>
  <c r="AA16" i="7"/>
  <c r="AA18" i="7"/>
  <c r="AA20" i="7"/>
  <c r="J19" i="1"/>
  <c r="J18" i="4"/>
  <c r="P17" i="4"/>
  <c r="X17" i="4"/>
  <c r="Q17" i="4"/>
  <c r="Y17" i="4"/>
  <c r="R17" i="4"/>
  <c r="Z17" i="4"/>
  <c r="S17" i="4"/>
  <c r="AA17" i="4"/>
  <c r="L17" i="4"/>
  <c r="T17" i="4"/>
  <c r="AB17" i="4"/>
  <c r="M17" i="4"/>
  <c r="U17" i="4"/>
  <c r="N17" i="4"/>
  <c r="O17" i="4"/>
  <c r="V17" i="4"/>
  <c r="W17" i="4"/>
  <c r="K17" i="4"/>
  <c r="AB2" i="7"/>
  <c r="AB2" i="6"/>
  <c r="AB2" i="5"/>
  <c r="Z3" i="3"/>
  <c r="Z5" i="3"/>
  <c r="Z7" i="3"/>
  <c r="Z9" i="3"/>
  <c r="Z11" i="3"/>
  <c r="Z4" i="3"/>
  <c r="Z8" i="3"/>
  <c r="Z12" i="3"/>
  <c r="Z13" i="3"/>
  <c r="Z15" i="3"/>
  <c r="Z17" i="3"/>
  <c r="Z6" i="3"/>
  <c r="Z14" i="3"/>
  <c r="Z19" i="3"/>
  <c r="Z21" i="3"/>
  <c r="Z16" i="3"/>
  <c r="Z18" i="3"/>
  <c r="Z10" i="3"/>
  <c r="Z20" i="3"/>
  <c r="J21" i="5"/>
  <c r="AA21" i="5" s="1"/>
  <c r="AA2" i="3"/>
  <c r="J22" i="3"/>
  <c r="Z22" i="3" s="1"/>
  <c r="AA2" i="1"/>
  <c r="AG19" i="1" l="1"/>
  <c r="AH19" i="1"/>
  <c r="AI19" i="1"/>
  <c r="AB19" i="1"/>
  <c r="AJ19" i="1"/>
  <c r="AC19" i="1"/>
  <c r="AK19" i="1"/>
  <c r="AD19" i="1"/>
  <c r="AE19" i="1"/>
  <c r="AF19" i="1"/>
  <c r="X19" i="1"/>
  <c r="Y19" i="1"/>
  <c r="R19" i="1"/>
  <c r="M19" i="1"/>
  <c r="U19" i="1"/>
  <c r="Z19" i="1"/>
  <c r="O19" i="1"/>
  <c r="N19" i="1"/>
  <c r="W19" i="1"/>
  <c r="V19" i="1"/>
  <c r="P19" i="1"/>
  <c r="T19" i="1"/>
  <c r="Q19" i="1"/>
  <c r="K19" i="1"/>
  <c r="S19" i="1"/>
  <c r="AA19" i="1"/>
  <c r="L19" i="1"/>
  <c r="Y21" i="6"/>
  <c r="AD21" i="6"/>
  <c r="AE21" i="6"/>
  <c r="AF21" i="6"/>
  <c r="AG21" i="6"/>
  <c r="AH21" i="6"/>
  <c r="AI21" i="6"/>
  <c r="AB21" i="6"/>
  <c r="AJ21" i="6"/>
  <c r="AC21" i="6"/>
  <c r="AK21" i="6"/>
  <c r="Z21" i="6"/>
  <c r="R21" i="6"/>
  <c r="K21" i="6"/>
  <c r="S21" i="6"/>
  <c r="N21" i="6"/>
  <c r="O21" i="6"/>
  <c r="J22" i="6"/>
  <c r="M21" i="6"/>
  <c r="T21" i="6"/>
  <c r="V21" i="6"/>
  <c r="L21" i="6"/>
  <c r="U21" i="6"/>
  <c r="Q21" i="6"/>
  <c r="W21" i="6"/>
  <c r="P21" i="6"/>
  <c r="X21" i="6"/>
  <c r="U129" i="4"/>
  <c r="X128" i="4"/>
  <c r="V128" i="4"/>
  <c r="W128" i="4"/>
  <c r="T132" i="1"/>
  <c r="U131" i="1"/>
  <c r="V131" i="1"/>
  <c r="W131" i="1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AB10" i="5"/>
  <c r="AB18" i="5"/>
  <c r="AB3" i="5"/>
  <c r="AB11" i="5"/>
  <c r="AB19" i="5"/>
  <c r="AB4" i="5"/>
  <c r="AB12" i="5"/>
  <c r="AB20" i="5"/>
  <c r="AB5" i="5"/>
  <c r="AB13" i="5"/>
  <c r="AB6" i="5"/>
  <c r="AB14" i="5"/>
  <c r="AB7" i="5"/>
  <c r="AB15" i="5"/>
  <c r="AB8" i="5"/>
  <c r="AB16" i="5"/>
  <c r="AB17" i="5"/>
  <c r="AB21" i="5"/>
  <c r="AB9" i="5"/>
  <c r="L21" i="5"/>
  <c r="K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B3" i="6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J22" i="7"/>
  <c r="AB22" i="7" s="1"/>
  <c r="X21" i="7"/>
  <c r="Y21" i="7"/>
  <c r="Z21" i="7"/>
  <c r="AB3" i="7"/>
  <c r="AB4" i="7"/>
  <c r="AB5" i="7"/>
  <c r="AB6" i="7"/>
  <c r="AB7" i="7"/>
  <c r="AB8" i="7"/>
  <c r="AB9" i="7"/>
  <c r="AB10" i="7"/>
  <c r="AB11" i="7"/>
  <c r="AB12" i="7"/>
  <c r="AB13" i="7"/>
  <c r="AB14" i="7"/>
  <c r="AB17" i="7"/>
  <c r="AB19" i="7"/>
  <c r="AB21" i="7"/>
  <c r="AB15" i="7"/>
  <c r="AB18" i="7"/>
  <c r="AB20" i="7"/>
  <c r="AB16" i="7"/>
  <c r="AC2" i="7"/>
  <c r="J20" i="1"/>
  <c r="J19" i="4"/>
  <c r="O18" i="4"/>
  <c r="W18" i="4"/>
  <c r="P18" i="4"/>
  <c r="X18" i="4"/>
  <c r="Q18" i="4"/>
  <c r="Y18" i="4"/>
  <c r="R18" i="4"/>
  <c r="Z18" i="4"/>
  <c r="S18" i="4"/>
  <c r="AA18" i="4"/>
  <c r="L18" i="4"/>
  <c r="T18" i="4"/>
  <c r="AB18" i="4"/>
  <c r="V18" i="4"/>
  <c r="M18" i="4"/>
  <c r="N18" i="4"/>
  <c r="U18" i="4"/>
  <c r="K18" i="4"/>
  <c r="AA4" i="3"/>
  <c r="AA6" i="3"/>
  <c r="AA8" i="3"/>
  <c r="AA10" i="3"/>
  <c r="AA12" i="3"/>
  <c r="AA3" i="3"/>
  <c r="AA7" i="3"/>
  <c r="AA11" i="3"/>
  <c r="AA14" i="3"/>
  <c r="AA16" i="3"/>
  <c r="AA5" i="3"/>
  <c r="AA13" i="3"/>
  <c r="AA17" i="3"/>
  <c r="AA18" i="3"/>
  <c r="AA20" i="3"/>
  <c r="AA22" i="3"/>
  <c r="AA15" i="3"/>
  <c r="AA21" i="3"/>
  <c r="AA9" i="3"/>
  <c r="AA19" i="3"/>
  <c r="J22" i="5"/>
  <c r="AB2" i="3"/>
  <c r="J23" i="3"/>
  <c r="AB2" i="1"/>
  <c r="AE20" i="1" l="1"/>
  <c r="AF20" i="1"/>
  <c r="AG20" i="1"/>
  <c r="AH20" i="1"/>
  <c r="AI20" i="1"/>
  <c r="AB20" i="1"/>
  <c r="AJ20" i="1"/>
  <c r="AK20" i="1"/>
  <c r="AD20" i="1"/>
  <c r="AC20" i="1"/>
  <c r="N20" i="1"/>
  <c r="O20" i="1"/>
  <c r="V20" i="1"/>
  <c r="W20" i="1"/>
  <c r="X20" i="1"/>
  <c r="K20" i="1"/>
  <c r="S20" i="1"/>
  <c r="AA20" i="1"/>
  <c r="M20" i="1"/>
  <c r="P20" i="1"/>
  <c r="L20" i="1"/>
  <c r="U20" i="1"/>
  <c r="Y20" i="1"/>
  <c r="R20" i="1"/>
  <c r="Z20" i="1"/>
  <c r="T20" i="1"/>
  <c r="Q20" i="1"/>
  <c r="Z22" i="6"/>
  <c r="AB22" i="6"/>
  <c r="AJ22" i="6"/>
  <c r="AC22" i="6"/>
  <c r="AK22" i="6"/>
  <c r="AD22" i="6"/>
  <c r="AE22" i="6"/>
  <c r="AF22" i="6"/>
  <c r="AG22" i="6"/>
  <c r="AH22" i="6"/>
  <c r="AI22" i="6"/>
  <c r="K22" i="6"/>
  <c r="S22" i="6"/>
  <c r="AA22" i="6"/>
  <c r="M22" i="6"/>
  <c r="T22" i="6"/>
  <c r="L22" i="6"/>
  <c r="U22" i="6"/>
  <c r="O22" i="6"/>
  <c r="W22" i="6"/>
  <c r="N22" i="6"/>
  <c r="V22" i="6"/>
  <c r="Q22" i="6"/>
  <c r="Y22" i="6"/>
  <c r="J23" i="6"/>
  <c r="P22" i="6"/>
  <c r="X22" i="6"/>
  <c r="R22" i="6"/>
  <c r="U130" i="4"/>
  <c r="V129" i="4"/>
  <c r="W129" i="4"/>
  <c r="X129" i="4"/>
  <c r="T133" i="1"/>
  <c r="U132" i="1"/>
  <c r="V132" i="1"/>
  <c r="W132" i="1"/>
  <c r="K23" i="3"/>
  <c r="M23" i="3"/>
  <c r="L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D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J23" i="7"/>
  <c r="Y22" i="7"/>
  <c r="Z22" i="7"/>
  <c r="AA22" i="7"/>
  <c r="J21" i="1"/>
  <c r="J20" i="4"/>
  <c r="N19" i="4"/>
  <c r="V19" i="4"/>
  <c r="O19" i="4"/>
  <c r="W19" i="4"/>
  <c r="P19" i="4"/>
  <c r="X19" i="4"/>
  <c r="Q19" i="4"/>
  <c r="Y19" i="4"/>
  <c r="R19" i="4"/>
  <c r="Z19" i="4"/>
  <c r="S19" i="4"/>
  <c r="AA19" i="4"/>
  <c r="L19" i="4"/>
  <c r="M19" i="4"/>
  <c r="T19" i="4"/>
  <c r="U19" i="4"/>
  <c r="AB19" i="4"/>
  <c r="K19" i="4"/>
  <c r="AB3" i="3"/>
  <c r="AB5" i="3"/>
  <c r="AB7" i="3"/>
  <c r="AB9" i="3"/>
  <c r="AB11" i="3"/>
  <c r="AB6" i="3"/>
  <c r="AB10" i="3"/>
  <c r="AB13" i="3"/>
  <c r="AB15" i="3"/>
  <c r="AB17" i="3"/>
  <c r="AB4" i="3"/>
  <c r="AB12" i="3"/>
  <c r="AB16" i="3"/>
  <c r="AB19" i="3"/>
  <c r="AB21" i="3"/>
  <c r="AB23" i="3"/>
  <c r="AB14" i="3"/>
  <c r="AB20" i="3"/>
  <c r="AB8" i="3"/>
  <c r="AB22" i="3"/>
  <c r="AB18" i="3"/>
  <c r="J23" i="5"/>
  <c r="J24" i="3"/>
  <c r="AC21" i="1" l="1"/>
  <c r="AK21" i="1"/>
  <c r="AD21" i="1"/>
  <c r="AE21" i="1"/>
  <c r="AF21" i="1"/>
  <c r="AG21" i="1"/>
  <c r="AH21" i="1"/>
  <c r="AB21" i="1"/>
  <c r="AJ21" i="1"/>
  <c r="AI21" i="1"/>
  <c r="R21" i="1"/>
  <c r="S21" i="1"/>
  <c r="Z21" i="1"/>
  <c r="AA21" i="1"/>
  <c r="L21" i="1"/>
  <c r="M21" i="1"/>
  <c r="T21" i="1"/>
  <c r="V21" i="1"/>
  <c r="Q21" i="1"/>
  <c r="Y21" i="1"/>
  <c r="O21" i="1"/>
  <c r="W21" i="1"/>
  <c r="P21" i="1"/>
  <c r="U21" i="1"/>
  <c r="X21" i="1"/>
  <c r="N21" i="1"/>
  <c r="K21" i="1"/>
  <c r="AH23" i="6"/>
  <c r="AI23" i="6"/>
  <c r="AB23" i="6"/>
  <c r="AJ23" i="6"/>
  <c r="AC23" i="6"/>
  <c r="AK23" i="6"/>
  <c r="AD23" i="6"/>
  <c r="AE23" i="6"/>
  <c r="AF23" i="6"/>
  <c r="AG23" i="6"/>
  <c r="L23" i="6"/>
  <c r="U23" i="6"/>
  <c r="AA23" i="6"/>
  <c r="N23" i="6"/>
  <c r="V23" i="6"/>
  <c r="J24" i="6"/>
  <c r="K23" i="6"/>
  <c r="O23" i="6"/>
  <c r="W23" i="6"/>
  <c r="S23" i="6"/>
  <c r="P23" i="6"/>
  <c r="X23" i="6"/>
  <c r="M23" i="6"/>
  <c r="Q23" i="6"/>
  <c r="Y23" i="6"/>
  <c r="R23" i="6"/>
  <c r="Z23" i="6"/>
  <c r="T23" i="6"/>
  <c r="U131" i="4"/>
  <c r="V130" i="4"/>
  <c r="W130" i="4"/>
  <c r="X130" i="4"/>
  <c r="T134" i="1"/>
  <c r="V133" i="1"/>
  <c r="U133" i="1"/>
  <c r="W133" i="1"/>
  <c r="K24" i="3"/>
  <c r="M24" i="3"/>
  <c r="L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L23" i="5"/>
  <c r="K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L23" i="7"/>
  <c r="K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J24" i="7"/>
  <c r="AD24" i="7" s="1"/>
  <c r="Z23" i="7"/>
  <c r="AA23" i="7"/>
  <c r="AB23" i="7"/>
  <c r="AC23" i="7"/>
  <c r="AE2" i="7"/>
  <c r="AD3" i="7"/>
  <c r="AD4" i="7"/>
  <c r="AD5" i="7"/>
  <c r="AD6" i="7"/>
  <c r="AD7" i="7"/>
  <c r="AD8" i="7"/>
  <c r="AD9" i="7"/>
  <c r="AD10" i="7"/>
  <c r="AD11" i="7"/>
  <c r="AD12" i="7"/>
  <c r="AD13" i="7"/>
  <c r="AD16" i="7"/>
  <c r="AD18" i="7"/>
  <c r="AD20" i="7"/>
  <c r="AD22" i="7"/>
  <c r="AD14" i="7"/>
  <c r="AD17" i="7"/>
  <c r="AD19" i="7"/>
  <c r="AD21" i="7"/>
  <c r="AD23" i="7"/>
  <c r="AD15" i="7"/>
  <c r="J22" i="1"/>
  <c r="J21" i="4"/>
  <c r="M20" i="4"/>
  <c r="U20" i="4"/>
  <c r="N20" i="4"/>
  <c r="V20" i="4"/>
  <c r="O20" i="4"/>
  <c r="W20" i="4"/>
  <c r="P20" i="4"/>
  <c r="Q20" i="4"/>
  <c r="Y20" i="4"/>
  <c r="R20" i="4"/>
  <c r="Z20" i="4"/>
  <c r="T20" i="4"/>
  <c r="X20" i="4"/>
  <c r="AA20" i="4"/>
  <c r="AB20" i="4"/>
  <c r="L20" i="4"/>
  <c r="S20" i="4"/>
  <c r="K20" i="4"/>
  <c r="J24" i="5"/>
  <c r="J25" i="3"/>
  <c r="AI22" i="1" l="1"/>
  <c r="AB22" i="1"/>
  <c r="AJ22" i="1"/>
  <c r="AC22" i="1"/>
  <c r="AK22" i="1"/>
  <c r="AD22" i="1"/>
  <c r="AE22" i="1"/>
  <c r="AF22" i="1"/>
  <c r="AG22" i="1"/>
  <c r="AH22" i="1"/>
  <c r="O22" i="1"/>
  <c r="W22" i="1"/>
  <c r="P22" i="1"/>
  <c r="Q22" i="1"/>
  <c r="T22" i="1"/>
  <c r="X22" i="1"/>
  <c r="Y22" i="1"/>
  <c r="R22" i="1"/>
  <c r="K22" i="1"/>
  <c r="Z22" i="1"/>
  <c r="S22" i="1"/>
  <c r="L22" i="1"/>
  <c r="M22" i="1"/>
  <c r="AA22" i="1"/>
  <c r="U22" i="1"/>
  <c r="N22" i="1"/>
  <c r="V22" i="1"/>
  <c r="AF24" i="6"/>
  <c r="AG24" i="6"/>
  <c r="AH24" i="6"/>
  <c r="AI24" i="6"/>
  <c r="AB24" i="6"/>
  <c r="AJ24" i="6"/>
  <c r="AC24" i="6"/>
  <c r="AK24" i="6"/>
  <c r="AD24" i="6"/>
  <c r="AE24" i="6"/>
  <c r="M24" i="6"/>
  <c r="T24" i="6"/>
  <c r="Z24" i="6"/>
  <c r="L24" i="6"/>
  <c r="U24" i="6"/>
  <c r="J25" i="6"/>
  <c r="Q24" i="6"/>
  <c r="K24" i="6"/>
  <c r="AA24" i="6"/>
  <c r="N24" i="6"/>
  <c r="V24" i="6"/>
  <c r="R24" i="6"/>
  <c r="O24" i="6"/>
  <c r="W24" i="6"/>
  <c r="S24" i="6"/>
  <c r="P24" i="6"/>
  <c r="X24" i="6"/>
  <c r="Y24" i="6"/>
  <c r="U132" i="4"/>
  <c r="X131" i="4"/>
  <c r="V131" i="4"/>
  <c r="W131" i="4"/>
  <c r="T135" i="1"/>
  <c r="V134" i="1"/>
  <c r="U134" i="1"/>
  <c r="W134" i="1"/>
  <c r="K25" i="3"/>
  <c r="M25" i="3"/>
  <c r="L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L24" i="5"/>
  <c r="K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J25" i="7"/>
  <c r="AA24" i="7"/>
  <c r="AB24" i="7"/>
  <c r="AC24" i="7"/>
  <c r="AF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J23" i="1"/>
  <c r="J22" i="4"/>
  <c r="L21" i="4"/>
  <c r="T21" i="4"/>
  <c r="AB21" i="4"/>
  <c r="M21" i="4"/>
  <c r="U21" i="4"/>
  <c r="N21" i="4"/>
  <c r="V21" i="4"/>
  <c r="P21" i="4"/>
  <c r="X21" i="4"/>
  <c r="Q21" i="4"/>
  <c r="Y21" i="4"/>
  <c r="Z21" i="4"/>
  <c r="K21" i="4"/>
  <c r="AA21" i="4"/>
  <c r="O21" i="4"/>
  <c r="R21" i="4"/>
  <c r="S21" i="4"/>
  <c r="W21" i="4"/>
  <c r="J25" i="5"/>
  <c r="J26" i="3"/>
  <c r="AG23" i="1" l="1"/>
  <c r="AE23" i="1"/>
  <c r="AH23" i="1"/>
  <c r="AI23" i="1"/>
  <c r="AB23" i="1"/>
  <c r="AJ23" i="1"/>
  <c r="AC23" i="1"/>
  <c r="AK23" i="1"/>
  <c r="AD23" i="1"/>
  <c r="AF23" i="1"/>
  <c r="X23" i="1"/>
  <c r="Q23" i="1"/>
  <c r="R23" i="1"/>
  <c r="M23" i="1"/>
  <c r="U23" i="1"/>
  <c r="N23" i="1"/>
  <c r="O23" i="1"/>
  <c r="Z23" i="1"/>
  <c r="V23" i="1"/>
  <c r="W23" i="1"/>
  <c r="P23" i="1"/>
  <c r="T23" i="1"/>
  <c r="Y23" i="1"/>
  <c r="K23" i="1"/>
  <c r="S23" i="1"/>
  <c r="L23" i="1"/>
  <c r="AA23" i="1"/>
  <c r="AD25" i="6"/>
  <c r="AE25" i="6"/>
  <c r="AF25" i="6"/>
  <c r="AG25" i="6"/>
  <c r="AH25" i="6"/>
  <c r="AI25" i="6"/>
  <c r="AB25" i="6"/>
  <c r="AJ25" i="6"/>
  <c r="AC25" i="6"/>
  <c r="AK25" i="6"/>
  <c r="K25" i="6"/>
  <c r="S25" i="6"/>
  <c r="AA25" i="6"/>
  <c r="Y25" i="6"/>
  <c r="M25" i="6"/>
  <c r="T25" i="6"/>
  <c r="L25" i="6"/>
  <c r="U25" i="6"/>
  <c r="N25" i="6"/>
  <c r="V25" i="6"/>
  <c r="Q25" i="6"/>
  <c r="R25" i="6"/>
  <c r="O25" i="6"/>
  <c r="W25" i="6"/>
  <c r="P25" i="6"/>
  <c r="X25" i="6"/>
  <c r="Z25" i="6"/>
  <c r="J26" i="6"/>
  <c r="U133" i="4"/>
  <c r="V132" i="4"/>
  <c r="W132" i="4"/>
  <c r="X132" i="4"/>
  <c r="T136" i="1"/>
  <c r="U135" i="1"/>
  <c r="V135" i="1"/>
  <c r="W135" i="1"/>
  <c r="K26" i="3"/>
  <c r="M26" i="3"/>
  <c r="L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L25" i="5"/>
  <c r="K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5" i="7"/>
  <c r="AF24" i="7"/>
  <c r="AF23" i="7"/>
  <c r="AG2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J26" i="7"/>
  <c r="AF26" i="7" s="1"/>
  <c r="AA25" i="7"/>
  <c r="AB25" i="7"/>
  <c r="AC25" i="7"/>
  <c r="AD25" i="7"/>
  <c r="J24" i="1"/>
  <c r="J23" i="4"/>
  <c r="S22" i="4"/>
  <c r="AA22" i="4"/>
  <c r="L22" i="4"/>
  <c r="T22" i="4"/>
  <c r="AB22" i="4"/>
  <c r="M22" i="4"/>
  <c r="U22" i="4"/>
  <c r="O22" i="4"/>
  <c r="W22" i="4"/>
  <c r="P22" i="4"/>
  <c r="X22" i="4"/>
  <c r="K22" i="4"/>
  <c r="N22" i="4"/>
  <c r="Q22" i="4"/>
  <c r="R22" i="4"/>
  <c r="Y22" i="4"/>
  <c r="Z22" i="4"/>
  <c r="V22" i="4"/>
  <c r="J26" i="5"/>
  <c r="J27" i="3"/>
  <c r="AE24" i="1" l="1"/>
  <c r="AF24" i="1"/>
  <c r="AG24" i="1"/>
  <c r="AH24" i="1"/>
  <c r="AI24" i="1"/>
  <c r="AB24" i="1"/>
  <c r="AJ24" i="1"/>
  <c r="AK24" i="1"/>
  <c r="AD24" i="1"/>
  <c r="AC24" i="1"/>
  <c r="N24" i="1"/>
  <c r="V24" i="1"/>
  <c r="W24" i="1"/>
  <c r="K24" i="1"/>
  <c r="P24" i="1"/>
  <c r="S24" i="1"/>
  <c r="X24" i="1"/>
  <c r="AA24" i="1"/>
  <c r="L24" i="1"/>
  <c r="M24" i="1"/>
  <c r="Q24" i="1"/>
  <c r="R24" i="1"/>
  <c r="Y24" i="1"/>
  <c r="Z24" i="1"/>
  <c r="T24" i="1"/>
  <c r="U24" i="1"/>
  <c r="O24" i="1"/>
  <c r="AB26" i="6"/>
  <c r="AJ26" i="6"/>
  <c r="AC26" i="6"/>
  <c r="AK26" i="6"/>
  <c r="AD26" i="6"/>
  <c r="AE26" i="6"/>
  <c r="AF26" i="6"/>
  <c r="AG26" i="6"/>
  <c r="AH26" i="6"/>
  <c r="AI26" i="6"/>
  <c r="K26" i="6"/>
  <c r="S26" i="6"/>
  <c r="AA26" i="6"/>
  <c r="J27" i="6"/>
  <c r="L26" i="6"/>
  <c r="T26" i="6"/>
  <c r="R26" i="6"/>
  <c r="M26" i="6"/>
  <c r="U26" i="6"/>
  <c r="Q26" i="6"/>
  <c r="N26" i="6"/>
  <c r="V26" i="6"/>
  <c r="Y26" i="6"/>
  <c r="Z26" i="6"/>
  <c r="O26" i="6"/>
  <c r="W26" i="6"/>
  <c r="P26" i="6"/>
  <c r="X26" i="6"/>
  <c r="U134" i="4"/>
  <c r="V133" i="4"/>
  <c r="W133" i="4"/>
  <c r="X133" i="4"/>
  <c r="T137" i="1"/>
  <c r="U136" i="1"/>
  <c r="W136" i="1"/>
  <c r="V136" i="1"/>
  <c r="K27" i="3"/>
  <c r="M27" i="3"/>
  <c r="L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J27" i="7"/>
  <c r="AG27" i="7" s="1"/>
  <c r="AB26" i="7"/>
  <c r="AC26" i="7"/>
  <c r="AD26" i="7"/>
  <c r="AE26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H2" i="7"/>
  <c r="J25" i="1"/>
  <c r="J24" i="4"/>
  <c r="R23" i="4"/>
  <c r="Z23" i="4"/>
  <c r="S23" i="4"/>
  <c r="AA23" i="4"/>
  <c r="L23" i="4"/>
  <c r="T23" i="4"/>
  <c r="AB23" i="4"/>
  <c r="N23" i="4"/>
  <c r="V23" i="4"/>
  <c r="O23" i="4"/>
  <c r="W23" i="4"/>
  <c r="M23" i="4"/>
  <c r="P23" i="4"/>
  <c r="Q23" i="4"/>
  <c r="K23" i="4"/>
  <c r="U23" i="4"/>
  <c r="X23" i="4"/>
  <c r="Y23" i="4"/>
  <c r="J27" i="5"/>
  <c r="J28" i="3"/>
  <c r="AC25" i="1" l="1"/>
  <c r="AK25" i="1"/>
  <c r="AD25" i="1"/>
  <c r="AE25" i="1"/>
  <c r="AF25" i="1"/>
  <c r="AG25" i="1"/>
  <c r="AH25" i="1"/>
  <c r="AB25" i="1"/>
  <c r="AJ25" i="1"/>
  <c r="AI25" i="1"/>
  <c r="Y25" i="1"/>
  <c r="R25" i="1"/>
  <c r="K25" i="1"/>
  <c r="Z25" i="1"/>
  <c r="S25" i="1"/>
  <c r="AA25" i="1"/>
  <c r="L25" i="1"/>
  <c r="T25" i="1"/>
  <c r="N25" i="1"/>
  <c r="U25" i="1"/>
  <c r="V25" i="1"/>
  <c r="Q25" i="1"/>
  <c r="O25" i="1"/>
  <c r="P25" i="1"/>
  <c r="W25" i="1"/>
  <c r="X25" i="1"/>
  <c r="M25" i="1"/>
  <c r="AH27" i="6"/>
  <c r="AI27" i="6"/>
  <c r="AB27" i="6"/>
  <c r="AJ27" i="6"/>
  <c r="AC27" i="6"/>
  <c r="AK27" i="6"/>
  <c r="AD27" i="6"/>
  <c r="AE27" i="6"/>
  <c r="AF27" i="6"/>
  <c r="AG27" i="6"/>
  <c r="K27" i="6"/>
  <c r="S27" i="6"/>
  <c r="AA27" i="6"/>
  <c r="Y27" i="6"/>
  <c r="M27" i="6"/>
  <c r="T27" i="6"/>
  <c r="Z27" i="6"/>
  <c r="L27" i="6"/>
  <c r="U27" i="6"/>
  <c r="J28" i="6"/>
  <c r="Q27" i="6"/>
  <c r="N27" i="6"/>
  <c r="V27" i="6"/>
  <c r="R27" i="6"/>
  <c r="O27" i="6"/>
  <c r="W27" i="6"/>
  <c r="P27" i="6"/>
  <c r="X27" i="6"/>
  <c r="U135" i="4"/>
  <c r="W134" i="4"/>
  <c r="X134" i="4"/>
  <c r="V134" i="4"/>
  <c r="T138" i="1"/>
  <c r="U137" i="1"/>
  <c r="W137" i="1"/>
  <c r="V137" i="1"/>
  <c r="K28" i="3"/>
  <c r="M28" i="3"/>
  <c r="L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L27" i="5"/>
  <c r="K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I2" i="7"/>
  <c r="AH5" i="7"/>
  <c r="AH13" i="7"/>
  <c r="AH8" i="7"/>
  <c r="AH16" i="7"/>
  <c r="AH18" i="7"/>
  <c r="AH20" i="7"/>
  <c r="AH22" i="7"/>
  <c r="AH3" i="7"/>
  <c r="AH11" i="7"/>
  <c r="AH27" i="7"/>
  <c r="AH6" i="7"/>
  <c r="AH26" i="7"/>
  <c r="AH9" i="7"/>
  <c r="AH25" i="7"/>
  <c r="AH4" i="7"/>
  <c r="AH12" i="7"/>
  <c r="AH14" i="7"/>
  <c r="AH17" i="7"/>
  <c r="AH19" i="7"/>
  <c r="AH21" i="7"/>
  <c r="AH24" i="7"/>
  <c r="AH7" i="7"/>
  <c r="AH15" i="7"/>
  <c r="AH23" i="7"/>
  <c r="AH10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J28" i="7"/>
  <c r="AD27" i="7"/>
  <c r="AE27" i="7"/>
  <c r="AF27" i="7"/>
  <c r="J26" i="1"/>
  <c r="J25" i="4"/>
  <c r="Q24" i="4"/>
  <c r="Y24" i="4"/>
  <c r="R24" i="4"/>
  <c r="Z24" i="4"/>
  <c r="S24" i="4"/>
  <c r="AA24" i="4"/>
  <c r="M24" i="4"/>
  <c r="U24" i="4"/>
  <c r="N24" i="4"/>
  <c r="V24" i="4"/>
  <c r="P24" i="4"/>
  <c r="K24" i="4"/>
  <c r="T24" i="4"/>
  <c r="W24" i="4"/>
  <c r="X24" i="4"/>
  <c r="AB24" i="4"/>
  <c r="L24" i="4"/>
  <c r="O24" i="4"/>
  <c r="J28" i="5"/>
  <c r="J29" i="3"/>
  <c r="AI26" i="1" l="1"/>
  <c r="AB26" i="1"/>
  <c r="AJ26" i="1"/>
  <c r="AC26" i="1"/>
  <c r="AK26" i="1"/>
  <c r="AD26" i="1"/>
  <c r="AE26" i="1"/>
  <c r="AG26" i="1"/>
  <c r="AF26" i="1"/>
  <c r="AH26" i="1"/>
  <c r="T26" i="1"/>
  <c r="AA26" i="1"/>
  <c r="O26" i="1"/>
  <c r="L26" i="1"/>
  <c r="W26" i="1"/>
  <c r="P26" i="1"/>
  <c r="X26" i="1"/>
  <c r="Q26" i="1"/>
  <c r="Y26" i="1"/>
  <c r="R26" i="1"/>
  <c r="Z26" i="1"/>
  <c r="K26" i="1"/>
  <c r="S26" i="1"/>
  <c r="N26" i="1"/>
  <c r="M26" i="1"/>
  <c r="U26" i="1"/>
  <c r="V26" i="1"/>
  <c r="AF28" i="6"/>
  <c r="AG28" i="6"/>
  <c r="AH28" i="6"/>
  <c r="AI28" i="6"/>
  <c r="AB28" i="6"/>
  <c r="AJ28" i="6"/>
  <c r="AC28" i="6"/>
  <c r="AK28" i="6"/>
  <c r="AD28" i="6"/>
  <c r="AE28" i="6"/>
  <c r="K28" i="6"/>
  <c r="S28" i="6"/>
  <c r="AA28" i="6"/>
  <c r="L28" i="6"/>
  <c r="U28" i="6"/>
  <c r="R28" i="6"/>
  <c r="Z28" i="6"/>
  <c r="M28" i="6"/>
  <c r="N28" i="6"/>
  <c r="V28" i="6"/>
  <c r="O28" i="6"/>
  <c r="W28" i="6"/>
  <c r="J29" i="6"/>
  <c r="Q28" i="6"/>
  <c r="Y28" i="6"/>
  <c r="T28" i="6"/>
  <c r="P28" i="6"/>
  <c r="X28" i="6"/>
  <c r="U136" i="4"/>
  <c r="V135" i="4"/>
  <c r="W135" i="4"/>
  <c r="X135" i="4"/>
  <c r="T139" i="1"/>
  <c r="U138" i="1"/>
  <c r="V138" i="1"/>
  <c r="W138" i="1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J29" i="7"/>
  <c r="AI29" i="7" s="1"/>
  <c r="AE28" i="7"/>
  <c r="AF28" i="7"/>
  <c r="AG28" i="7"/>
  <c r="AH28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8" i="7"/>
  <c r="AI20" i="7"/>
  <c r="AI22" i="7"/>
  <c r="AI28" i="7"/>
  <c r="AI27" i="7"/>
  <c r="AI26" i="7"/>
  <c r="AI25" i="7"/>
  <c r="AI17" i="7"/>
  <c r="AI19" i="7"/>
  <c r="AI21" i="7"/>
  <c r="AI24" i="7"/>
  <c r="AI23" i="7"/>
  <c r="J27" i="1"/>
  <c r="J26" i="4"/>
  <c r="P25" i="4"/>
  <c r="X25" i="4"/>
  <c r="Q25" i="4"/>
  <c r="Y25" i="4"/>
  <c r="R25" i="4"/>
  <c r="Z25" i="4"/>
  <c r="L25" i="4"/>
  <c r="T25" i="4"/>
  <c r="AB25" i="4"/>
  <c r="M25" i="4"/>
  <c r="U25" i="4"/>
  <c r="V25" i="4"/>
  <c r="W25" i="4"/>
  <c r="AA25" i="4"/>
  <c r="K25" i="4"/>
  <c r="N25" i="4"/>
  <c r="O25" i="4"/>
  <c r="S25" i="4"/>
  <c r="J29" i="5"/>
  <c r="J30" i="3"/>
  <c r="AG27" i="1" l="1"/>
  <c r="AE27" i="1"/>
  <c r="AH27" i="1"/>
  <c r="AI27" i="1"/>
  <c r="AB27" i="1"/>
  <c r="AJ27" i="1"/>
  <c r="AC27" i="1"/>
  <c r="AK27" i="1"/>
  <c r="AD27" i="1"/>
  <c r="AF27" i="1"/>
  <c r="X27" i="1"/>
  <c r="M27" i="1"/>
  <c r="Z27" i="1"/>
  <c r="R27" i="1"/>
  <c r="U27" i="1"/>
  <c r="N27" i="1"/>
  <c r="V27" i="1"/>
  <c r="O27" i="1"/>
  <c r="W27" i="1"/>
  <c r="AA27" i="1"/>
  <c r="T27" i="1"/>
  <c r="Q27" i="1"/>
  <c r="Y27" i="1"/>
  <c r="P27" i="1"/>
  <c r="S27" i="1"/>
  <c r="K27" i="1"/>
  <c r="L27" i="1"/>
  <c r="AD29" i="6"/>
  <c r="AE29" i="6"/>
  <c r="AF29" i="6"/>
  <c r="AG29" i="6"/>
  <c r="AH29" i="6"/>
  <c r="AI29" i="6"/>
  <c r="AB29" i="6"/>
  <c r="AJ29" i="6"/>
  <c r="AC29" i="6"/>
  <c r="AK29" i="6"/>
  <c r="K29" i="6"/>
  <c r="S29" i="6"/>
  <c r="AA29" i="6"/>
  <c r="J30" i="6"/>
  <c r="L29" i="6"/>
  <c r="T29" i="6"/>
  <c r="Q29" i="6"/>
  <c r="M29" i="6"/>
  <c r="U29" i="6"/>
  <c r="Y29" i="6"/>
  <c r="N29" i="6"/>
  <c r="V29" i="6"/>
  <c r="Z29" i="6"/>
  <c r="O29" i="6"/>
  <c r="W29" i="6"/>
  <c r="P29" i="6"/>
  <c r="X29" i="6"/>
  <c r="R29" i="6"/>
  <c r="U137" i="4"/>
  <c r="X136" i="4"/>
  <c r="V136" i="4"/>
  <c r="W136" i="4"/>
  <c r="T140" i="1"/>
  <c r="W139" i="1"/>
  <c r="U139" i="1"/>
  <c r="V139" i="1"/>
  <c r="K30" i="3"/>
  <c r="M30" i="3"/>
  <c r="L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J30" i="7"/>
  <c r="AF29" i="7"/>
  <c r="AG29" i="7"/>
  <c r="AH29" i="7"/>
  <c r="J28" i="1"/>
  <c r="J27" i="4"/>
  <c r="O26" i="4"/>
  <c r="W26" i="4"/>
  <c r="P26" i="4"/>
  <c r="X26" i="4"/>
  <c r="Q26" i="4"/>
  <c r="Y26" i="4"/>
  <c r="S26" i="4"/>
  <c r="AA26" i="4"/>
  <c r="L26" i="4"/>
  <c r="T26" i="4"/>
  <c r="AB26" i="4"/>
  <c r="Z26" i="4"/>
  <c r="M26" i="4"/>
  <c r="N26" i="4"/>
  <c r="R26" i="4"/>
  <c r="U26" i="4"/>
  <c r="V26" i="4"/>
  <c r="K26" i="4"/>
  <c r="J30" i="5"/>
  <c r="J31" i="3"/>
  <c r="AE28" i="1" l="1"/>
  <c r="AF28" i="1"/>
  <c r="AG28" i="1"/>
  <c r="AH28" i="1"/>
  <c r="AI28" i="1"/>
  <c r="AB28" i="1"/>
  <c r="AJ28" i="1"/>
  <c r="AC28" i="1"/>
  <c r="AD28" i="1"/>
  <c r="AK28" i="1"/>
  <c r="U28" i="1"/>
  <c r="N28" i="1"/>
  <c r="V28" i="1"/>
  <c r="O28" i="1"/>
  <c r="X28" i="1"/>
  <c r="P28" i="1"/>
  <c r="K28" i="1"/>
  <c r="S28" i="1"/>
  <c r="L28" i="1"/>
  <c r="M28" i="1"/>
  <c r="R28" i="1"/>
  <c r="Q28" i="1"/>
  <c r="Z28" i="1"/>
  <c r="AA28" i="1"/>
  <c r="Y28" i="1"/>
  <c r="W28" i="1"/>
  <c r="T28" i="1"/>
  <c r="AB30" i="6"/>
  <c r="AJ30" i="6"/>
  <c r="AC30" i="6"/>
  <c r="AK30" i="6"/>
  <c r="AD30" i="6"/>
  <c r="AE30" i="6"/>
  <c r="AF30" i="6"/>
  <c r="AG30" i="6"/>
  <c r="AH30" i="6"/>
  <c r="AI30" i="6"/>
  <c r="K30" i="6"/>
  <c r="S30" i="6"/>
  <c r="AA30" i="6"/>
  <c r="Y30" i="6"/>
  <c r="M30" i="6"/>
  <c r="T30" i="6"/>
  <c r="J31" i="6"/>
  <c r="R30" i="6"/>
  <c r="L30" i="6"/>
  <c r="U30" i="6"/>
  <c r="N30" i="6"/>
  <c r="V30" i="6"/>
  <c r="W30" i="6"/>
  <c r="Q30" i="6"/>
  <c r="O30" i="6"/>
  <c r="P30" i="6"/>
  <c r="X30" i="6"/>
  <c r="Z30" i="6"/>
  <c r="U138" i="4"/>
  <c r="V137" i="4"/>
  <c r="W137" i="4"/>
  <c r="X137" i="4"/>
  <c r="T141" i="1"/>
  <c r="W140" i="1"/>
  <c r="U140" i="1"/>
  <c r="V140" i="1"/>
  <c r="K31" i="3"/>
  <c r="M31" i="3"/>
  <c r="L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J31" i="7"/>
  <c r="AG30" i="7"/>
  <c r="AH30" i="7"/>
  <c r="AI30" i="7"/>
  <c r="J29" i="1"/>
  <c r="J28" i="4"/>
  <c r="N27" i="4"/>
  <c r="V27" i="4"/>
  <c r="O27" i="4"/>
  <c r="W27" i="4"/>
  <c r="P27" i="4"/>
  <c r="X27" i="4"/>
  <c r="R27" i="4"/>
  <c r="Z27" i="4"/>
  <c r="S27" i="4"/>
  <c r="AA27" i="4"/>
  <c r="L27" i="4"/>
  <c r="M27" i="4"/>
  <c r="Q27" i="4"/>
  <c r="T27" i="4"/>
  <c r="U27" i="4"/>
  <c r="Y27" i="4"/>
  <c r="K27" i="4"/>
  <c r="AB27" i="4"/>
  <c r="J31" i="5"/>
  <c r="J32" i="3"/>
  <c r="AC29" i="1" l="1"/>
  <c r="AK29" i="1"/>
  <c r="AI29" i="1"/>
  <c r="AD29" i="1"/>
  <c r="AE29" i="1"/>
  <c r="AF29" i="1"/>
  <c r="AG29" i="1"/>
  <c r="AH29" i="1"/>
  <c r="AB29" i="1"/>
  <c r="AJ29" i="1"/>
  <c r="Q29" i="1"/>
  <c r="R29" i="1"/>
  <c r="V29" i="1"/>
  <c r="Y29" i="1"/>
  <c r="Z29" i="1"/>
  <c r="K29" i="1"/>
  <c r="S29" i="1"/>
  <c r="AA29" i="1"/>
  <c r="L29" i="1"/>
  <c r="T29" i="1"/>
  <c r="U29" i="1"/>
  <c r="P29" i="1"/>
  <c r="O29" i="1"/>
  <c r="X29" i="1"/>
  <c r="M29" i="1"/>
  <c r="W29" i="1"/>
  <c r="N29" i="1"/>
  <c r="AH31" i="6"/>
  <c r="AI31" i="6"/>
  <c r="AB31" i="6"/>
  <c r="AJ31" i="6"/>
  <c r="AC31" i="6"/>
  <c r="AK31" i="6"/>
  <c r="AD31" i="6"/>
  <c r="AE31" i="6"/>
  <c r="AF31" i="6"/>
  <c r="AG31" i="6"/>
  <c r="AA31" i="6"/>
  <c r="Y31" i="6"/>
  <c r="L31" i="6"/>
  <c r="T31" i="6"/>
  <c r="V31" i="6"/>
  <c r="X31" i="6"/>
  <c r="M31" i="6"/>
  <c r="U31" i="6"/>
  <c r="P31" i="6"/>
  <c r="Q31" i="6"/>
  <c r="J32" i="6"/>
  <c r="N31" i="6"/>
  <c r="O31" i="6"/>
  <c r="W31" i="6"/>
  <c r="R31" i="6"/>
  <c r="Z31" i="6"/>
  <c r="K31" i="6"/>
  <c r="S31" i="6"/>
  <c r="U139" i="4"/>
  <c r="V138" i="4"/>
  <c r="W138" i="4"/>
  <c r="X138" i="4"/>
  <c r="T142" i="1"/>
  <c r="U141" i="1"/>
  <c r="V141" i="1"/>
  <c r="W141" i="1"/>
  <c r="K32" i="3"/>
  <c r="M32" i="3"/>
  <c r="L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L31" i="7"/>
  <c r="K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J32" i="7"/>
  <c r="AG31" i="7"/>
  <c r="AH31" i="7"/>
  <c r="AI31" i="7"/>
  <c r="J30" i="1"/>
  <c r="J29" i="4"/>
  <c r="M28" i="4"/>
  <c r="U28" i="4"/>
  <c r="N28" i="4"/>
  <c r="V28" i="4"/>
  <c r="O28" i="4"/>
  <c r="W28" i="4"/>
  <c r="Q28" i="4"/>
  <c r="Y28" i="4"/>
  <c r="R28" i="4"/>
  <c r="Z28" i="4"/>
  <c r="L28" i="4"/>
  <c r="P28" i="4"/>
  <c r="S28" i="4"/>
  <c r="T28" i="4"/>
  <c r="AA28" i="4"/>
  <c r="X28" i="4"/>
  <c r="AB28" i="4"/>
  <c r="K28" i="4"/>
  <c r="J32" i="5"/>
  <c r="J33" i="3"/>
  <c r="AI30" i="1" l="1"/>
  <c r="AB30" i="1"/>
  <c r="AJ30" i="1"/>
  <c r="AC30" i="1"/>
  <c r="AK30" i="1"/>
  <c r="AD30" i="1"/>
  <c r="AE30" i="1"/>
  <c r="AF30" i="1"/>
  <c r="AG30" i="1"/>
  <c r="AH30" i="1"/>
  <c r="S30" i="1"/>
  <c r="T30" i="1"/>
  <c r="O30" i="1"/>
  <c r="P30" i="1"/>
  <c r="W30" i="1"/>
  <c r="X30" i="1"/>
  <c r="Q30" i="1"/>
  <c r="Y30" i="1"/>
  <c r="R30" i="1"/>
  <c r="Z30" i="1"/>
  <c r="N30" i="1"/>
  <c r="K30" i="1"/>
  <c r="M30" i="1"/>
  <c r="V30" i="1"/>
  <c r="L30" i="1"/>
  <c r="AA30" i="1"/>
  <c r="U30" i="1"/>
  <c r="AF32" i="6"/>
  <c r="AG32" i="6"/>
  <c r="AH32" i="6"/>
  <c r="AI32" i="6"/>
  <c r="AB32" i="6"/>
  <c r="AJ32" i="6"/>
  <c r="AC32" i="6"/>
  <c r="AK32" i="6"/>
  <c r="AD32" i="6"/>
  <c r="AE32" i="6"/>
  <c r="S32" i="6"/>
  <c r="O32" i="6"/>
  <c r="Q32" i="6"/>
  <c r="M32" i="6"/>
  <c r="T32" i="6"/>
  <c r="N32" i="6"/>
  <c r="P32" i="6"/>
  <c r="L32" i="6"/>
  <c r="U32" i="6"/>
  <c r="V32" i="6"/>
  <c r="Y32" i="6"/>
  <c r="W32" i="6"/>
  <c r="R32" i="6"/>
  <c r="Z32" i="6"/>
  <c r="J33" i="6"/>
  <c r="K32" i="6"/>
  <c r="AA32" i="6"/>
  <c r="X32" i="6"/>
  <c r="U140" i="4"/>
  <c r="X139" i="4"/>
  <c r="W139" i="4"/>
  <c r="V139" i="4"/>
  <c r="T143" i="1"/>
  <c r="V142" i="1"/>
  <c r="U142" i="1"/>
  <c r="W142" i="1"/>
  <c r="K33" i="3"/>
  <c r="M33" i="3"/>
  <c r="L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L32" i="5"/>
  <c r="K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J33" i="7"/>
  <c r="AH32" i="7"/>
  <c r="AI32" i="7"/>
  <c r="J31" i="1"/>
  <c r="J30" i="4"/>
  <c r="L29" i="4"/>
  <c r="T29" i="4"/>
  <c r="AB29" i="4"/>
  <c r="M29" i="4"/>
  <c r="U29" i="4"/>
  <c r="N29" i="4"/>
  <c r="V29" i="4"/>
  <c r="P29" i="4"/>
  <c r="X29" i="4"/>
  <c r="Q29" i="4"/>
  <c r="Y29" i="4"/>
  <c r="R29" i="4"/>
  <c r="K29" i="4"/>
  <c r="S29" i="4"/>
  <c r="W29" i="4"/>
  <c r="Z29" i="4"/>
  <c r="AA29" i="4"/>
  <c r="O29" i="4"/>
  <c r="J33" i="5"/>
  <c r="J34" i="3"/>
  <c r="AG31" i="1" l="1"/>
  <c r="AH31" i="1"/>
  <c r="AI31" i="1"/>
  <c r="AB31" i="1"/>
  <c r="AJ31" i="1"/>
  <c r="AC31" i="1"/>
  <c r="AK31" i="1"/>
  <c r="AD31" i="1"/>
  <c r="AF31" i="1"/>
  <c r="AE31" i="1"/>
  <c r="X31" i="1"/>
  <c r="Y31" i="1"/>
  <c r="Z31" i="1"/>
  <c r="M31" i="1"/>
  <c r="N31" i="1"/>
  <c r="U31" i="1"/>
  <c r="V31" i="1"/>
  <c r="R31" i="1"/>
  <c r="O31" i="1"/>
  <c r="S31" i="1"/>
  <c r="W31" i="1"/>
  <c r="AA31" i="1"/>
  <c r="K31" i="1"/>
  <c r="P31" i="1"/>
  <c r="Q31" i="1"/>
  <c r="L31" i="1"/>
  <c r="T31" i="1"/>
  <c r="AD33" i="6"/>
  <c r="AE33" i="6"/>
  <c r="AF33" i="6"/>
  <c r="AG33" i="6"/>
  <c r="AH33" i="6"/>
  <c r="AI33" i="6"/>
  <c r="AB33" i="6"/>
  <c r="AJ33" i="6"/>
  <c r="AC33" i="6"/>
  <c r="AK33" i="6"/>
  <c r="K33" i="6"/>
  <c r="S33" i="6"/>
  <c r="AA33" i="6"/>
  <c r="T33" i="6"/>
  <c r="V33" i="6"/>
  <c r="X33" i="6"/>
  <c r="L33" i="6"/>
  <c r="Y33" i="6"/>
  <c r="M33" i="6"/>
  <c r="U33" i="6"/>
  <c r="N33" i="6"/>
  <c r="P33" i="6"/>
  <c r="Z33" i="6"/>
  <c r="R33" i="6"/>
  <c r="J34" i="6"/>
  <c r="O33" i="6"/>
  <c r="W33" i="6"/>
  <c r="Q33" i="6"/>
  <c r="U141" i="4"/>
  <c r="W140" i="4"/>
  <c r="X140" i="4"/>
  <c r="V140" i="4"/>
  <c r="T144" i="1"/>
  <c r="U143" i="1"/>
  <c r="V143" i="1"/>
  <c r="W143" i="1"/>
  <c r="K34" i="3"/>
  <c r="M34" i="3"/>
  <c r="L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L33" i="7"/>
  <c r="K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J34" i="7"/>
  <c r="AI33" i="7"/>
  <c r="J32" i="1"/>
  <c r="J31" i="4"/>
  <c r="S30" i="4"/>
  <c r="AA30" i="4"/>
  <c r="L30" i="4"/>
  <c r="T30" i="4"/>
  <c r="AB30" i="4"/>
  <c r="M30" i="4"/>
  <c r="U30" i="4"/>
  <c r="O30" i="4"/>
  <c r="W30" i="4"/>
  <c r="P30" i="4"/>
  <c r="X30" i="4"/>
  <c r="V30" i="4"/>
  <c r="Y30" i="4"/>
  <c r="K30" i="4"/>
  <c r="Z30" i="4"/>
  <c r="N30" i="4"/>
  <c r="Q30" i="4"/>
  <c r="R30" i="4"/>
  <c r="J34" i="5"/>
  <c r="J35" i="3"/>
  <c r="AE32" i="1" l="1"/>
  <c r="AK32" i="1"/>
  <c r="AF32" i="1"/>
  <c r="AG32" i="1"/>
  <c r="AH32" i="1"/>
  <c r="AI32" i="1"/>
  <c r="AC32" i="1"/>
  <c r="AB32" i="1"/>
  <c r="AJ32" i="1"/>
  <c r="AD32" i="1"/>
  <c r="AA32" i="1"/>
  <c r="M32" i="1"/>
  <c r="U32" i="1"/>
  <c r="N32" i="1"/>
  <c r="V32" i="1"/>
  <c r="P32" i="1"/>
  <c r="K32" i="1"/>
  <c r="L32" i="1"/>
  <c r="O32" i="1"/>
  <c r="R32" i="1"/>
  <c r="W32" i="1"/>
  <c r="Z32" i="1"/>
  <c r="Q32" i="1"/>
  <c r="S32" i="1"/>
  <c r="Y32" i="1"/>
  <c r="T32" i="1"/>
  <c r="X32" i="1"/>
  <c r="AB34" i="6"/>
  <c r="AJ34" i="6"/>
  <c r="AC34" i="6"/>
  <c r="AK34" i="6"/>
  <c r="AD34" i="6"/>
  <c r="AE34" i="6"/>
  <c r="AF34" i="6"/>
  <c r="AG34" i="6"/>
  <c r="AH34" i="6"/>
  <c r="AI34" i="6"/>
  <c r="K34" i="6"/>
  <c r="S34" i="6"/>
  <c r="AA34" i="6"/>
  <c r="L34" i="6"/>
  <c r="T34" i="6"/>
  <c r="V34" i="6"/>
  <c r="Y34" i="6"/>
  <c r="M34" i="6"/>
  <c r="U34" i="6"/>
  <c r="Q34" i="6"/>
  <c r="N34" i="6"/>
  <c r="J35" i="6"/>
  <c r="O34" i="6"/>
  <c r="W34" i="6"/>
  <c r="R34" i="6"/>
  <c r="P34" i="6"/>
  <c r="X34" i="6"/>
  <c r="Z34" i="6"/>
  <c r="U142" i="4"/>
  <c r="V141" i="4"/>
  <c r="W141" i="4"/>
  <c r="X141" i="4"/>
  <c r="T145" i="1"/>
  <c r="U144" i="1"/>
  <c r="W144" i="1"/>
  <c r="V144" i="1"/>
  <c r="K35" i="3"/>
  <c r="M35" i="3"/>
  <c r="L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J35" i="7"/>
  <c r="J33" i="1"/>
  <c r="J32" i="4"/>
  <c r="R31" i="4"/>
  <c r="Z31" i="4"/>
  <c r="S31" i="4"/>
  <c r="AA31" i="4"/>
  <c r="L31" i="4"/>
  <c r="T31" i="4"/>
  <c r="AB31" i="4"/>
  <c r="N31" i="4"/>
  <c r="V31" i="4"/>
  <c r="O31" i="4"/>
  <c r="W31" i="4"/>
  <c r="Y31" i="4"/>
  <c r="K31" i="4"/>
  <c r="M31" i="4"/>
  <c r="P31" i="4"/>
  <c r="Q31" i="4"/>
  <c r="U31" i="4"/>
  <c r="X31" i="4"/>
  <c r="J35" i="5"/>
  <c r="J36" i="3"/>
  <c r="AC33" i="1" l="1"/>
  <c r="AK33" i="1"/>
  <c r="AD33" i="1"/>
  <c r="AE33" i="1"/>
  <c r="AF33" i="1"/>
  <c r="AG33" i="1"/>
  <c r="AH33" i="1"/>
  <c r="AI33" i="1"/>
  <c r="AB33" i="1"/>
  <c r="AJ33" i="1"/>
  <c r="N33" i="1"/>
  <c r="R33" i="1"/>
  <c r="Q33" i="1"/>
  <c r="Z33" i="1"/>
  <c r="Y33" i="1"/>
  <c r="K33" i="1"/>
  <c r="S33" i="1"/>
  <c r="L33" i="1"/>
  <c r="AA33" i="1"/>
  <c r="T33" i="1"/>
  <c r="V33" i="1"/>
  <c r="M33" i="1"/>
  <c r="P33" i="1"/>
  <c r="U33" i="1"/>
  <c r="X33" i="1"/>
  <c r="O33" i="1"/>
  <c r="W33" i="1"/>
  <c r="AH35" i="6"/>
  <c r="AI35" i="6"/>
  <c r="AB35" i="6"/>
  <c r="AJ35" i="6"/>
  <c r="AC35" i="6"/>
  <c r="AK35" i="6"/>
  <c r="AD35" i="6"/>
  <c r="AE35" i="6"/>
  <c r="AF35" i="6"/>
  <c r="AG35" i="6"/>
  <c r="K35" i="6"/>
  <c r="S35" i="6"/>
  <c r="AA35" i="6"/>
  <c r="Z35" i="6"/>
  <c r="L35" i="6"/>
  <c r="T35" i="6"/>
  <c r="Y35" i="6"/>
  <c r="M35" i="6"/>
  <c r="U35" i="6"/>
  <c r="V35" i="6"/>
  <c r="N35" i="6"/>
  <c r="Q35" i="6"/>
  <c r="O35" i="6"/>
  <c r="W35" i="6"/>
  <c r="J36" i="6"/>
  <c r="P35" i="6"/>
  <c r="X35" i="6"/>
  <c r="R35" i="6"/>
  <c r="U143" i="4"/>
  <c r="W142" i="4"/>
  <c r="X142" i="4"/>
  <c r="V142" i="4"/>
  <c r="T146" i="1"/>
  <c r="U145" i="1"/>
  <c r="V145" i="1"/>
  <c r="W145" i="1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L35" i="5"/>
  <c r="K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J36" i="7"/>
  <c r="J34" i="1"/>
  <c r="J33" i="4"/>
  <c r="Q32" i="4"/>
  <c r="Y32" i="4"/>
  <c r="R32" i="4"/>
  <c r="Z32" i="4"/>
  <c r="S32" i="4"/>
  <c r="AA32" i="4"/>
  <c r="M32" i="4"/>
  <c r="U32" i="4"/>
  <c r="N32" i="4"/>
  <c r="V32" i="4"/>
  <c r="L32" i="4"/>
  <c r="K32" i="4"/>
  <c r="O32" i="4"/>
  <c r="P32" i="4"/>
  <c r="T32" i="4"/>
  <c r="W32" i="4"/>
  <c r="X32" i="4"/>
  <c r="AB32" i="4"/>
  <c r="J36" i="5"/>
  <c r="J37" i="3"/>
  <c r="AI34" i="1" l="1"/>
  <c r="AB34" i="1"/>
  <c r="AJ34" i="1"/>
  <c r="AC34" i="1"/>
  <c r="AK34" i="1"/>
  <c r="AD34" i="1"/>
  <c r="AE34" i="1"/>
  <c r="AF34" i="1"/>
  <c r="AH34" i="1"/>
  <c r="AG34" i="1"/>
  <c r="L34" i="1"/>
  <c r="K34" i="1"/>
  <c r="P34" i="1"/>
  <c r="T34" i="1"/>
  <c r="O34" i="1"/>
  <c r="X34" i="1"/>
  <c r="W34" i="1"/>
  <c r="Q34" i="1"/>
  <c r="R34" i="1"/>
  <c r="Y34" i="1"/>
  <c r="Z34" i="1"/>
  <c r="N34" i="1"/>
  <c r="U34" i="1"/>
  <c r="S34" i="1"/>
  <c r="AA34" i="1"/>
  <c r="V34" i="1"/>
  <c r="M34" i="1"/>
  <c r="AF36" i="6"/>
  <c r="AG36" i="6"/>
  <c r="AH36" i="6"/>
  <c r="AI36" i="6"/>
  <c r="AB36" i="6"/>
  <c r="AJ36" i="6"/>
  <c r="AC36" i="6"/>
  <c r="AK36" i="6"/>
  <c r="AD36" i="6"/>
  <c r="AE36" i="6"/>
  <c r="K36" i="6"/>
  <c r="S36" i="6"/>
  <c r="AA36" i="6"/>
  <c r="Q36" i="6"/>
  <c r="M36" i="6"/>
  <c r="T36" i="6"/>
  <c r="Z36" i="6"/>
  <c r="L36" i="6"/>
  <c r="U36" i="6"/>
  <c r="Y36" i="6"/>
  <c r="N36" i="6"/>
  <c r="V36" i="6"/>
  <c r="J37" i="6"/>
  <c r="O36" i="6"/>
  <c r="W36" i="6"/>
  <c r="P36" i="6"/>
  <c r="X36" i="6"/>
  <c r="R36" i="6"/>
  <c r="U144" i="4"/>
  <c r="V143" i="4"/>
  <c r="W143" i="4"/>
  <c r="X143" i="4"/>
  <c r="T147" i="1"/>
  <c r="V146" i="1"/>
  <c r="W146" i="1"/>
  <c r="U146" i="1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L36" i="5"/>
  <c r="K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J37" i="7"/>
  <c r="J35" i="1"/>
  <c r="J34" i="4"/>
  <c r="P33" i="4"/>
  <c r="X33" i="4"/>
  <c r="Q33" i="4"/>
  <c r="Y33" i="4"/>
  <c r="R33" i="4"/>
  <c r="Z33" i="4"/>
  <c r="L33" i="4"/>
  <c r="T33" i="4"/>
  <c r="AB33" i="4"/>
  <c r="M33" i="4"/>
  <c r="U33" i="4"/>
  <c r="N33" i="4"/>
  <c r="O33" i="4"/>
  <c r="S33" i="4"/>
  <c r="V33" i="4"/>
  <c r="W33" i="4"/>
  <c r="K33" i="4"/>
  <c r="AA33" i="4"/>
  <c r="J37" i="5"/>
  <c r="J38" i="3"/>
  <c r="AG35" i="1" l="1"/>
  <c r="AH35" i="1"/>
  <c r="AI35" i="1"/>
  <c r="AB35" i="1"/>
  <c r="AJ35" i="1"/>
  <c r="AC35" i="1"/>
  <c r="AK35" i="1"/>
  <c r="AE35" i="1"/>
  <c r="AD35" i="1"/>
  <c r="AF35" i="1"/>
  <c r="W35" i="1"/>
  <c r="X35" i="1"/>
  <c r="Z35" i="1"/>
  <c r="R35" i="1"/>
  <c r="Q35" i="1"/>
  <c r="N35" i="1"/>
  <c r="M35" i="1"/>
  <c r="V35" i="1"/>
  <c r="U35" i="1"/>
  <c r="K35" i="1"/>
  <c r="S35" i="1"/>
  <c r="O35" i="1"/>
  <c r="AA35" i="1"/>
  <c r="P35" i="1"/>
  <c r="T35" i="1"/>
  <c r="Y35" i="1"/>
  <c r="L35" i="1"/>
  <c r="AD37" i="6"/>
  <c r="AE37" i="6"/>
  <c r="AF37" i="6"/>
  <c r="AG37" i="6"/>
  <c r="AH37" i="6"/>
  <c r="AI37" i="6"/>
  <c r="AB37" i="6"/>
  <c r="AJ37" i="6"/>
  <c r="AC37" i="6"/>
  <c r="AK37" i="6"/>
  <c r="K37" i="6"/>
  <c r="S37" i="6"/>
  <c r="AA37" i="6"/>
  <c r="M37" i="6"/>
  <c r="T37" i="6"/>
  <c r="Y37" i="6"/>
  <c r="L37" i="6"/>
  <c r="U37" i="6"/>
  <c r="Q37" i="6"/>
  <c r="N37" i="6"/>
  <c r="V37" i="6"/>
  <c r="X37" i="6"/>
  <c r="O37" i="6"/>
  <c r="W37" i="6"/>
  <c r="R37" i="6"/>
  <c r="Z37" i="6"/>
  <c r="J38" i="6"/>
  <c r="P37" i="6"/>
  <c r="U145" i="4"/>
  <c r="V144" i="4"/>
  <c r="X144" i="4"/>
  <c r="W144" i="4"/>
  <c r="T148" i="1"/>
  <c r="W147" i="1"/>
  <c r="U147" i="1"/>
  <c r="V147" i="1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L37" i="5"/>
  <c r="K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J38" i="7"/>
  <c r="J36" i="1"/>
  <c r="J35" i="4"/>
  <c r="O34" i="4"/>
  <c r="W34" i="4"/>
  <c r="P34" i="4"/>
  <c r="X34" i="4"/>
  <c r="Q34" i="4"/>
  <c r="Y34" i="4"/>
  <c r="S34" i="4"/>
  <c r="AA34" i="4"/>
  <c r="L34" i="4"/>
  <c r="T34" i="4"/>
  <c r="AB34" i="4"/>
  <c r="R34" i="4"/>
  <c r="U34" i="4"/>
  <c r="V34" i="4"/>
  <c r="Z34" i="4"/>
  <c r="M34" i="4"/>
  <c r="K34" i="4"/>
  <c r="N34" i="4"/>
  <c r="J38" i="5"/>
  <c r="J39" i="3"/>
  <c r="AE36" i="1" l="1"/>
  <c r="AC36" i="1"/>
  <c r="AF36" i="1"/>
  <c r="AG36" i="1"/>
  <c r="AH36" i="1"/>
  <c r="AI36" i="1"/>
  <c r="AB36" i="1"/>
  <c r="AJ36" i="1"/>
  <c r="AK36" i="1"/>
  <c r="AD36" i="1"/>
  <c r="S36" i="1"/>
  <c r="AA36" i="1"/>
  <c r="M36" i="1"/>
  <c r="N36" i="1"/>
  <c r="U36" i="1"/>
  <c r="V36" i="1"/>
  <c r="L36" i="1"/>
  <c r="X36" i="1"/>
  <c r="W36" i="1"/>
  <c r="R36" i="1"/>
  <c r="Z36" i="1"/>
  <c r="Q36" i="1"/>
  <c r="O36" i="1"/>
  <c r="K36" i="1"/>
  <c r="Y36" i="1"/>
  <c r="P36" i="1"/>
  <c r="T36" i="1"/>
  <c r="AB38" i="6"/>
  <c r="AJ38" i="6"/>
  <c r="AC38" i="6"/>
  <c r="AK38" i="6"/>
  <c r="AD38" i="6"/>
  <c r="AE38" i="6"/>
  <c r="AF38" i="6"/>
  <c r="AG38" i="6"/>
  <c r="AH38" i="6"/>
  <c r="AI38" i="6"/>
  <c r="K38" i="6"/>
  <c r="S38" i="6"/>
  <c r="AA38" i="6"/>
  <c r="M38" i="6"/>
  <c r="T38" i="6"/>
  <c r="X38" i="6"/>
  <c r="L38" i="6"/>
  <c r="U38" i="6"/>
  <c r="N38" i="6"/>
  <c r="V38" i="6"/>
  <c r="Q38" i="6"/>
  <c r="O38" i="6"/>
  <c r="W38" i="6"/>
  <c r="Y38" i="6"/>
  <c r="R38" i="6"/>
  <c r="Z38" i="6"/>
  <c r="J39" i="6"/>
  <c r="P38" i="6"/>
  <c r="U146" i="4"/>
  <c r="V145" i="4"/>
  <c r="X145" i="4"/>
  <c r="W145" i="4"/>
  <c r="T149" i="1"/>
  <c r="V148" i="1"/>
  <c r="U148" i="1"/>
  <c r="W148" i="1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L38" i="5"/>
  <c r="K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J39" i="7"/>
  <c r="J37" i="1"/>
  <c r="J36" i="4"/>
  <c r="N35" i="4"/>
  <c r="V35" i="4"/>
  <c r="O35" i="4"/>
  <c r="W35" i="4"/>
  <c r="P35" i="4"/>
  <c r="X35" i="4"/>
  <c r="R35" i="4"/>
  <c r="Z35" i="4"/>
  <c r="S35" i="4"/>
  <c r="AA35" i="4"/>
  <c r="U35" i="4"/>
  <c r="Y35" i="4"/>
  <c r="AB35" i="4"/>
  <c r="L35" i="4"/>
  <c r="M35" i="4"/>
  <c r="Q35" i="4"/>
  <c r="K35" i="4"/>
  <c r="T35" i="4"/>
  <c r="J39" i="5"/>
  <c r="J40" i="3"/>
  <c r="AC37" i="1" l="1"/>
  <c r="AK37" i="1"/>
  <c r="AD37" i="1"/>
  <c r="AE37" i="1"/>
  <c r="AF37" i="1"/>
  <c r="AG37" i="1"/>
  <c r="AH37" i="1"/>
  <c r="AB37" i="1"/>
  <c r="AJ37" i="1"/>
  <c r="AI37" i="1"/>
  <c r="R37" i="1"/>
  <c r="U37" i="1"/>
  <c r="Z37" i="1"/>
  <c r="Q37" i="1"/>
  <c r="Y37" i="1"/>
  <c r="K37" i="1"/>
  <c r="L37" i="1"/>
  <c r="S37" i="1"/>
  <c r="T37" i="1"/>
  <c r="N37" i="1"/>
  <c r="AA37" i="1"/>
  <c r="V37" i="1"/>
  <c r="M37" i="1"/>
  <c r="P37" i="1"/>
  <c r="X37" i="1"/>
  <c r="O37" i="1"/>
  <c r="W37" i="1"/>
  <c r="AH39" i="6"/>
  <c r="AI39" i="6"/>
  <c r="AB39" i="6"/>
  <c r="AJ39" i="6"/>
  <c r="AC39" i="6"/>
  <c r="AK39" i="6"/>
  <c r="AD39" i="6"/>
  <c r="AE39" i="6"/>
  <c r="AF39" i="6"/>
  <c r="AG39" i="6"/>
  <c r="K39" i="6"/>
  <c r="S39" i="6"/>
  <c r="AA39" i="6"/>
  <c r="Q39" i="6"/>
  <c r="M39" i="6"/>
  <c r="T39" i="6"/>
  <c r="Y39" i="6"/>
  <c r="L39" i="6"/>
  <c r="U39" i="6"/>
  <c r="J40" i="6"/>
  <c r="N39" i="6"/>
  <c r="V39" i="6"/>
  <c r="Z39" i="6"/>
  <c r="O39" i="6"/>
  <c r="W39" i="6"/>
  <c r="P39" i="6"/>
  <c r="X39" i="6"/>
  <c r="R39" i="6"/>
  <c r="U147" i="4"/>
  <c r="V146" i="4"/>
  <c r="W146" i="4"/>
  <c r="X146" i="4"/>
  <c r="T150" i="1"/>
  <c r="U149" i="1"/>
  <c r="V149" i="1"/>
  <c r="W149" i="1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L39" i="7"/>
  <c r="K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J40" i="7"/>
  <c r="J38" i="1"/>
  <c r="J37" i="4"/>
  <c r="M36" i="4"/>
  <c r="U36" i="4"/>
  <c r="N36" i="4"/>
  <c r="V36" i="4"/>
  <c r="O36" i="4"/>
  <c r="W36" i="4"/>
  <c r="Q36" i="4"/>
  <c r="Y36" i="4"/>
  <c r="R36" i="4"/>
  <c r="Z36" i="4"/>
  <c r="AA36" i="4"/>
  <c r="AB36" i="4"/>
  <c r="L36" i="4"/>
  <c r="P36" i="4"/>
  <c r="S36" i="4"/>
  <c r="T36" i="4"/>
  <c r="K36" i="4"/>
  <c r="X36" i="4"/>
  <c r="J40" i="5"/>
  <c r="J41" i="3"/>
  <c r="AI38" i="1" l="1"/>
  <c r="AB38" i="1"/>
  <c r="AJ38" i="1"/>
  <c r="AC38" i="1"/>
  <c r="AK38" i="1"/>
  <c r="AD38" i="1"/>
  <c r="AE38" i="1"/>
  <c r="AG38" i="1"/>
  <c r="AF38" i="1"/>
  <c r="AH38" i="1"/>
  <c r="N38" i="1"/>
  <c r="V38" i="1"/>
  <c r="T38" i="1"/>
  <c r="L38" i="1"/>
  <c r="P38" i="1"/>
  <c r="X38" i="1"/>
  <c r="O38" i="1"/>
  <c r="W38" i="1"/>
  <c r="R38" i="1"/>
  <c r="Q38" i="1"/>
  <c r="Z38" i="1"/>
  <c r="U38" i="1"/>
  <c r="M38" i="1"/>
  <c r="K38" i="1"/>
  <c r="Y38" i="1"/>
  <c r="S38" i="1"/>
  <c r="AA38" i="1"/>
  <c r="AF40" i="6"/>
  <c r="AG40" i="6"/>
  <c r="AH40" i="6"/>
  <c r="AI40" i="6"/>
  <c r="AB40" i="6"/>
  <c r="AJ40" i="6"/>
  <c r="AC40" i="6"/>
  <c r="AK40" i="6"/>
  <c r="AD40" i="6"/>
  <c r="AE40" i="6"/>
  <c r="K40" i="6"/>
  <c r="S40" i="6"/>
  <c r="Q40" i="6"/>
  <c r="M40" i="6"/>
  <c r="T40" i="6"/>
  <c r="V40" i="6"/>
  <c r="Y40" i="6"/>
  <c r="L40" i="6"/>
  <c r="U40" i="6"/>
  <c r="N40" i="6"/>
  <c r="P40" i="6"/>
  <c r="X40" i="6"/>
  <c r="O40" i="6"/>
  <c r="W40" i="6"/>
  <c r="R40" i="6"/>
  <c r="Z40" i="6"/>
  <c r="J41" i="6"/>
  <c r="AA40" i="6"/>
  <c r="U148" i="4"/>
  <c r="X147" i="4"/>
  <c r="W147" i="4"/>
  <c r="V147" i="4"/>
  <c r="T151" i="1"/>
  <c r="V150" i="1"/>
  <c r="U150" i="1"/>
  <c r="W150" i="1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L40" i="5"/>
  <c r="K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J41" i="7"/>
  <c r="J39" i="1"/>
  <c r="J38" i="4"/>
  <c r="L37" i="4"/>
  <c r="T37" i="4"/>
  <c r="AB37" i="4"/>
  <c r="M37" i="4"/>
  <c r="U37" i="4"/>
  <c r="N37" i="4"/>
  <c r="V37" i="4"/>
  <c r="P37" i="4"/>
  <c r="X37" i="4"/>
  <c r="Q37" i="4"/>
  <c r="Y37" i="4"/>
  <c r="K37" i="4"/>
  <c r="O37" i="4"/>
  <c r="R37" i="4"/>
  <c r="S37" i="4"/>
  <c r="W37" i="4"/>
  <c r="Z37" i="4"/>
  <c r="AA37" i="4"/>
  <c r="J41" i="5"/>
  <c r="J42" i="3"/>
  <c r="AG39" i="1" l="1"/>
  <c r="AE39" i="1"/>
  <c r="AH39" i="1"/>
  <c r="AI39" i="1"/>
  <c r="AB39" i="1"/>
  <c r="AJ39" i="1"/>
  <c r="AC39" i="1"/>
  <c r="AK39" i="1"/>
  <c r="AD39" i="1"/>
  <c r="AF39" i="1"/>
  <c r="U39" i="1"/>
  <c r="Z39" i="1"/>
  <c r="O39" i="1"/>
  <c r="X39" i="1"/>
  <c r="W39" i="1"/>
  <c r="T39" i="1"/>
  <c r="M39" i="1"/>
  <c r="N39" i="1"/>
  <c r="V39" i="1"/>
  <c r="R39" i="1"/>
  <c r="L39" i="1"/>
  <c r="K39" i="1"/>
  <c r="S39" i="1"/>
  <c r="AA39" i="1"/>
  <c r="Q39" i="1"/>
  <c r="P39" i="1"/>
  <c r="Y39" i="1"/>
  <c r="AD41" i="6"/>
  <c r="AE41" i="6"/>
  <c r="AF41" i="6"/>
  <c r="AG41" i="6"/>
  <c r="AH41" i="6"/>
  <c r="AI41" i="6"/>
  <c r="AB41" i="6"/>
  <c r="AJ41" i="6"/>
  <c r="AC41" i="6"/>
  <c r="AK41" i="6"/>
  <c r="K41" i="6"/>
  <c r="S41" i="6"/>
  <c r="AA41" i="6"/>
  <c r="L41" i="6"/>
  <c r="T41" i="6"/>
  <c r="Y41" i="6"/>
  <c r="M41" i="6"/>
  <c r="U41" i="6"/>
  <c r="Q41" i="6"/>
  <c r="N41" i="6"/>
  <c r="V41" i="6"/>
  <c r="R41" i="6"/>
  <c r="O41" i="6"/>
  <c r="W41" i="6"/>
  <c r="J42" i="6"/>
  <c r="P41" i="6"/>
  <c r="X41" i="6"/>
  <c r="Z41" i="6"/>
  <c r="U149" i="4"/>
  <c r="V148" i="4"/>
  <c r="W148" i="4"/>
  <c r="X148" i="4"/>
  <c r="T152" i="1"/>
  <c r="U151" i="1"/>
  <c r="V151" i="1"/>
  <c r="W151" i="1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L41" i="5"/>
  <c r="K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L41" i="7"/>
  <c r="K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J42" i="7"/>
  <c r="J40" i="1"/>
  <c r="J39" i="4"/>
  <c r="S38" i="4"/>
  <c r="AA38" i="4"/>
  <c r="L38" i="4"/>
  <c r="T38" i="4"/>
  <c r="AB38" i="4"/>
  <c r="M38" i="4"/>
  <c r="U38" i="4"/>
  <c r="O38" i="4"/>
  <c r="W38" i="4"/>
  <c r="P38" i="4"/>
  <c r="X38" i="4"/>
  <c r="N38" i="4"/>
  <c r="Q38" i="4"/>
  <c r="K38" i="4"/>
  <c r="R38" i="4"/>
  <c r="V38" i="4"/>
  <c r="Y38" i="4"/>
  <c r="Z38" i="4"/>
  <c r="J42" i="5"/>
  <c r="J43" i="3"/>
  <c r="AE40" i="1" l="1"/>
  <c r="AF40" i="1"/>
  <c r="AC40" i="1"/>
  <c r="AG40" i="1"/>
  <c r="AH40" i="1"/>
  <c r="AI40" i="1"/>
  <c r="AB40" i="1"/>
  <c r="AJ40" i="1"/>
  <c r="AK40" i="1"/>
  <c r="AD40" i="1"/>
  <c r="S40" i="1"/>
  <c r="U40" i="1"/>
  <c r="R40" i="1"/>
  <c r="N40" i="1"/>
  <c r="V40" i="1"/>
  <c r="M40" i="1"/>
  <c r="AA40" i="1"/>
  <c r="P40" i="1"/>
  <c r="K40" i="1"/>
  <c r="L40" i="1"/>
  <c r="W40" i="1"/>
  <c r="Z40" i="1"/>
  <c r="O40" i="1"/>
  <c r="X40" i="1"/>
  <c r="Q40" i="1"/>
  <c r="Y40" i="1"/>
  <c r="T40" i="1"/>
  <c r="AB42" i="6"/>
  <c r="AJ42" i="6"/>
  <c r="AC42" i="6"/>
  <c r="AK42" i="6"/>
  <c r="AD42" i="6"/>
  <c r="AE42" i="6"/>
  <c r="AF42" i="6"/>
  <c r="AG42" i="6"/>
  <c r="AH42" i="6"/>
  <c r="AI42" i="6"/>
  <c r="K42" i="6"/>
  <c r="S42" i="6"/>
  <c r="AA42" i="6"/>
  <c r="P42" i="6"/>
  <c r="L42" i="6"/>
  <c r="T42" i="6"/>
  <c r="N42" i="6"/>
  <c r="M42" i="6"/>
  <c r="U42" i="6"/>
  <c r="W42" i="6"/>
  <c r="Q42" i="6"/>
  <c r="R42" i="6"/>
  <c r="Z42" i="6"/>
  <c r="J43" i="6"/>
  <c r="V42" i="6"/>
  <c r="O42" i="6"/>
  <c r="X42" i="6"/>
  <c r="Y42" i="6"/>
  <c r="U150" i="4"/>
  <c r="V149" i="4"/>
  <c r="W149" i="4"/>
  <c r="X149" i="4"/>
  <c r="T153" i="1"/>
  <c r="U152" i="1"/>
  <c r="W152" i="1"/>
  <c r="V152" i="1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J43" i="7"/>
  <c r="J41" i="1"/>
  <c r="J40" i="4"/>
  <c r="R39" i="4"/>
  <c r="Z39" i="4"/>
  <c r="S39" i="4"/>
  <c r="AA39" i="4"/>
  <c r="L39" i="4"/>
  <c r="T39" i="4"/>
  <c r="AB39" i="4"/>
  <c r="N39" i="4"/>
  <c r="V39" i="4"/>
  <c r="O39" i="4"/>
  <c r="W39" i="4"/>
  <c r="Q39" i="4"/>
  <c r="U39" i="4"/>
  <c r="X39" i="4"/>
  <c r="K39" i="4"/>
  <c r="Y39" i="4"/>
  <c r="M39" i="4"/>
  <c r="P39" i="4"/>
  <c r="J43" i="5"/>
  <c r="J44" i="3"/>
  <c r="AC41" i="1" l="1"/>
  <c r="AK41" i="1"/>
  <c r="AD41" i="1"/>
  <c r="AE41" i="1"/>
  <c r="AF41" i="1"/>
  <c r="AG41" i="1"/>
  <c r="AH41" i="1"/>
  <c r="AB41" i="1"/>
  <c r="AJ41" i="1"/>
  <c r="AI41" i="1"/>
  <c r="R41" i="1"/>
  <c r="Z41" i="1"/>
  <c r="Q41" i="1"/>
  <c r="K41" i="1"/>
  <c r="AA41" i="1"/>
  <c r="Y41" i="1"/>
  <c r="L41" i="1"/>
  <c r="N41" i="1"/>
  <c r="V41" i="1"/>
  <c r="P41" i="1"/>
  <c r="M41" i="1"/>
  <c r="U41" i="1"/>
  <c r="S41" i="1"/>
  <c r="X41" i="1"/>
  <c r="T41" i="1"/>
  <c r="W41" i="1"/>
  <c r="O41" i="1"/>
  <c r="AH43" i="6"/>
  <c r="AI43" i="6"/>
  <c r="AB43" i="6"/>
  <c r="AJ43" i="6"/>
  <c r="AC43" i="6"/>
  <c r="AK43" i="6"/>
  <c r="AD43" i="6"/>
  <c r="AE43" i="6"/>
  <c r="AF43" i="6"/>
  <c r="AG43" i="6"/>
  <c r="K43" i="6"/>
  <c r="L43" i="6"/>
  <c r="T43" i="6"/>
  <c r="W43" i="6"/>
  <c r="M43" i="6"/>
  <c r="U43" i="6"/>
  <c r="O43" i="6"/>
  <c r="R43" i="6"/>
  <c r="J44" i="6"/>
  <c r="N43" i="6"/>
  <c r="V43" i="6"/>
  <c r="AA43" i="6"/>
  <c r="P43" i="6"/>
  <c r="X43" i="6"/>
  <c r="Q43" i="6"/>
  <c r="Y43" i="6"/>
  <c r="Z43" i="6"/>
  <c r="S43" i="6"/>
  <c r="U151" i="4"/>
  <c r="W150" i="4"/>
  <c r="X150" i="4"/>
  <c r="V150" i="4"/>
  <c r="T154" i="1"/>
  <c r="U153" i="1"/>
  <c r="W153" i="1"/>
  <c r="V153" i="1"/>
  <c r="K44" i="3"/>
  <c r="M44" i="3"/>
  <c r="L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L43" i="5"/>
  <c r="K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J44" i="7"/>
  <c r="J42" i="1"/>
  <c r="J41" i="4"/>
  <c r="N41" i="4" s="1"/>
  <c r="Q40" i="4"/>
  <c r="Y40" i="4"/>
  <c r="R40" i="4"/>
  <c r="Z40" i="4"/>
  <c r="S40" i="4"/>
  <c r="AA40" i="4"/>
  <c r="M40" i="4"/>
  <c r="U40" i="4"/>
  <c r="N40" i="4"/>
  <c r="V40" i="4"/>
  <c r="W40" i="4"/>
  <c r="X40" i="4"/>
  <c r="AB40" i="4"/>
  <c r="K40" i="4"/>
  <c r="L40" i="4"/>
  <c r="O40" i="4"/>
  <c r="P40" i="4"/>
  <c r="T40" i="4"/>
  <c r="J44" i="5"/>
  <c r="J45" i="3"/>
  <c r="AI42" i="1" l="1"/>
  <c r="AG42" i="1"/>
  <c r="AB42" i="1"/>
  <c r="AJ42" i="1"/>
  <c r="AC42" i="1"/>
  <c r="AK42" i="1"/>
  <c r="AD42" i="1"/>
  <c r="AE42" i="1"/>
  <c r="AF42" i="1"/>
  <c r="AH42" i="1"/>
  <c r="P42" i="1"/>
  <c r="Y42" i="1"/>
  <c r="W42" i="1"/>
  <c r="Q42" i="1"/>
  <c r="O42" i="1"/>
  <c r="K42" i="1"/>
  <c r="U42" i="1"/>
  <c r="AA42" i="1"/>
  <c r="M42" i="1"/>
  <c r="T42" i="1"/>
  <c r="Z42" i="1"/>
  <c r="L42" i="1"/>
  <c r="R42" i="1"/>
  <c r="S42" i="1"/>
  <c r="V42" i="1"/>
  <c r="N42" i="1"/>
  <c r="X42" i="1"/>
  <c r="AF44" i="6"/>
  <c r="AG44" i="6"/>
  <c r="AH44" i="6"/>
  <c r="AI44" i="6"/>
  <c r="AB44" i="6"/>
  <c r="AJ44" i="6"/>
  <c r="AC44" i="6"/>
  <c r="AK44" i="6"/>
  <c r="AD44" i="6"/>
  <c r="AE44" i="6"/>
  <c r="L44" i="6"/>
  <c r="T44" i="6"/>
  <c r="W44" i="6"/>
  <c r="J45" i="6"/>
  <c r="AA44" i="6"/>
  <c r="M44" i="6"/>
  <c r="U44" i="6"/>
  <c r="O44" i="6"/>
  <c r="R44" i="6"/>
  <c r="S44" i="6"/>
  <c r="N44" i="6"/>
  <c r="V44" i="6"/>
  <c r="Z44" i="6"/>
  <c r="K44" i="6"/>
  <c r="P44" i="6"/>
  <c r="X44" i="6"/>
  <c r="Q44" i="6"/>
  <c r="Y44" i="6"/>
  <c r="V151" i="4"/>
  <c r="W151" i="4"/>
  <c r="X151" i="4"/>
  <c r="T155" i="1"/>
  <c r="V154" i="1"/>
  <c r="W154" i="1"/>
  <c r="U154" i="1"/>
  <c r="K45" i="3"/>
  <c r="M45" i="3"/>
  <c r="L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L44" i="5"/>
  <c r="K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J45" i="7"/>
  <c r="J43" i="1"/>
  <c r="J42" i="4"/>
  <c r="P41" i="4"/>
  <c r="X41" i="4"/>
  <c r="Q41" i="4"/>
  <c r="Y41" i="4"/>
  <c r="R41" i="4"/>
  <c r="Z41" i="4"/>
  <c r="L41" i="4"/>
  <c r="T41" i="4"/>
  <c r="AB41" i="4"/>
  <c r="M41" i="4"/>
  <c r="U41" i="4"/>
  <c r="AA41" i="4"/>
  <c r="O41" i="4"/>
  <c r="K41" i="4"/>
  <c r="S41" i="4"/>
  <c r="V41" i="4"/>
  <c r="W41" i="4"/>
  <c r="J45" i="5"/>
  <c r="J46" i="3"/>
  <c r="AG43" i="1" l="1"/>
  <c r="AH43" i="1"/>
  <c r="AI43" i="1"/>
  <c r="AB43" i="1"/>
  <c r="AJ43" i="1"/>
  <c r="AC43" i="1"/>
  <c r="AK43" i="1"/>
  <c r="AE43" i="1"/>
  <c r="AD43" i="1"/>
  <c r="AF43" i="1"/>
  <c r="O43" i="1"/>
  <c r="M43" i="1"/>
  <c r="AA43" i="1"/>
  <c r="S43" i="1"/>
  <c r="K43" i="1"/>
  <c r="Z43" i="1"/>
  <c r="X43" i="1"/>
  <c r="R43" i="1"/>
  <c r="P43" i="1"/>
  <c r="V43" i="1"/>
  <c r="N43" i="1"/>
  <c r="Q43" i="1"/>
  <c r="L43" i="1"/>
  <c r="T43" i="1"/>
  <c r="W43" i="1"/>
  <c r="Y43" i="1"/>
  <c r="U43" i="1"/>
  <c r="AD45" i="6"/>
  <c r="AE45" i="6"/>
  <c r="AF45" i="6"/>
  <c r="AG45" i="6"/>
  <c r="AH45" i="6"/>
  <c r="AI45" i="6"/>
  <c r="AB45" i="6"/>
  <c r="AJ45" i="6"/>
  <c r="AC45" i="6"/>
  <c r="AK45" i="6"/>
  <c r="M45" i="6"/>
  <c r="T45" i="6"/>
  <c r="O45" i="6"/>
  <c r="R45" i="6"/>
  <c r="S45" i="6"/>
  <c r="L45" i="6"/>
  <c r="U45" i="6"/>
  <c r="J46" i="6"/>
  <c r="N45" i="6"/>
  <c r="V45" i="6"/>
  <c r="W45" i="6"/>
  <c r="AA45" i="6"/>
  <c r="P45" i="6"/>
  <c r="X45" i="6"/>
  <c r="Q45" i="6"/>
  <c r="Y45" i="6"/>
  <c r="Z45" i="6"/>
  <c r="K45" i="6"/>
  <c r="W155" i="1"/>
  <c r="U155" i="1"/>
  <c r="V155" i="1"/>
  <c r="K46" i="3"/>
  <c r="M46" i="3"/>
  <c r="L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L45" i="5"/>
  <c r="K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J46" i="7"/>
  <c r="J44" i="1"/>
  <c r="J43" i="4"/>
  <c r="O42" i="4"/>
  <c r="W42" i="4"/>
  <c r="P42" i="4"/>
  <c r="X42" i="4"/>
  <c r="Q42" i="4"/>
  <c r="S42" i="4"/>
  <c r="L42" i="4"/>
  <c r="T42" i="4"/>
  <c r="AA42" i="4"/>
  <c r="M42" i="4"/>
  <c r="AB42" i="4"/>
  <c r="N42" i="4"/>
  <c r="R42" i="4"/>
  <c r="V42" i="4"/>
  <c r="U42" i="4"/>
  <c r="Y42" i="4"/>
  <c r="Z42" i="4"/>
  <c r="K42" i="4"/>
  <c r="J46" i="5"/>
  <c r="J47" i="3"/>
  <c r="AE44" i="1" l="1"/>
  <c r="AF44" i="1"/>
  <c r="AG44" i="1"/>
  <c r="AH44" i="1"/>
  <c r="AI44" i="1"/>
  <c r="AB44" i="1"/>
  <c r="AJ44" i="1"/>
  <c r="AC44" i="1"/>
  <c r="AK44" i="1"/>
  <c r="AD44" i="1"/>
  <c r="Q44" i="1"/>
  <c r="X44" i="1"/>
  <c r="V44" i="1"/>
  <c r="P44" i="1"/>
  <c r="N44" i="1"/>
  <c r="T44" i="1"/>
  <c r="L44" i="1"/>
  <c r="AA44" i="1"/>
  <c r="U44" i="1"/>
  <c r="S44" i="1"/>
  <c r="M44" i="1"/>
  <c r="K44" i="1"/>
  <c r="W44" i="1"/>
  <c r="Y44" i="1"/>
  <c r="O44" i="1"/>
  <c r="Z44" i="1"/>
  <c r="R44" i="1"/>
  <c r="AB46" i="6"/>
  <c r="AJ46" i="6"/>
  <c r="AC46" i="6"/>
  <c r="AK46" i="6"/>
  <c r="AD46" i="6"/>
  <c r="AE46" i="6"/>
  <c r="AF46" i="6"/>
  <c r="AG46" i="6"/>
  <c r="AH46" i="6"/>
  <c r="AI46" i="6"/>
  <c r="M46" i="6"/>
  <c r="T46" i="6"/>
  <c r="K46" i="6"/>
  <c r="L46" i="6"/>
  <c r="U46" i="6"/>
  <c r="N46" i="6"/>
  <c r="V46" i="6"/>
  <c r="O46" i="6"/>
  <c r="W46" i="6"/>
  <c r="S46" i="6"/>
  <c r="P46" i="6"/>
  <c r="X46" i="6"/>
  <c r="Q46" i="6"/>
  <c r="Y46" i="6"/>
  <c r="J47" i="6"/>
  <c r="AA46" i="6"/>
  <c r="R46" i="6"/>
  <c r="Z46" i="6"/>
  <c r="K47" i="3"/>
  <c r="M47" i="3"/>
  <c r="L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J47" i="7"/>
  <c r="J45" i="1"/>
  <c r="J44" i="4"/>
  <c r="R43" i="4"/>
  <c r="Z43" i="4"/>
  <c r="S43" i="4"/>
  <c r="AA43" i="4"/>
  <c r="L43" i="4"/>
  <c r="T43" i="4"/>
  <c r="AB43" i="4"/>
  <c r="U43" i="4"/>
  <c r="M43" i="4"/>
  <c r="N43" i="4"/>
  <c r="V43" i="4"/>
  <c r="O43" i="4"/>
  <c r="P43" i="4"/>
  <c r="X43" i="4"/>
  <c r="K43" i="4"/>
  <c r="Q43" i="4"/>
  <c r="W43" i="4"/>
  <c r="Y43" i="4"/>
  <c r="J47" i="5"/>
  <c r="J48" i="3"/>
  <c r="AC45" i="1" l="1"/>
  <c r="AK45" i="1"/>
  <c r="AD45" i="1"/>
  <c r="AE45" i="1"/>
  <c r="AF45" i="1"/>
  <c r="AG45" i="1"/>
  <c r="AH45" i="1"/>
  <c r="AB45" i="1"/>
  <c r="AJ45" i="1"/>
  <c r="AI45" i="1"/>
  <c r="N45" i="1"/>
  <c r="L45" i="1"/>
  <c r="M45" i="1"/>
  <c r="Z45" i="1"/>
  <c r="AA45" i="1"/>
  <c r="R45" i="1"/>
  <c r="Y45" i="1"/>
  <c r="U45" i="1"/>
  <c r="S45" i="1"/>
  <c r="Q45" i="1"/>
  <c r="K45" i="1"/>
  <c r="W45" i="1"/>
  <c r="O45" i="1"/>
  <c r="T45" i="1"/>
  <c r="P45" i="1"/>
  <c r="V45" i="1"/>
  <c r="X45" i="1"/>
  <c r="AH47" i="6"/>
  <c r="AI47" i="6"/>
  <c r="AB47" i="6"/>
  <c r="AJ47" i="6"/>
  <c r="AC47" i="6"/>
  <c r="AK47" i="6"/>
  <c r="AD47" i="6"/>
  <c r="AE47" i="6"/>
  <c r="AF47" i="6"/>
  <c r="AG47" i="6"/>
  <c r="P47" i="6"/>
  <c r="X47" i="6"/>
  <c r="Q47" i="6"/>
  <c r="Y47" i="6"/>
  <c r="R47" i="6"/>
  <c r="Z47" i="6"/>
  <c r="J48" i="6"/>
  <c r="K47" i="6"/>
  <c r="S47" i="6"/>
  <c r="AA47" i="6"/>
  <c r="O47" i="6"/>
  <c r="L47" i="6"/>
  <c r="T47" i="6"/>
  <c r="U47" i="6"/>
  <c r="W47" i="6"/>
  <c r="M47" i="6"/>
  <c r="N47" i="6"/>
  <c r="V47" i="6"/>
  <c r="K48" i="3"/>
  <c r="M48" i="3"/>
  <c r="L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J48" i="7"/>
  <c r="J46" i="1"/>
  <c r="J45" i="4"/>
  <c r="Q44" i="4"/>
  <c r="Y44" i="4"/>
  <c r="T44" i="4"/>
  <c r="AB44" i="4"/>
  <c r="R44" i="4"/>
  <c r="Z44" i="4"/>
  <c r="L44" i="4"/>
  <c r="S44" i="4"/>
  <c r="AA44" i="4"/>
  <c r="M44" i="4"/>
  <c r="U44" i="4"/>
  <c r="O44" i="4"/>
  <c r="W44" i="4"/>
  <c r="X44" i="4"/>
  <c r="P44" i="4"/>
  <c r="K44" i="4"/>
  <c r="V44" i="4"/>
  <c r="N44" i="4"/>
  <c r="J48" i="5"/>
  <c r="J49" i="3"/>
  <c r="AI46" i="1" l="1"/>
  <c r="AG46" i="1"/>
  <c r="AB46" i="1"/>
  <c r="AJ46" i="1"/>
  <c r="AC46" i="1"/>
  <c r="AK46" i="1"/>
  <c r="AD46" i="1"/>
  <c r="AE46" i="1"/>
  <c r="AF46" i="1"/>
  <c r="AH46" i="1"/>
  <c r="Y46" i="1"/>
  <c r="P46" i="1"/>
  <c r="W46" i="1"/>
  <c r="Q46" i="1"/>
  <c r="O46" i="1"/>
  <c r="K46" i="1"/>
  <c r="U46" i="1"/>
  <c r="S46" i="1"/>
  <c r="M46" i="1"/>
  <c r="T46" i="1"/>
  <c r="Z46" i="1"/>
  <c r="AA46" i="1"/>
  <c r="L46" i="1"/>
  <c r="R46" i="1"/>
  <c r="V46" i="1"/>
  <c r="N46" i="1"/>
  <c r="X46" i="1"/>
  <c r="AF48" i="6"/>
  <c r="AG48" i="6"/>
  <c r="AH48" i="6"/>
  <c r="AI48" i="6"/>
  <c r="AB48" i="6"/>
  <c r="AJ48" i="6"/>
  <c r="AC48" i="6"/>
  <c r="AK48" i="6"/>
  <c r="AD48" i="6"/>
  <c r="AE48" i="6"/>
  <c r="K48" i="6"/>
  <c r="S48" i="6"/>
  <c r="AA48" i="6"/>
  <c r="L48" i="6"/>
  <c r="T48" i="6"/>
  <c r="M48" i="6"/>
  <c r="U48" i="6"/>
  <c r="N48" i="6"/>
  <c r="V48" i="6"/>
  <c r="J49" i="6"/>
  <c r="O48" i="6"/>
  <c r="W48" i="6"/>
  <c r="X48" i="6"/>
  <c r="R48" i="6"/>
  <c r="P48" i="6"/>
  <c r="Z48" i="6"/>
  <c r="Q48" i="6"/>
  <c r="Y48" i="6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J49" i="7"/>
  <c r="J47" i="1"/>
  <c r="J46" i="4"/>
  <c r="P45" i="4"/>
  <c r="X45" i="4"/>
  <c r="K45" i="4"/>
  <c r="AA45" i="4"/>
  <c r="Q45" i="4"/>
  <c r="Y45" i="4"/>
  <c r="R45" i="4"/>
  <c r="Z45" i="4"/>
  <c r="S45" i="4"/>
  <c r="L45" i="4"/>
  <c r="T45" i="4"/>
  <c r="AB45" i="4"/>
  <c r="N45" i="4"/>
  <c r="V45" i="4"/>
  <c r="M45" i="4"/>
  <c r="O45" i="4"/>
  <c r="U45" i="4"/>
  <c r="W45" i="4"/>
  <c r="J49" i="5"/>
  <c r="J50" i="3"/>
  <c r="AG47" i="1" l="1"/>
  <c r="AH47" i="1"/>
  <c r="AI47" i="1"/>
  <c r="AB47" i="1"/>
  <c r="AJ47" i="1"/>
  <c r="AC47" i="1"/>
  <c r="AK47" i="1"/>
  <c r="AD47" i="1"/>
  <c r="AE47" i="1"/>
  <c r="AF47" i="1"/>
  <c r="AA47" i="1"/>
  <c r="S47" i="1"/>
  <c r="K47" i="1"/>
  <c r="Z47" i="1"/>
  <c r="X47" i="1"/>
  <c r="R47" i="1"/>
  <c r="P47" i="1"/>
  <c r="V47" i="1"/>
  <c r="Y47" i="1"/>
  <c r="Q47" i="1"/>
  <c r="W47" i="1"/>
  <c r="N47" i="1"/>
  <c r="U47" i="1"/>
  <c r="L47" i="1"/>
  <c r="T47" i="1"/>
  <c r="O47" i="1"/>
  <c r="M47" i="1"/>
  <c r="AD49" i="6"/>
  <c r="AE49" i="6"/>
  <c r="AF49" i="6"/>
  <c r="AG49" i="6"/>
  <c r="AH49" i="6"/>
  <c r="AI49" i="6"/>
  <c r="AB49" i="6"/>
  <c r="AJ49" i="6"/>
  <c r="AC49" i="6"/>
  <c r="AK49" i="6"/>
  <c r="S49" i="6"/>
  <c r="L49" i="6"/>
  <c r="T49" i="6"/>
  <c r="W49" i="6"/>
  <c r="M49" i="6"/>
  <c r="U49" i="6"/>
  <c r="N49" i="6"/>
  <c r="V49" i="6"/>
  <c r="O49" i="6"/>
  <c r="R49" i="6"/>
  <c r="K49" i="6"/>
  <c r="J50" i="6"/>
  <c r="P49" i="6"/>
  <c r="X49" i="6"/>
  <c r="Q49" i="6"/>
  <c r="Y49" i="6"/>
  <c r="Z49" i="6"/>
  <c r="AA49" i="6"/>
  <c r="K50" i="3"/>
  <c r="M50" i="3"/>
  <c r="L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J50" i="7"/>
  <c r="J48" i="1"/>
  <c r="J47" i="4"/>
  <c r="O46" i="4"/>
  <c r="W46" i="4"/>
  <c r="P46" i="4"/>
  <c r="X46" i="4"/>
  <c r="K46" i="4"/>
  <c r="R46" i="4"/>
  <c r="Q46" i="4"/>
  <c r="Y46" i="4"/>
  <c r="Z46" i="4"/>
  <c r="S46" i="4"/>
  <c r="AA46" i="4"/>
  <c r="M46" i="4"/>
  <c r="U46" i="4"/>
  <c r="V46" i="4"/>
  <c r="AB46" i="4"/>
  <c r="T46" i="4"/>
  <c r="L46" i="4"/>
  <c r="N46" i="4"/>
  <c r="J50" i="5"/>
  <c r="J51" i="3"/>
  <c r="AE48" i="1" l="1"/>
  <c r="AF48" i="1"/>
  <c r="AG48" i="1"/>
  <c r="AH48" i="1"/>
  <c r="AI48" i="1"/>
  <c r="AC48" i="1"/>
  <c r="AB48" i="1"/>
  <c r="AJ48" i="1"/>
  <c r="AD48" i="1"/>
  <c r="AK48" i="1"/>
  <c r="W48" i="1"/>
  <c r="X48" i="1"/>
  <c r="V48" i="1"/>
  <c r="P48" i="1"/>
  <c r="N48" i="1"/>
  <c r="T48" i="1"/>
  <c r="AA48" i="1"/>
  <c r="U48" i="1"/>
  <c r="L48" i="1"/>
  <c r="S48" i="1"/>
  <c r="M48" i="1"/>
  <c r="K48" i="1"/>
  <c r="O48" i="1"/>
  <c r="Y48" i="1"/>
  <c r="Q48" i="1"/>
  <c r="Z48" i="1"/>
  <c r="R48" i="1"/>
  <c r="AB50" i="6"/>
  <c r="AJ50" i="6"/>
  <c r="AC50" i="6"/>
  <c r="AK50" i="6"/>
  <c r="AD50" i="6"/>
  <c r="AE50" i="6"/>
  <c r="AF50" i="6"/>
  <c r="AG50" i="6"/>
  <c r="AH50" i="6"/>
  <c r="AI50" i="6"/>
  <c r="K50" i="6"/>
  <c r="S50" i="6"/>
  <c r="AA50" i="6"/>
  <c r="R50" i="6"/>
  <c r="M50" i="6"/>
  <c r="T50" i="6"/>
  <c r="L50" i="6"/>
  <c r="U50" i="6"/>
  <c r="N50" i="6"/>
  <c r="V50" i="6"/>
  <c r="O50" i="6"/>
  <c r="W50" i="6"/>
  <c r="X50" i="6"/>
  <c r="Z50" i="6"/>
  <c r="P50" i="6"/>
  <c r="J51" i="6"/>
  <c r="Q50" i="6"/>
  <c r="Y50" i="6"/>
  <c r="K51" i="3"/>
  <c r="M51" i="3"/>
  <c r="L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L50" i="5"/>
  <c r="K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J51" i="7"/>
  <c r="M51" i="7" s="1"/>
  <c r="J49" i="1"/>
  <c r="J48" i="4"/>
  <c r="N47" i="4"/>
  <c r="V47" i="4"/>
  <c r="Q47" i="4"/>
  <c r="O47" i="4"/>
  <c r="W47" i="4"/>
  <c r="Y47" i="4"/>
  <c r="P47" i="4"/>
  <c r="X47" i="4"/>
  <c r="K47" i="4"/>
  <c r="R47" i="4"/>
  <c r="Z47" i="4"/>
  <c r="L47" i="4"/>
  <c r="T47" i="4"/>
  <c r="AB47" i="4"/>
  <c r="M47" i="4"/>
  <c r="S47" i="4"/>
  <c r="U47" i="4"/>
  <c r="AA47" i="4"/>
  <c r="J51" i="5"/>
  <c r="J52" i="3"/>
  <c r="AC49" i="1" l="1"/>
  <c r="AK49" i="1"/>
  <c r="AI49" i="1"/>
  <c r="AD49" i="1"/>
  <c r="AE49" i="1"/>
  <c r="AF49" i="1"/>
  <c r="AG49" i="1"/>
  <c r="AH49" i="1"/>
  <c r="AB49" i="1"/>
  <c r="AJ49" i="1"/>
  <c r="N49" i="1"/>
  <c r="L49" i="1"/>
  <c r="AA49" i="1"/>
  <c r="Z49" i="1"/>
  <c r="Y49" i="1"/>
  <c r="M49" i="1"/>
  <c r="U49" i="1"/>
  <c r="S49" i="1"/>
  <c r="R49" i="1"/>
  <c r="Q49" i="1"/>
  <c r="K49" i="1"/>
  <c r="W49" i="1"/>
  <c r="O49" i="1"/>
  <c r="V49" i="1"/>
  <c r="X49" i="1"/>
  <c r="P49" i="1"/>
  <c r="T49" i="1"/>
  <c r="AH51" i="6"/>
  <c r="AI51" i="6"/>
  <c r="AB51" i="6"/>
  <c r="AJ51" i="6"/>
  <c r="AC51" i="6"/>
  <c r="AK51" i="6"/>
  <c r="AD51" i="6"/>
  <c r="AE51" i="6"/>
  <c r="AF51" i="6"/>
  <c r="AG51" i="6"/>
  <c r="K51" i="6"/>
  <c r="S51" i="6"/>
  <c r="AA51" i="6"/>
  <c r="M51" i="6"/>
  <c r="T51" i="6"/>
  <c r="Z51" i="6"/>
  <c r="L51" i="6"/>
  <c r="U51" i="6"/>
  <c r="J52" i="6"/>
  <c r="N51" i="6"/>
  <c r="V51" i="6"/>
  <c r="R51" i="6"/>
  <c r="O51" i="6"/>
  <c r="W51" i="6"/>
  <c r="P51" i="6"/>
  <c r="X51" i="6"/>
  <c r="Q51" i="6"/>
  <c r="Y51" i="6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L51" i="5"/>
  <c r="K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L51" i="7"/>
  <c r="K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J52" i="7"/>
  <c r="J50" i="1"/>
  <c r="J49" i="4"/>
  <c r="M48" i="4"/>
  <c r="U48" i="4"/>
  <c r="X48" i="4"/>
  <c r="K48" i="4"/>
  <c r="N48" i="4"/>
  <c r="V48" i="4"/>
  <c r="O48" i="4"/>
  <c r="W48" i="4"/>
  <c r="P48" i="4"/>
  <c r="Q48" i="4"/>
  <c r="Y48" i="4"/>
  <c r="S48" i="4"/>
  <c r="AA48" i="4"/>
  <c r="T48" i="4"/>
  <c r="R48" i="4"/>
  <c r="Z48" i="4"/>
  <c r="L48" i="4"/>
  <c r="AB48" i="4"/>
  <c r="J52" i="5"/>
  <c r="J53" i="3"/>
  <c r="AI50" i="1" l="1"/>
  <c r="AB50" i="1"/>
  <c r="AJ50" i="1"/>
  <c r="AG50" i="1"/>
  <c r="AC50" i="1"/>
  <c r="AK50" i="1"/>
  <c r="AD50" i="1"/>
  <c r="AE50" i="1"/>
  <c r="AF50" i="1"/>
  <c r="AH50" i="1"/>
  <c r="Q50" i="1"/>
  <c r="P50" i="1"/>
  <c r="O50" i="1"/>
  <c r="K50" i="1"/>
  <c r="U50" i="1"/>
  <c r="M50" i="1"/>
  <c r="AA50" i="1"/>
  <c r="S50" i="1"/>
  <c r="T50" i="1"/>
  <c r="Z50" i="1"/>
  <c r="L50" i="1"/>
  <c r="R50" i="1"/>
  <c r="V50" i="1"/>
  <c r="N50" i="1"/>
  <c r="X50" i="1"/>
  <c r="Y50" i="1"/>
  <c r="W50" i="1"/>
  <c r="AF52" i="6"/>
  <c r="AG52" i="6"/>
  <c r="AH52" i="6"/>
  <c r="AI52" i="6"/>
  <c r="AB52" i="6"/>
  <c r="AJ52" i="6"/>
  <c r="AC52" i="6"/>
  <c r="AK52" i="6"/>
  <c r="AD52" i="6"/>
  <c r="AE52" i="6"/>
  <c r="K52" i="6"/>
  <c r="S52" i="6"/>
  <c r="AA52" i="6"/>
  <c r="R52" i="6"/>
  <c r="L52" i="6"/>
  <c r="T52" i="6"/>
  <c r="Z52" i="6"/>
  <c r="M52" i="6"/>
  <c r="U52" i="6"/>
  <c r="N52" i="6"/>
  <c r="V52" i="6"/>
  <c r="O52" i="6"/>
  <c r="W52" i="6"/>
  <c r="X52" i="6"/>
  <c r="J53" i="6"/>
  <c r="P52" i="6"/>
  <c r="Q52" i="6"/>
  <c r="Y52" i="6"/>
  <c r="K53" i="3"/>
  <c r="M53" i="3"/>
  <c r="L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L52" i="5"/>
  <c r="K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L52" i="7"/>
  <c r="K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J53" i="7"/>
  <c r="J51" i="1"/>
  <c r="J50" i="4"/>
  <c r="L49" i="4"/>
  <c r="T49" i="4"/>
  <c r="AB49" i="4"/>
  <c r="M49" i="4"/>
  <c r="U49" i="4"/>
  <c r="O49" i="4"/>
  <c r="N49" i="4"/>
  <c r="V49" i="4"/>
  <c r="W49" i="4"/>
  <c r="P49" i="4"/>
  <c r="X49" i="4"/>
  <c r="K49" i="4"/>
  <c r="R49" i="4"/>
  <c r="Z49" i="4"/>
  <c r="Q49" i="4"/>
  <c r="S49" i="4"/>
  <c r="AA49" i="4"/>
  <c r="Y49" i="4"/>
  <c r="J53" i="5"/>
  <c r="J54" i="3"/>
  <c r="AG51" i="1" l="1"/>
  <c r="AH51" i="1"/>
  <c r="AI51" i="1"/>
  <c r="AB51" i="1"/>
  <c r="AJ51" i="1"/>
  <c r="AC51" i="1"/>
  <c r="AK51" i="1"/>
  <c r="AD51" i="1"/>
  <c r="AE51" i="1"/>
  <c r="AF51" i="1"/>
  <c r="S51" i="1"/>
  <c r="K51" i="1"/>
  <c r="Z51" i="1"/>
  <c r="X51" i="1"/>
  <c r="R51" i="1"/>
  <c r="P51" i="1"/>
  <c r="Y51" i="1"/>
  <c r="Q51" i="1"/>
  <c r="W51" i="1"/>
  <c r="V51" i="1"/>
  <c r="U51" i="1"/>
  <c r="O51" i="1"/>
  <c r="N51" i="1"/>
  <c r="M51" i="1"/>
  <c r="L51" i="1"/>
  <c r="AA51" i="1"/>
  <c r="T51" i="1"/>
  <c r="AD53" i="6"/>
  <c r="AE53" i="6"/>
  <c r="AF53" i="6"/>
  <c r="AG53" i="6"/>
  <c r="AH53" i="6"/>
  <c r="AI53" i="6"/>
  <c r="AB53" i="6"/>
  <c r="AJ53" i="6"/>
  <c r="AC53" i="6"/>
  <c r="AK53" i="6"/>
  <c r="K53" i="6"/>
  <c r="S53" i="6"/>
  <c r="AA53" i="6"/>
  <c r="Z53" i="6"/>
  <c r="L53" i="6"/>
  <c r="T53" i="6"/>
  <c r="M53" i="6"/>
  <c r="U53" i="6"/>
  <c r="V53" i="6"/>
  <c r="N53" i="6"/>
  <c r="R53" i="6"/>
  <c r="O53" i="6"/>
  <c r="W53" i="6"/>
  <c r="P53" i="6"/>
  <c r="X53" i="6"/>
  <c r="Q53" i="6"/>
  <c r="Y53" i="6"/>
  <c r="J54" i="6"/>
  <c r="J55" i="3"/>
  <c r="K54" i="3"/>
  <c r="M54" i="3"/>
  <c r="L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J54" i="7"/>
  <c r="J52" i="1"/>
  <c r="J51" i="4"/>
  <c r="K51" i="4" s="1"/>
  <c r="S50" i="4"/>
  <c r="AA50" i="4"/>
  <c r="N50" i="4"/>
  <c r="L50" i="4"/>
  <c r="T50" i="4"/>
  <c r="AB50" i="4"/>
  <c r="V50" i="4"/>
  <c r="M50" i="4"/>
  <c r="U50" i="4"/>
  <c r="O50" i="4"/>
  <c r="W50" i="4"/>
  <c r="Q50" i="4"/>
  <c r="Y50" i="4"/>
  <c r="R50" i="4"/>
  <c r="X50" i="4"/>
  <c r="Z50" i="4"/>
  <c r="K50" i="4"/>
  <c r="P50" i="4"/>
  <c r="J54" i="5"/>
  <c r="AE52" i="1" l="1"/>
  <c r="AF52" i="1"/>
  <c r="AG52" i="1"/>
  <c r="AH52" i="1"/>
  <c r="AI52" i="1"/>
  <c r="AK52" i="1"/>
  <c r="AB52" i="1"/>
  <c r="AJ52" i="1"/>
  <c r="AC52" i="1"/>
  <c r="AD52" i="1"/>
  <c r="W52" i="1"/>
  <c r="X52" i="1"/>
  <c r="V52" i="1"/>
  <c r="P52" i="1"/>
  <c r="N52" i="1"/>
  <c r="AA52" i="1"/>
  <c r="U52" i="1"/>
  <c r="T52" i="1"/>
  <c r="S52" i="1"/>
  <c r="M52" i="1"/>
  <c r="L52" i="1"/>
  <c r="K52" i="1"/>
  <c r="Y52" i="1"/>
  <c r="Q52" i="1"/>
  <c r="O52" i="1"/>
  <c r="Z52" i="1"/>
  <c r="R52" i="1"/>
  <c r="AB54" i="6"/>
  <c r="AJ54" i="6"/>
  <c r="AC54" i="6"/>
  <c r="AK54" i="6"/>
  <c r="AD54" i="6"/>
  <c r="AE54" i="6"/>
  <c r="AF54" i="6"/>
  <c r="AG54" i="6"/>
  <c r="AH54" i="6"/>
  <c r="AI54" i="6"/>
  <c r="AA54" i="6"/>
  <c r="M54" i="6"/>
  <c r="T54" i="6"/>
  <c r="L54" i="6"/>
  <c r="U54" i="6"/>
  <c r="O54" i="6"/>
  <c r="N54" i="6"/>
  <c r="V54" i="6"/>
  <c r="W54" i="6"/>
  <c r="Z54" i="6"/>
  <c r="K54" i="6"/>
  <c r="P54" i="6"/>
  <c r="X54" i="6"/>
  <c r="Q54" i="6"/>
  <c r="Y54" i="6"/>
  <c r="R54" i="6"/>
  <c r="J55" i="6"/>
  <c r="S54" i="6"/>
  <c r="K55" i="3"/>
  <c r="M55" i="3"/>
  <c r="L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J55" i="7"/>
  <c r="L55" i="7" s="1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J53" i="1"/>
  <c r="J52" i="4"/>
  <c r="R51" i="4"/>
  <c r="Z51" i="4"/>
  <c r="U51" i="4"/>
  <c r="S51" i="4"/>
  <c r="AA51" i="4"/>
  <c r="L51" i="4"/>
  <c r="T51" i="4"/>
  <c r="AB51" i="4"/>
  <c r="M51" i="4"/>
  <c r="N51" i="4"/>
  <c r="V51" i="4"/>
  <c r="P51" i="4"/>
  <c r="X51" i="4"/>
  <c r="Y51" i="4"/>
  <c r="O51" i="4"/>
  <c r="Q51" i="4"/>
  <c r="W51" i="4"/>
  <c r="J55" i="5"/>
  <c r="AC53" i="1" l="1"/>
  <c r="AK53" i="1"/>
  <c r="AD53" i="1"/>
  <c r="AE53" i="1"/>
  <c r="AF53" i="1"/>
  <c r="AG53" i="1"/>
  <c r="AH53" i="1"/>
  <c r="AB53" i="1"/>
  <c r="AJ53" i="1"/>
  <c r="AI53" i="1"/>
  <c r="U53" i="1"/>
  <c r="N53" i="1"/>
  <c r="L53" i="1"/>
  <c r="AA53" i="1"/>
  <c r="Y53" i="1"/>
  <c r="S53" i="1"/>
  <c r="Z53" i="1"/>
  <c r="Q53" i="1"/>
  <c r="M53" i="1"/>
  <c r="K53" i="1"/>
  <c r="R53" i="1"/>
  <c r="W53" i="1"/>
  <c r="O53" i="1"/>
  <c r="V53" i="1"/>
  <c r="X53" i="1"/>
  <c r="P53" i="1"/>
  <c r="T53" i="1"/>
  <c r="AH55" i="6"/>
  <c r="AI55" i="6"/>
  <c r="AB55" i="6"/>
  <c r="AJ55" i="6"/>
  <c r="AC55" i="6"/>
  <c r="AK55" i="6"/>
  <c r="AD55" i="6"/>
  <c r="AE55" i="6"/>
  <c r="AF55" i="6"/>
  <c r="AG55" i="6"/>
  <c r="K55" i="6"/>
  <c r="S55" i="6"/>
  <c r="AA55" i="6"/>
  <c r="V55" i="6"/>
  <c r="M55" i="6"/>
  <c r="T55" i="6"/>
  <c r="N55" i="6"/>
  <c r="Q55" i="6"/>
  <c r="R55" i="6"/>
  <c r="L55" i="6"/>
  <c r="U55" i="6"/>
  <c r="Z55" i="6"/>
  <c r="O55" i="6"/>
  <c r="W55" i="6"/>
  <c r="P55" i="6"/>
  <c r="X55" i="6"/>
  <c r="Y55" i="6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K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J54" i="1"/>
  <c r="J53" i="4"/>
  <c r="Q52" i="4"/>
  <c r="Y52" i="4"/>
  <c r="AB52" i="4"/>
  <c r="R52" i="4"/>
  <c r="Z52" i="4"/>
  <c r="L52" i="4"/>
  <c r="S52" i="4"/>
  <c r="AA52" i="4"/>
  <c r="T52" i="4"/>
  <c r="M52" i="4"/>
  <c r="U52" i="4"/>
  <c r="O52" i="4"/>
  <c r="W52" i="4"/>
  <c r="P52" i="4"/>
  <c r="N52" i="4"/>
  <c r="V52" i="4"/>
  <c r="X52" i="4"/>
  <c r="K52" i="4"/>
  <c r="O53" i="4" l="1"/>
  <c r="S53" i="4"/>
  <c r="AI54" i="1"/>
  <c r="AG54" i="1"/>
  <c r="AB54" i="1"/>
  <c r="AJ54" i="1"/>
  <c r="AC54" i="1"/>
  <c r="AK54" i="1"/>
  <c r="AD54" i="1"/>
  <c r="AE54" i="1"/>
  <c r="AF54" i="1"/>
  <c r="AH54" i="1"/>
  <c r="L54" i="1"/>
  <c r="X54" i="1"/>
  <c r="U54" i="1"/>
  <c r="P54" i="1"/>
  <c r="M54" i="1"/>
  <c r="AA54" i="1"/>
  <c r="S54" i="1"/>
  <c r="K54" i="1"/>
  <c r="Z54" i="1"/>
  <c r="T54" i="1"/>
  <c r="R54" i="1"/>
  <c r="Y54" i="1"/>
  <c r="W54" i="1"/>
  <c r="V54" i="1"/>
  <c r="N54" i="1"/>
  <c r="Q54" i="1"/>
  <c r="O54" i="1"/>
  <c r="J55" i="1"/>
  <c r="J54" i="4"/>
  <c r="P53" i="4"/>
  <c r="X53" i="4"/>
  <c r="K53" i="4"/>
  <c r="Q53" i="4"/>
  <c r="Y53" i="4"/>
  <c r="R53" i="4"/>
  <c r="Z53" i="4"/>
  <c r="AA53" i="4"/>
  <c r="L53" i="4"/>
  <c r="T53" i="4"/>
  <c r="AB53" i="4"/>
  <c r="N53" i="4"/>
  <c r="V53" i="4"/>
  <c r="W53" i="4"/>
  <c r="M53" i="4"/>
  <c r="U53" i="4"/>
  <c r="Q55" i="1" l="1"/>
  <c r="AG55" i="1"/>
  <c r="AH55" i="1"/>
  <c r="AI55" i="1"/>
  <c r="AB55" i="1"/>
  <c r="AJ55" i="1"/>
  <c r="AC55" i="1"/>
  <c r="AK55" i="1"/>
  <c r="AD55" i="1"/>
  <c r="AE55" i="1"/>
  <c r="AF55" i="1"/>
  <c r="M55" i="1"/>
  <c r="N55" i="1"/>
  <c r="K55" i="1"/>
  <c r="Y55" i="1"/>
  <c r="AA55" i="1"/>
  <c r="X55" i="1"/>
  <c r="Z55" i="1"/>
  <c r="P55" i="1"/>
  <c r="W55" i="1"/>
  <c r="R55" i="1"/>
  <c r="O55" i="1"/>
  <c r="U55" i="1"/>
  <c r="S55" i="1"/>
  <c r="L55" i="1"/>
  <c r="V55" i="1"/>
  <c r="T55" i="1"/>
  <c r="J55" i="4"/>
  <c r="O54" i="4"/>
  <c r="W54" i="4"/>
  <c r="R54" i="4"/>
  <c r="P54" i="4"/>
  <c r="X54" i="4"/>
  <c r="K54" i="4"/>
  <c r="Z54" i="4"/>
  <c r="Q54" i="4"/>
  <c r="Y54" i="4"/>
  <c r="S54" i="4"/>
  <c r="AA54" i="4"/>
  <c r="M54" i="4"/>
  <c r="U54" i="4"/>
  <c r="N54" i="4"/>
  <c r="T54" i="4"/>
  <c r="V54" i="4"/>
  <c r="AB54" i="4"/>
  <c r="L54" i="4"/>
  <c r="L55" i="4" l="1"/>
  <c r="K55" i="4"/>
  <c r="N55" i="4"/>
  <c r="V55" i="4"/>
  <c r="Y55" i="4"/>
  <c r="O55" i="4"/>
  <c r="W55" i="4"/>
  <c r="P55" i="4"/>
  <c r="X55" i="4"/>
  <c r="Q55" i="4"/>
  <c r="R55" i="4"/>
  <c r="Z55" i="4"/>
  <c r="T55" i="4"/>
  <c r="AB55" i="4"/>
  <c r="M55" i="4"/>
  <c r="AA55" i="4"/>
  <c r="S55" i="4"/>
  <c r="U55" i="4"/>
</calcChain>
</file>

<file path=xl/sharedStrings.xml><?xml version="1.0" encoding="utf-8"?>
<sst xmlns="http://schemas.openxmlformats.org/spreadsheetml/2006/main" count="736" uniqueCount="335">
  <si>
    <t>S</t>
  </si>
  <si>
    <t>K</t>
  </si>
  <si>
    <t>V</t>
  </si>
  <si>
    <t>dv</t>
  </si>
  <si>
    <t>ds</t>
  </si>
  <si>
    <t>r</t>
  </si>
  <si>
    <t>t</t>
  </si>
  <si>
    <t>dt</t>
  </si>
  <si>
    <t>mid_B-A</t>
  </si>
  <si>
    <t>BID</t>
  </si>
  <si>
    <t>ASK</t>
  </si>
  <si>
    <t>D-TO-EXP</t>
  </si>
  <si>
    <t>LAST(DAY)</t>
  </si>
  <si>
    <t>Опцион</t>
  </si>
  <si>
    <t>Сегодня</t>
  </si>
  <si>
    <t>Завтра</t>
  </si>
  <si>
    <t>P/L</t>
  </si>
  <si>
    <t>Max R</t>
  </si>
  <si>
    <t>P to R</t>
  </si>
  <si>
    <t>a</t>
  </si>
  <si>
    <t>b</t>
  </si>
  <si>
    <t>c</t>
  </si>
  <si>
    <t>x</t>
  </si>
  <si>
    <t>y</t>
  </si>
  <si>
    <t>v(t)</t>
  </si>
  <si>
    <t>t(Day)</t>
  </si>
  <si>
    <t>P(роста)</t>
  </si>
  <si>
    <t xml:space="preserve">C </t>
  </si>
  <si>
    <t>P-L</t>
  </si>
  <si>
    <t>1 Контракт</t>
  </si>
  <si>
    <t xml:space="preserve">коэф </t>
  </si>
  <si>
    <t>комиссия</t>
  </si>
  <si>
    <t>k</t>
  </si>
  <si>
    <t>Январь – F;</t>
  </si>
  <si>
    <t>Февраль – G;</t>
  </si>
  <si>
    <t>Март – H;</t>
  </si>
  <si>
    <t>Апрель – J;</t>
  </si>
  <si>
    <t>Май – K;</t>
  </si>
  <si>
    <t>Июнь – M;</t>
  </si>
  <si>
    <t>Июль – N;</t>
  </si>
  <si>
    <t>Август – Q;</t>
  </si>
  <si>
    <t>Сентябрь – U;</t>
  </si>
  <si>
    <t>Октябрь – V;</t>
  </si>
  <si>
    <t>Ноябрь – X;</t>
  </si>
  <si>
    <t>Декабрь – Z.</t>
  </si>
  <si>
    <t>m</t>
  </si>
  <si>
    <t>q</t>
  </si>
  <si>
    <t>5 Контракт</t>
  </si>
  <si>
    <t>Currencies</t>
  </si>
  <si>
    <t>Symbol</t>
  </si>
  <si>
    <t>Contract</t>
  </si>
  <si>
    <t>Exchange</t>
  </si>
  <si>
    <t>Trading Hours</t>
  </si>
  <si>
    <t>Size</t>
  </si>
  <si>
    <t>Months</t>
  </si>
  <si>
    <t>Tick Value</t>
  </si>
  <si>
    <t>Point Value</t>
  </si>
  <si>
    <t>B6</t>
  </si>
  <si>
    <t>British Pound</t>
  </si>
  <si>
    <t>CME</t>
  </si>
  <si>
    <t>5:00p.m. - 4:00p.m. (Sun-Fri) CST</t>
  </si>
  <si>
    <t>GBP 62,500</t>
  </si>
  <si>
    <t>HMUZ</t>
  </si>
  <si>
    <t>0.0001 points ($6.25 per contract)</t>
  </si>
  <si>
    <t>$62,500</t>
  </si>
  <si>
    <t>D6</t>
  </si>
  <si>
    <t>Canadian Dollar</t>
  </si>
  <si>
    <t>CAD 100,000</t>
  </si>
  <si>
    <t>0.0001 points ($10.00 per contract)</t>
  </si>
  <si>
    <t>$100,000</t>
  </si>
  <si>
    <t>J6</t>
  </si>
  <si>
    <t>Japanese Yen</t>
  </si>
  <si>
    <t>JPY 12,500,000</t>
  </si>
  <si>
    <t>0.000001 points ($12.50 per contract)</t>
  </si>
  <si>
    <t>$125,000</t>
  </si>
  <si>
    <t>S6</t>
  </si>
  <si>
    <t>Swiss Franc</t>
  </si>
  <si>
    <t>SF125,000</t>
  </si>
  <si>
    <t>0.0001 points ($12.50 per contract)</t>
  </si>
  <si>
    <t>E6</t>
  </si>
  <si>
    <t>Euro FX</t>
  </si>
  <si>
    <t>EUR 125,000</t>
  </si>
  <si>
    <t>A6</t>
  </si>
  <si>
    <t>Australian Dollar</t>
  </si>
  <si>
    <t>AUD 100,000</t>
  </si>
  <si>
    <t>M6</t>
  </si>
  <si>
    <t>Mexican Peso</t>
  </si>
  <si>
    <t>MXN 500,000</t>
  </si>
  <si>
    <t>FGHJKMNQUVXZ</t>
  </si>
  <si>
    <t>0.000010 points ($5.00 per contract)</t>
  </si>
  <si>
    <t>$500,000</t>
  </si>
  <si>
    <t>N6</t>
  </si>
  <si>
    <t>New Zealand Dollar</t>
  </si>
  <si>
    <t>NZD 100,000</t>
  </si>
  <si>
    <t>Energies</t>
  </si>
  <si>
    <t>CL</t>
  </si>
  <si>
    <t>Crude Oil WTI</t>
  </si>
  <si>
    <t>NYMEX</t>
  </si>
  <si>
    <t>5:00p.m. - 4:15p.m. (Sun-Fri) (RTH 8:00a.m. - 1:30p.m.) CST</t>
  </si>
  <si>
    <t>1,000 U.S. barrels (42,000 gallons)</t>
  </si>
  <si>
    <t>1 cent per barrel ($10.00 per contract)</t>
  </si>
  <si>
    <t>$1,000</t>
  </si>
  <si>
    <t>HO</t>
  </si>
  <si>
    <t>Heating Oil</t>
  </si>
  <si>
    <t>42,000 gallons</t>
  </si>
  <si>
    <t>$0.0001 (0.01 cent) per gallon ($4.20 per contract)</t>
  </si>
  <si>
    <t>$42,000</t>
  </si>
  <si>
    <t>RB</t>
  </si>
  <si>
    <t>Gasoline RBOB</t>
  </si>
  <si>
    <t>NG</t>
  </si>
  <si>
    <t>Natural Gas</t>
  </si>
  <si>
    <t>10,000 MMBtu (million British thermal units)</t>
  </si>
  <si>
    <t>0.1 cent per MMBtu ($10.00 per contract)</t>
  </si>
  <si>
    <t>$10,000</t>
  </si>
  <si>
    <t>QA</t>
  </si>
  <si>
    <t>Crude Oil Brent (F)</t>
  </si>
  <si>
    <t>5:00p.m. - 4:15p.m. (Sun-Fri) CST</t>
  </si>
  <si>
    <t>1,000 barrels (42,000 gallons)</t>
  </si>
  <si>
    <t>ZK</t>
  </si>
  <si>
    <t>Ethanol Futures</t>
  </si>
  <si>
    <t>CBOT</t>
  </si>
  <si>
    <t>29,000 U.S. gallons</t>
  </si>
  <si>
    <t>1/10 cent per gallon ($29.00 per contract)</t>
  </si>
  <si>
    <t>$29,000</t>
  </si>
  <si>
    <t>Financials</t>
  </si>
  <si>
    <t>ZB</t>
  </si>
  <si>
    <t>T-Bond</t>
  </si>
  <si>
    <t>32nds of a point ($31.25 per contract) rounded up to the nearest cent per contract; par is on the basis of 100 points</t>
  </si>
  <si>
    <t>UD</t>
  </si>
  <si>
    <t>Ultra T-Bond</t>
  </si>
  <si>
    <t>ZN</t>
  </si>
  <si>
    <t>10-Year T-Note</t>
  </si>
  <si>
    <t>One half of 1/32 of a point ($15.625 per contract) rounded up to the nearest cent per contract; par is on the basis of 100 points</t>
  </si>
  <si>
    <t>ZF</t>
  </si>
  <si>
    <t>5-Year T-Note</t>
  </si>
  <si>
    <t>One quarter of 1/32 of a point ($7.8125 per contract) rounded up to the nearest cent per contract; par is on the basis of 100 points</t>
  </si>
  <si>
    <t>ZT</t>
  </si>
  <si>
    <t>2-Year T-Note</t>
  </si>
  <si>
    <t>$200,000</t>
  </si>
  <si>
    <t>One quarter of 1/32 of a point ($15.625 per contract) rounded up to the nearest cent per contract; par is on the basis of 100 points</t>
  </si>
  <si>
    <t>$2,000</t>
  </si>
  <si>
    <t>ZQ</t>
  </si>
  <si>
    <t>30-Day Fed Funds</t>
  </si>
  <si>
    <t>$5,000,000</t>
  </si>
  <si>
    <t>Increments of 0.00005 percent of $5 million on a 30-day basis in the spot month only ($20.84) and 0.0001 percent of $5 million on a 30-day basis in all other contract months ($41.67)</t>
  </si>
  <si>
    <t>$4,167</t>
  </si>
  <si>
    <t>GE</t>
  </si>
  <si>
    <t>Eurodollar</t>
  </si>
  <si>
    <t>$1,000,000</t>
  </si>
  <si>
    <t>0.005 points ($12.50 per contract)</t>
  </si>
  <si>
    <t>$2,500</t>
  </si>
  <si>
    <t>Grains</t>
  </si>
  <si>
    <t>ZW</t>
  </si>
  <si>
    <t>Wheat</t>
  </si>
  <si>
    <t>7:00p.m. - 7:45a.m. and 8:30a.m. - 1:15p.m. (Sun-Fri) CST</t>
  </si>
  <si>
    <t>5,000 bushels</t>
  </si>
  <si>
    <t>HKNUZ</t>
  </si>
  <si>
    <t>1/4 cent per bushel ($12.50 per contract)</t>
  </si>
  <si>
    <t>$50</t>
  </si>
  <si>
    <t>ZC</t>
  </si>
  <si>
    <t>Corn</t>
  </si>
  <si>
    <t>ZS</t>
  </si>
  <si>
    <t>Soybeans</t>
  </si>
  <si>
    <t>FHKNQUX</t>
  </si>
  <si>
    <t>ZM</t>
  </si>
  <si>
    <t>Soybean Meal</t>
  </si>
  <si>
    <t>100 tons (2,000 pounds per ton)</t>
  </si>
  <si>
    <t>FHKNQUVZ</t>
  </si>
  <si>
    <t>10 cents per ton ($10.00 per contract)</t>
  </si>
  <si>
    <t>$100</t>
  </si>
  <si>
    <t>ZL</t>
  </si>
  <si>
    <t>Soybean Oil</t>
  </si>
  <si>
    <t>60,000 pounds</t>
  </si>
  <si>
    <t>0.01 points ($6.00 per contract)</t>
  </si>
  <si>
    <t>$600</t>
  </si>
  <si>
    <t>ZO</t>
  </si>
  <si>
    <t>Oats</t>
  </si>
  <si>
    <t>ZR</t>
  </si>
  <si>
    <t>Rough Rice</t>
  </si>
  <si>
    <t>2,000 cwt</t>
  </si>
  <si>
    <t>FHKNUX</t>
  </si>
  <si>
    <t>1/2 cent per cwt ($10.00 per contract)</t>
  </si>
  <si>
    <t>KE</t>
  </si>
  <si>
    <t>Hard Red Wheat</t>
  </si>
  <si>
    <t>KCBT</t>
  </si>
  <si>
    <t>MW</t>
  </si>
  <si>
    <t>Spring Wheat</t>
  </si>
  <si>
    <t>MGEX</t>
  </si>
  <si>
    <t>7:00p.m. - 7:45a.m. and 8:30a.m. - 1:30p.m. (Sun-Fri) CST</t>
  </si>
  <si>
    <t>Indices</t>
  </si>
  <si>
    <t>ES</t>
  </si>
  <si>
    <t>E-Mini S&amp;P 500</t>
  </si>
  <si>
    <t>$50 times Index</t>
  </si>
  <si>
    <t>0.25 points ($12.50 per contract)</t>
  </si>
  <si>
    <t>NQ</t>
  </si>
  <si>
    <t>E-Mini Nasdaq 100</t>
  </si>
  <si>
    <t>$20 times Index</t>
  </si>
  <si>
    <t>0.25 points ($5.00 per contact)</t>
  </si>
  <si>
    <t>$20</t>
  </si>
  <si>
    <t>YM</t>
  </si>
  <si>
    <t>DJIA mini-sized</t>
  </si>
  <si>
    <t>CBOTM</t>
  </si>
  <si>
    <t>$5 times Index</t>
  </si>
  <si>
    <t>1 point ($5.00 per contract)</t>
  </si>
  <si>
    <t>$5</t>
  </si>
  <si>
    <t>EW</t>
  </si>
  <si>
    <t>E-Mini S&amp;P Midcap</t>
  </si>
  <si>
    <t>$100 times Index</t>
  </si>
  <si>
    <t>0.10 points ($10.00 per contract)</t>
  </si>
  <si>
    <t>SP</t>
  </si>
  <si>
    <t>S&amp;P 500 Index</t>
  </si>
  <si>
    <t>5:00p.m. - 4:15p.m. (Sun-Fri) (RTH 8:30a.m. - 3:15p.m.) CST</t>
  </si>
  <si>
    <t>$250 times Index</t>
  </si>
  <si>
    <t>0.10 points ($25.00 per contract)</t>
  </si>
  <si>
    <t>$250</t>
  </si>
  <si>
    <t>ND</t>
  </si>
  <si>
    <t>Nasdaq 100</t>
  </si>
  <si>
    <t>0.25 points ($25.00 per contact)</t>
  </si>
  <si>
    <t>DJ</t>
  </si>
  <si>
    <t>DJIA</t>
  </si>
  <si>
    <t>8:15a.m. - 3:15p.m. CST</t>
  </si>
  <si>
    <t>$10 times Index</t>
  </si>
  <si>
    <t>1 point ($10.00 per contract)</t>
  </si>
  <si>
    <t>$10</t>
  </si>
  <si>
    <t>VI</t>
  </si>
  <si>
    <t>CBOE S&amp;P 500 VIX</t>
  </si>
  <si>
    <t>CFE</t>
  </si>
  <si>
    <t>5:00p.m. - 3:15p.m. (Sun) and 3:30p.m. - 3:15p.m. (Mon-Thurs) CST</t>
  </si>
  <si>
    <t>$1000 times Index</t>
  </si>
  <si>
    <t>0.05 points ($50.00 per contract)</t>
  </si>
  <si>
    <t>Meats</t>
  </si>
  <si>
    <t>LE</t>
  </si>
  <si>
    <t>Live Cattle</t>
  </si>
  <si>
    <t>9:05a.m. - 4:00p.m. Mon, 8:00a.m. - 4:00p.m. Tues-Thur, 8:00a.m. - 1:55p.m. Fri CST</t>
  </si>
  <si>
    <t>40,000 pounds</t>
  </si>
  <si>
    <t>GJMQVZ</t>
  </si>
  <si>
    <t>0.025 cents per pound ($10.00 per contract)</t>
  </si>
  <si>
    <t>$400</t>
  </si>
  <si>
    <t>GF</t>
  </si>
  <si>
    <t>Feeder Cattle</t>
  </si>
  <si>
    <t>50,000 pounds</t>
  </si>
  <si>
    <t>FHJKQUVX</t>
  </si>
  <si>
    <t>0.025 cents per pound ($12.50 per contract)</t>
  </si>
  <si>
    <t>$500</t>
  </si>
  <si>
    <t>HE</t>
  </si>
  <si>
    <t>Lean Hogs</t>
  </si>
  <si>
    <t>GJKMNQVZ</t>
  </si>
  <si>
    <t>DL</t>
  </si>
  <si>
    <t>Class III Milk</t>
  </si>
  <si>
    <t>5:00p.m. - 4:00p.m. Sun-Thur, 5:00p.m. - 1:55p.m. Fri CST</t>
  </si>
  <si>
    <t>200,000 pounds</t>
  </si>
  <si>
    <t>0.01 per hundredweight ($20.00 per contract)</t>
  </si>
  <si>
    <t>Metals</t>
  </si>
  <si>
    <t>GC</t>
  </si>
  <si>
    <t>Gold</t>
  </si>
  <si>
    <t>COMEX</t>
  </si>
  <si>
    <t>5:00p.m. - 4:15p.m. (Sun-Fri) (RTH 7:20a.m. - 12:30p.m.) CST</t>
  </si>
  <si>
    <t>100 fine troy ounces</t>
  </si>
  <si>
    <t>0.10 (10 cents) per troy ounce ($10.00 per contract)</t>
  </si>
  <si>
    <t>SI</t>
  </si>
  <si>
    <t>Silver</t>
  </si>
  <si>
    <t>7:25a.m. to 12:25p.m. (Globex 5:00p.m. - 4:15p.m. (Sun-Fri)) CST</t>
  </si>
  <si>
    <t>5,000 troy ounces</t>
  </si>
  <si>
    <t>$0.005 per troy ounce ($25.00 per contract) (Settlement $0.001)</t>
  </si>
  <si>
    <t>$5,000</t>
  </si>
  <si>
    <t>HG</t>
  </si>
  <si>
    <t>High Grade Copper</t>
  </si>
  <si>
    <t>5:00p.m. - 4:15p.m. (Sun-Fri) (RTH 7:10a.m. - 12:00p.m.) CST</t>
  </si>
  <si>
    <t>25,000 pounds</t>
  </si>
  <si>
    <t>0.0005 cents per pound ($12.50 per contract)</t>
  </si>
  <si>
    <t>$25,000</t>
  </si>
  <si>
    <t>PL</t>
  </si>
  <si>
    <t>Platinum</t>
  </si>
  <si>
    <t>5:00p.m. - 4:15p.m. (Sun-Fri) (RTH 7:20a.m. - 12:05p.m.) CST</t>
  </si>
  <si>
    <t>50 troy ounces</t>
  </si>
  <si>
    <t>FJNV</t>
  </si>
  <si>
    <t>0.10 (10 cents) per troy ounce ($5.00 per contract)</t>
  </si>
  <si>
    <t>PA</t>
  </si>
  <si>
    <t>Palladium</t>
  </si>
  <si>
    <t>5:00p.m. - 4:15p.m. (Sun-Fri) (RTH 7:30a.m. - 12:00p.m.) CST</t>
  </si>
  <si>
    <t>100 troy ounces</t>
  </si>
  <si>
    <t>0.05 (5 cents) per troy ounce ($5.00 per contract)</t>
  </si>
  <si>
    <t>Softs</t>
  </si>
  <si>
    <t>KT</t>
  </si>
  <si>
    <t>CME Coffee</t>
  </si>
  <si>
    <t>37,500 pounds (approximately 250 bags)</t>
  </si>
  <si>
    <t>0.05 cents per pound ($18.75 per contract)</t>
  </si>
  <si>
    <t>$375</t>
  </si>
  <si>
    <t>KA</t>
  </si>
  <si>
    <t>CME Sugar #11</t>
  </si>
  <si>
    <t>112,000 pounds (50 long tonnes)</t>
  </si>
  <si>
    <t>FHKNV</t>
  </si>
  <si>
    <t>0.01 cent per pound ($11.20 per contract)</t>
  </si>
  <si>
    <t>$1,120</t>
  </si>
  <si>
    <t>CJ</t>
  </si>
  <si>
    <t>CME Cocoa</t>
  </si>
  <si>
    <t>10 metric tonne (22,046 pounds)</t>
  </si>
  <si>
    <t>$1.00 per metric tonne ($10.00 per contract)</t>
  </si>
  <si>
    <t>KG</t>
  </si>
  <si>
    <t>CME Cotton #2</t>
  </si>
  <si>
    <t>50,000 pounds (approximately 100 bales)</t>
  </si>
  <si>
    <t>HKNVZ</t>
  </si>
  <si>
    <t>0.01 cent per pound ($5.00 per contract)</t>
  </si>
  <si>
    <t>LS</t>
  </si>
  <si>
    <t>Lumber</t>
  </si>
  <si>
    <t>9:00a.m. - 4:00p.m. Mon, 5:00p.m. - 4:00p.m. Tues-Thur, 5:00p.m. - 1:55p.m. Fri CST</t>
  </si>
  <si>
    <t>110,000 broad foot</t>
  </si>
  <si>
    <t>10 cents per thousand broad feet ($11.00 per contract)</t>
  </si>
  <si>
    <t>$110</t>
  </si>
  <si>
    <t>Время</t>
  </si>
  <si>
    <t>V, %</t>
  </si>
  <si>
    <t>Шаг V, %</t>
  </si>
  <si>
    <t>UNDERLYING</t>
  </si>
  <si>
    <t>Days</t>
  </si>
  <si>
    <t>Exp</t>
  </si>
  <si>
    <t>LAST</t>
  </si>
  <si>
    <t>LX</t>
  </si>
  <si>
    <t>Net Chng</t>
  </si>
  <si>
    <t>BX</t>
  </si>
  <si>
    <t>AX</t>
  </si>
  <si>
    <t>Volume</t>
  </si>
  <si>
    <t>Open</t>
  </si>
  <si>
    <t>High</t>
  </si>
  <si>
    <t>Low</t>
  </si>
  <si>
    <t>Impl Vol</t>
  </si>
  <si>
    <t>Prob.OTM</t>
  </si>
  <si>
    <t>Delta</t>
  </si>
  <si>
    <t>Strike</t>
  </si>
  <si>
    <t>Stock quote and option quote for /6E on 17.01.15 18:02:13</t>
  </si>
  <si>
    <t>FEB1 15  (20)  1 /6EH5</t>
  </si>
  <si>
    <t>MAR1 15  (48)  1 /6EH5</t>
  </si>
  <si>
    <t>APR1 15  (75)  1 /6EM5</t>
  </si>
  <si>
    <t>JUN1 15  (139)  1 /6EM5</t>
  </si>
  <si>
    <t>SEP1 15  (230)  1 /6EU5</t>
  </si>
  <si>
    <t>DEC1 15  (321)  1 /6EZ5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</si>
</sst>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78" formatCode="_-* #,##0.00000000\ _₽_-;\-* #,##0.00000000\ _₽_-;_-* &quot;-&quot;??\ _₽_-;_-@_-"/>
  </numFmts>
  <fonts count="6" x14ac:knownFonts="1">
    <font>
      <sz val="11"/>
      <color theme="1"/>
      <name val="Calibri"/>
      <family val="2"/>
      <scheme val="minor"/>
    </font>
    <font>
      <sz val="11"/>
      <name val="Verdana"/>
      <family val="2"/>
      <charset val="204"/>
    </font>
    <font>
      <sz val="9"/>
      <color theme="1"/>
      <name val="Arial"/>
      <family val="2"/>
      <charset val="204"/>
    </font>
    <font>
      <b/>
      <sz val="11"/>
      <color rgb="FF336699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2F0C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D3F0F1"/>
        <bgColor indexed="64"/>
      </patternFill>
    </fill>
    <fill>
      <patternFill patternType="solid">
        <fgColor rgb="FF49769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8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/>
    <xf numFmtId="2" fontId="0" fillId="4" borderId="0" xfId="0" applyNumberFormat="1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0" fontId="1" fillId="6" borderId="0" xfId="0" applyFont="1" applyFill="1"/>
    <xf numFmtId="0" fontId="4" fillId="7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left" vertical="top" wrapText="1"/>
    </xf>
    <xf numFmtId="0" fontId="2" fillId="9" borderId="0" xfId="0" applyFont="1" applyFill="1" applyAlignment="1">
      <alignment horizontal="center" vertical="top" wrapText="1"/>
    </xf>
    <xf numFmtId="0" fontId="2" fillId="9" borderId="0" xfId="0" applyFont="1" applyFill="1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178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colors>
    <mruColors>
      <color rgb="FF42AC81"/>
      <color rgb="FFC2F0C2"/>
      <color rgb="FFD3F0F1"/>
      <color rgb="FF92CEDA"/>
      <color rgb="FFABE0E3"/>
      <color rgb="FFFFFFCC"/>
      <color rgb="FFFFD03B"/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4.4699999999999997E-2</v>
        <stp/>
        <stp>ASK</stp>
        <stp>./6EZ5C1.17</stp>
        <tr r="H61" s="12"/>
      </tp>
      <tp>
        <v>0.05</v>
        <stp/>
        <stp>ASK</stp>
        <stp>./6EZ5C1.16</stp>
        <tr r="H59" s="12"/>
      </tp>
      <tp>
        <v>5.62E-2</v>
        <stp/>
        <stp>ASK</stp>
        <stp>./6EZ5C1.15</stp>
        <tr r="H57" s="12"/>
      </tp>
      <tp>
        <v>3.9699999999999999E-2</v>
        <stp/>
        <stp>ASK</stp>
        <stp>./6EZ5C1.18</stp>
        <tr r="H63" s="12"/>
      </tp>
      <tp>
        <v>4.3499999999999997E-2</v>
        <stp/>
        <stp>ASK</stp>
        <stp>./6EZ5P1.15</stp>
        <tr r="N57" s="12"/>
      </tp>
      <tp>
        <v>4.7800000000000002E-2</v>
        <stp/>
        <stp>ASK</stp>
        <stp>./6EZ5P1.16</stp>
        <tr r="N59" s="12"/>
      </tp>
      <tp>
        <v>5.2400000000000002E-2</v>
        <stp/>
        <stp>ASK</stp>
        <stp>./6EZ5P1.17</stp>
        <tr r="N61" s="12"/>
      </tp>
      <tp>
        <v>5.7799999999999997E-2</v>
        <stp/>
        <stp>ASK</stp>
        <stp>./6EZ5P1.18</stp>
        <tr r="N63" s="12"/>
      </tp>
      <tp>
        <v>1.17</v>
        <stp/>
        <stp>STRIKE</stp>
        <stp>./6EH5C1.17</stp>
        <tr r="K22" s="12"/>
      </tp>
      <tp>
        <v>1.1599999999999999</v>
        <stp/>
        <stp>STRIKE</stp>
        <stp>./6EH5C1.16</stp>
        <tr r="K20" s="12"/>
      </tp>
      <tp>
        <v>1.1499999999999999</v>
        <stp/>
        <stp>STRIKE</stp>
        <stp>./6EH5C1.15</stp>
        <tr r="K18" s="12"/>
      </tp>
      <tp>
        <v>1.1399999999999999</v>
        <stp/>
        <stp>STRIKE</stp>
        <stp>./6EH5C1.14</stp>
        <tr r="K16" s="12"/>
      </tp>
      <tp t="s">
        <v>06.06.2015</v>
        <stp/>
        <stp>EXPIRATION_DAY</stp>
        <stp>./6EM5C1.14</stp>
        <tr r="J36" s="12"/>
      </tp>
      <tp t="s">
        <v>06.06.2015</v>
        <stp/>
        <stp>EXPIRATION_DAY</stp>
        <stp>./6EM5C1.15</stp>
        <tr r="J38" s="12"/>
      </tp>
      <tp t="s">
        <v>06.06.2015</v>
        <stp/>
        <stp>EXPIRATION_DAY</stp>
        <stp>./6EM5C1.16</stp>
        <tr r="J40" s="12"/>
      </tp>
      <tp t="s">
        <v>06.06.2015</v>
        <stp/>
        <stp>EXPIRATION_DAY</stp>
        <stp>./6EM5C1.17</stp>
        <tr r="J42" s="12"/>
      </tp>
      <tp>
        <v>1.17</v>
        <stp/>
        <stp>STRIKE</stp>
        <stp>./6EJ5C1.17</stp>
        <tr r="K32" s="12"/>
      </tp>
      <tp>
        <v>1.1599999999999999</v>
        <stp/>
        <stp>STRIKE</stp>
        <stp>./6EJ5C1.16</stp>
        <tr r="K30" s="12"/>
      </tp>
      <tp>
        <v>1.1499999999999999</v>
        <stp/>
        <stp>STRIKE</stp>
        <stp>./6EJ5C1.15</stp>
        <tr r="K28" s="12"/>
      </tp>
      <tp>
        <v>1.1399999999999999</v>
        <stp/>
        <stp>STRIKE</stp>
        <stp>./6EJ5C1.14</stp>
        <tr r="K26" s="12"/>
      </tp>
      <tp>
        <v>3.5999999999999997E-2</v>
        <stp/>
        <stp>BID</stp>
        <stp>./6EZ5C1.18</stp>
        <tr r="F63" s="12"/>
      </tp>
      <tp>
        <v>5.16E-2</v>
        <stp/>
        <stp>BID</stp>
        <stp>./6EZ5C1.15</stp>
        <tr r="F57" s="12"/>
      </tp>
      <tp>
        <v>4.6399999999999997E-2</v>
        <stp/>
        <stp>BID</stp>
        <stp>./6EZ5C1.16</stp>
        <tr r="F59" s="12"/>
      </tp>
      <tp>
        <v>4.1000000000000002E-2</v>
        <stp/>
        <stp>BID</stp>
        <stp>./6EZ5C1.17</stp>
        <tr r="F61" s="12"/>
      </tp>
      <tp>
        <v>5.33E-2</v>
        <stp/>
        <stp>BID</stp>
        <stp>./6EZ5P1.18</stp>
        <tr r="L63" s="12"/>
      </tp>
      <tp>
        <v>4.8800000000000003E-2</v>
        <stp/>
        <stp>BID</stp>
        <stp>./6EZ5P1.17</stp>
        <tr r="L61" s="12"/>
      </tp>
      <tp>
        <v>4.4999999999999998E-2</v>
        <stp/>
        <stp>BID</stp>
        <stp>./6EZ5P1.16</stp>
        <tr r="L59" s="12"/>
      </tp>
      <tp>
        <v>4.1200000000000001E-2</v>
        <stp/>
        <stp>BID</stp>
        <stp>./6EZ5P1.15</stp>
        <tr r="L57" s="12"/>
      </tp>
      <tp>
        <v>1.17</v>
        <stp/>
        <stp>STRIKE</stp>
        <stp>./6EM5C1.17</stp>
        <tr r="K42" s="12"/>
      </tp>
      <tp>
        <v>1.1599999999999999</v>
        <stp/>
        <stp>STRIKE</stp>
        <stp>./6EM5C1.16</stp>
        <tr r="K40" s="12"/>
      </tp>
      <tp>
        <v>1.1499999999999999</v>
        <stp/>
        <stp>STRIKE</stp>
        <stp>./6EM5C1.15</stp>
        <tr r="K38" s="12"/>
      </tp>
      <tp>
        <v>1.1399999999999999</v>
        <stp/>
        <stp>STRIKE</stp>
        <stp>./6EM5C1.14</stp>
        <tr r="K36" s="12"/>
      </tp>
      <tp t="s">
        <v>07.03.2015</v>
        <stp/>
        <stp>EXPIRATION_DAY</stp>
        <stp>./6EH5C1.14</stp>
        <tr r="J16" s="12"/>
      </tp>
      <tp t="s">
        <v>07.03.2015</v>
        <stp/>
        <stp>EXPIRATION_DAY</stp>
        <stp>./6EH5C1.15</stp>
        <tr r="J18" s="12"/>
      </tp>
      <tp t="s">
        <v>07.03.2015</v>
        <stp/>
        <stp>EXPIRATION_DAY</stp>
        <stp>./6EH5C1.16</stp>
        <tr r="J20" s="12"/>
      </tp>
      <tp t="s">
        <v>07.03.2015</v>
        <stp/>
        <stp>EXPIRATION_DAY</stp>
        <stp>./6EH5C1.17</stp>
        <tr r="J22" s="12"/>
      </tp>
      <tp t="s">
        <v>03.04.2015</v>
        <stp/>
        <stp>EXPIRATION_DAY</stp>
        <stp>./6EJ5C1.14</stp>
        <tr r="J26" s="12"/>
      </tp>
      <tp t="s">
        <v>03.04.2015</v>
        <stp/>
        <stp>EXPIRATION_DAY</stp>
        <stp>./6EJ5C1.15</stp>
        <tr r="J28" s="12"/>
      </tp>
      <tp t="s">
        <v>03.04.2015</v>
        <stp/>
        <stp>EXPIRATION_DAY</stp>
        <stp>./6EJ5C1.16</stp>
        <tr r="J30" s="12"/>
      </tp>
      <tp t="s">
        <v>03.04.2015</v>
        <stp/>
        <stp>EXPIRATION_DAY</stp>
        <stp>./6EJ5C1.17</stp>
        <tr r="J32" s="12"/>
      </tp>
      <tp t="s">
        <v>07.02.2015</v>
        <stp/>
        <stp>EXPIRATION_DAY</stp>
        <stp>./6EG5C1.14</stp>
        <tr r="J6" s="12"/>
      </tp>
      <tp t="s">
        <v>07.02.2015</v>
        <stp/>
        <stp>EXPIRATION_DAY</stp>
        <stp>./6EG5C1.15</stp>
        <tr r="J8" s="12"/>
      </tp>
      <tp t="s">
        <v>07.02.2015</v>
        <stp/>
        <stp>EXPIRATION_DAY</stp>
        <stp>./6EG5C1.16</stp>
        <tr r="J10" s="12"/>
      </tp>
      <tp t="s">
        <v>07.02.2015</v>
        <stp/>
        <stp>EXPIRATION_DAY</stp>
        <stp>./6EG5C1.17</stp>
        <tr r="J12" s="12"/>
      </tp>
      <tp>
        <v>2.8400000000000002E-2</v>
        <stp/>
        <stp>BID</stp>
        <stp>./6EU5C1.18</stp>
        <tr r="F53" s="12"/>
      </tp>
      <tp>
        <v>4.41E-2</v>
        <stp/>
        <stp>BID</stp>
        <stp>./6EU5C1.15</stp>
        <tr r="F47" s="12"/>
      </tp>
      <tp>
        <v>3.8399999999999997E-2</v>
        <stp/>
        <stp>BID</stp>
        <stp>./6EU5C1.16</stp>
        <tr r="F49" s="12"/>
      </tp>
      <tp>
        <v>3.32E-2</v>
        <stp/>
        <stp>BID</stp>
        <stp>./6EU5C1.17</stp>
        <tr r="F51" s="12"/>
      </tp>
      <tp>
        <v>1.7999999999999999E-2</v>
        <stp/>
        <stp>BID</stp>
        <stp>./6EU5P1.18</stp>
        <tr r="L53" s="12"/>
      </tp>
      <tp>
        <v>4.24E-2</v>
        <stp/>
        <stp>BID</stp>
        <stp>./6EU5P1.17</stp>
        <tr r="L51" s="12"/>
      </tp>
      <tp>
        <v>3.7900000000000003E-2</v>
        <stp/>
        <stp>BID</stp>
        <stp>./6EU5P1.16</stp>
        <tr r="L49" s="12"/>
      </tp>
      <tp>
        <v>3.3700000000000001E-2</v>
        <stp/>
        <stp>BID</stp>
        <stp>./6EU5P1.15</stp>
        <tr r="L47" s="12"/>
      </tp>
      <tp>
        <v>1.17</v>
        <stp/>
        <stp>STRIKE</stp>
        <stp>./6EG5C1.17</stp>
        <tr r="K12" s="12"/>
      </tp>
      <tp>
        <v>1.1599999999999999</v>
        <stp/>
        <stp>STRIKE</stp>
        <stp>./6EG5C1.16</stp>
        <tr r="K10" s="12"/>
      </tp>
      <tp>
        <v>1.1499999999999999</v>
        <stp/>
        <stp>STRIKE</stp>
        <stp>./6EG5C1.15</stp>
        <tr r="K8" s="12"/>
      </tp>
      <tp>
        <v>1.1399999999999999</v>
        <stp/>
        <stp>STRIKE</stp>
        <stp>./6EG5C1.14</stp>
        <tr r="K6" s="12"/>
      </tp>
      <tp>
        <v>3.6999999999999998E-2</v>
        <stp/>
        <stp>ASK</stp>
        <stp>./6EU5C1.17</stp>
        <tr r="H51" s="12"/>
      </tp>
      <tp>
        <v>4.24E-2</v>
        <stp/>
        <stp>ASK</stp>
        <stp>./6EU5C1.16</stp>
        <tr r="H49" s="12"/>
      </tp>
      <tp>
        <v>4.82E-2</v>
        <stp/>
        <stp>ASK</stp>
        <stp>./6EU5C1.15</stp>
        <tr r="H47" s="12"/>
      </tp>
      <tp>
        <v>3.2099999999999997E-2</v>
        <stp/>
        <stp>ASK</stp>
        <stp>./6EU5C1.18</stp>
        <tr r="H53" s="12"/>
      </tp>
      <tp>
        <v>3.73E-2</v>
        <stp/>
        <stp>ASK</stp>
        <stp>./6EU5P1.15</stp>
        <tr r="N47" s="12"/>
      </tp>
      <tp>
        <v>4.1599999999999998E-2</v>
        <stp/>
        <stp>ASK</stp>
        <stp>./6EU5P1.16</stp>
        <tr r="N49" s="12"/>
      </tp>
      <tp>
        <v>4.6399999999999997E-2</v>
        <stp/>
        <stp>ASK</stp>
        <stp>./6EU5P1.17</stp>
        <tr r="N51" s="12"/>
      </tp>
      <tp>
        <v>5.16E-2</v>
        <stp/>
        <stp>ASK</stp>
        <stp>./6EU5P1.18</stp>
        <tr r="N53" s="12"/>
      </tp>
      <tp>
        <v>2.01E-2</v>
        <stp/>
        <stp>ASK</stp>
        <stp>./6EJ5C1.17</stp>
        <tr r="H32" s="12"/>
      </tp>
      <tp>
        <v>2.52E-2</v>
        <stp/>
        <stp>ASK</stp>
        <stp>./6EJ5C1.16</stp>
        <tr r="H30" s="12"/>
      </tp>
      <tp>
        <v>3.1099999999999999E-2</v>
        <stp/>
        <stp>ASK</stp>
        <stp>./6EJ5C1.15</stp>
        <tr r="H28" s="12"/>
      </tp>
      <tp>
        <v>3.7699999999999997E-2</v>
        <stp/>
        <stp>ASK</stp>
        <stp>./6EJ5C1.14</stp>
        <tr r="H26" s="12"/>
      </tp>
      <tp>
        <v>1.8599999999999998E-2</v>
        <stp/>
        <stp>ASK</stp>
        <stp>./6EJ5P1.14</stp>
        <tr r="N26" s="12"/>
      </tp>
      <tp>
        <v>2.23E-2</v>
        <stp/>
        <stp>ASK</stp>
        <stp>./6EJ5P1.15</stp>
        <tr r="N28" s="12"/>
      </tp>
      <tp>
        <v>2.6599999999999999E-2</v>
        <stp/>
        <stp>ASK</stp>
        <stp>./6EJ5P1.16</stp>
        <tr r="N30" s="12"/>
      </tp>
      <tp>
        <v>3.15E-2</v>
        <stp/>
        <stp>ASK</stp>
        <stp>./6EJ5P1.17</stp>
        <tr r="N32" s="12"/>
      </tp>
      <tp>
        <v>3.1800000000000002E-2</v>
        <stp/>
        <stp>BID</stp>
        <stp>./6EH5C1.14</stp>
        <tr r="F16" s="12"/>
      </tp>
      <tp>
        <v>2.5499999999999998E-2</v>
        <stp/>
        <stp>BID</stp>
        <stp>./6EH5C1.15</stp>
        <tr r="F18" s="12"/>
      </tp>
      <tp>
        <v>1.9900000000000001E-2</v>
        <stp/>
        <stp>BID</stp>
        <stp>./6EH5C1.16</stp>
        <tr r="F20" s="12"/>
      </tp>
      <tp>
        <v>1.5100000000000001E-2</v>
        <stp/>
        <stp>BID</stp>
        <stp>./6EH5C1.17</stp>
        <tr r="F22" s="12"/>
      </tp>
      <tp>
        <v>2.7799999999999998E-2</v>
        <stp/>
        <stp>BID</stp>
        <stp>./6EH5P1.17</stp>
        <tr r="L22" s="12"/>
      </tp>
      <tp>
        <v>2.2700000000000001E-2</v>
        <stp/>
        <stp>BID</stp>
        <stp>./6EH5P1.16</stp>
        <tr r="L20" s="12"/>
      </tp>
      <tp>
        <v>1.4E-2</v>
        <stp/>
        <stp>BID</stp>
        <stp>./6EH5P1.15</stp>
        <tr r="L18" s="12"/>
      </tp>
      <tp>
        <v>1.46E-2</v>
        <stp/>
        <stp>BID</stp>
        <stp>./6EH5P1.14</stp>
        <tr r="L16" s="12"/>
      </tp>
      <tp>
        <v>1.55E-2</v>
        <stp/>
        <stp>ASK</stp>
        <stp>./6EH5C1.17</stp>
        <tr r="H22" s="12"/>
      </tp>
      <tp>
        <v>2.0299999999999999E-2</v>
        <stp/>
        <stp>ASK</stp>
        <stp>./6EH5C1.16</stp>
        <tr r="H20" s="12"/>
      </tp>
      <tp>
        <v>2.5999999999999999E-2</v>
        <stp/>
        <stp>ASK</stp>
        <stp>./6EH5C1.15</stp>
        <tr r="H18" s="12"/>
      </tp>
      <tp>
        <v>3.2399999999999998E-2</v>
        <stp/>
        <stp>ASK</stp>
        <stp>./6EH5C1.14</stp>
        <tr r="H16" s="12"/>
      </tp>
      <tp>
        <v>1.49E-2</v>
        <stp/>
        <stp>ASK</stp>
        <stp>./6EH5P1.14</stp>
        <tr r="N16" s="12"/>
      </tp>
      <tp>
        <v>1.8599999999999998E-2</v>
        <stp/>
        <stp>ASK</stp>
        <stp>./6EH5P1.15</stp>
        <tr r="N18" s="12"/>
      </tp>
      <tp>
        <v>2.3E-2</v>
        <stp/>
        <stp>ASK</stp>
        <stp>./6EH5P1.16</stp>
        <tr r="N20" s="12"/>
      </tp>
      <tp>
        <v>2.8199999999999999E-2</v>
        <stp/>
        <stp>ASK</stp>
        <stp>./6EH5P1.17</stp>
        <tr r="N22" s="12"/>
      </tp>
      <tp>
        <v>1.17</v>
        <stp/>
        <stp>STRIKE</stp>
        <stp>./6EZ5C1.17</stp>
        <tr r="K61" s="12"/>
      </tp>
      <tp>
        <v>1.1599999999999999</v>
        <stp/>
        <stp>STRIKE</stp>
        <stp>./6EZ5C1.16</stp>
        <tr r="K59" s="12"/>
      </tp>
      <tp>
        <v>1.1499999999999999</v>
        <stp/>
        <stp>STRIKE</stp>
        <stp>./6EZ5C1.15</stp>
        <tr r="K57" s="12"/>
      </tp>
      <tp>
        <v>1.18</v>
        <stp/>
        <stp>STRIKE</stp>
        <stp>./6EZ5C1.18</stp>
        <tr r="K63" s="12"/>
      </tp>
      <tp>
        <v>3.5999999999999997E-2</v>
        <stp/>
        <stp>BID</stp>
        <stp>./6EJ5C1.14</stp>
        <tr r="F26" s="12"/>
      </tp>
      <tp>
        <v>0.03</v>
        <stp/>
        <stp>BID</stp>
        <stp>./6EJ5C1.15</stp>
        <tr r="F28" s="12"/>
      </tp>
      <tp>
        <v>2.4299999999999999E-2</v>
        <stp/>
        <stp>BID</stp>
        <stp>./6EJ5C1.16</stp>
        <tr r="F30" s="12"/>
      </tp>
      <tp>
        <v>1.9300000000000001E-2</v>
        <stp/>
        <stp>BID</stp>
        <stp>./6EJ5C1.17</stp>
        <tr r="F32" s="12"/>
      </tp>
      <tp>
        <v>3.0599999999999999E-2</v>
        <stp/>
        <stp>BID</stp>
        <stp>./6EJ5P1.17</stp>
        <tr r="L32" s="12"/>
      </tp>
      <tp>
        <v>2.5700000000000001E-2</v>
        <stp/>
        <stp>BID</stp>
        <stp>./6EJ5P1.16</stp>
        <tr r="L30" s="12"/>
      </tp>
      <tp>
        <v>2.1299999999999999E-2</v>
        <stp/>
        <stp>BID</stp>
        <stp>./6EJ5P1.15</stp>
        <tr r="L28" s="12"/>
      </tp>
      <tp>
        <v>1.78E-2</v>
        <stp/>
        <stp>BID</stp>
        <stp>./6EJ5P1.14</stp>
        <tr r="L26" s="12"/>
      </tp>
      <tp>
        <v>4.3499999999999997E-2</v>
        <stp/>
        <stp>BID</stp>
        <stp>./6EM5C1.14</stp>
        <tr r="F36" s="12"/>
      </tp>
      <tp>
        <v>3.73E-2</v>
        <stp/>
        <stp>BID</stp>
        <stp>./6EM5C1.15</stp>
        <tr r="F38" s="12"/>
      </tp>
      <tp>
        <v>3.1600000000000003E-2</v>
        <stp/>
        <stp>BID</stp>
        <stp>./6EM5C1.16</stp>
        <tr r="F40" s="12"/>
      </tp>
      <tp>
        <v>2.6499999999999999E-2</v>
        <stp/>
        <stp>BID</stp>
        <stp>./6EM5C1.17</stp>
        <tr r="F42" s="12"/>
      </tp>
      <tp>
        <v>3.7900000000000003E-2</v>
        <stp/>
        <stp>BID</stp>
        <stp>./6EM5P1.17</stp>
        <tr r="L42" s="12"/>
      </tp>
      <tp>
        <v>2.3199999999999998E-2</v>
        <stp/>
        <stp>BID</stp>
        <stp>./6EM5P1.16</stp>
        <tr r="L40" s="12"/>
      </tp>
      <tp>
        <v>2.87E-2</v>
        <stp/>
        <stp>BID</stp>
        <stp>./6EM5P1.15</stp>
        <tr r="L38" s="12"/>
      </tp>
      <tp>
        <v>2.4899999999999999E-2</v>
        <stp/>
        <stp>BID</stp>
        <stp>./6EM5P1.14</stp>
        <tr r="L36" s="12"/>
      </tp>
      <tp t="s">
        <v>05.12.2015</v>
        <stp/>
        <stp>EXPIRATION_DAY</stp>
        <stp>./6EZ5C1.18</stp>
        <tr r="J63" s="12"/>
      </tp>
      <tp t="s">
        <v>05.12.2015</v>
        <stp/>
        <stp>EXPIRATION_DAY</stp>
        <stp>./6EZ5C1.15</stp>
        <tr r="J57" s="12"/>
      </tp>
      <tp t="s">
        <v>05.12.2015</v>
        <stp/>
        <stp>EXPIRATION_DAY</stp>
        <stp>./6EZ5C1.16</stp>
        <tr r="J59" s="12"/>
      </tp>
      <tp t="s">
        <v>05.12.2015</v>
        <stp/>
        <stp>EXPIRATION_DAY</stp>
        <stp>./6EZ5C1.17</stp>
        <tr r="J61" s="12"/>
      </tp>
      <tp>
        <v>2.76E-2</v>
        <stp/>
        <stp>ASK</stp>
        <stp>./6EM5C1.17</stp>
        <tr r="H42" s="12"/>
      </tp>
      <tp>
        <v>3.2800000000000003E-2</v>
        <stp/>
        <stp>ASK</stp>
        <stp>./6EM5C1.16</stp>
        <tr r="H40" s="12"/>
      </tp>
      <tp>
        <v>3.8399999999999997E-2</v>
        <stp/>
        <stp>ASK</stp>
        <stp>./6EM5C1.15</stp>
        <tr r="H38" s="12"/>
      </tp>
      <tp>
        <v>4.4600000000000001E-2</v>
        <stp/>
        <stp>ASK</stp>
        <stp>./6EM5C1.14</stp>
        <tr r="H36" s="12"/>
      </tp>
      <tp>
        <v>2.5899999999999999E-2</v>
        <stp/>
        <stp>ASK</stp>
        <stp>./6EM5P1.14</stp>
        <tr r="N36" s="12"/>
      </tp>
      <tp>
        <v>3.61E-2</v>
        <stp/>
        <stp>ASK</stp>
        <stp>./6EM5P1.15</stp>
        <tr r="N38" s="12"/>
      </tp>
      <tp>
        <v>3.4200000000000001E-2</v>
        <stp/>
        <stp>ASK</stp>
        <stp>./6EM5P1.16</stp>
        <tr r="N40" s="12"/>
      </tp>
      <tp>
        <v>3.9E-2</v>
        <stp/>
        <stp>ASK</stp>
        <stp>./6EM5P1.17</stp>
        <tr r="N42" s="12"/>
      </tp>
      <tp t="s">
        <v>05.09.2015</v>
        <stp/>
        <stp>EXPIRATION_DAY</stp>
        <stp>./6EU5C1.18</stp>
        <tr r="J53" s="12"/>
      </tp>
      <tp t="s">
        <v>05.09.2015</v>
        <stp/>
        <stp>EXPIRATION_DAY</stp>
        <stp>./6EU5C1.15</stp>
        <tr r="J47" s="12"/>
      </tp>
      <tp t="s">
        <v>05.09.2015</v>
        <stp/>
        <stp>EXPIRATION_DAY</stp>
        <stp>./6EU5C1.16</stp>
        <tr r="J49" s="12"/>
      </tp>
      <tp t="s">
        <v>05.09.2015</v>
        <stp/>
        <stp>EXPIRATION_DAY</stp>
        <stp>./6EU5C1.17</stp>
        <tr r="J51" s="12"/>
      </tp>
      <tp t="s">
        <v>0,00%</v>
        <stp/>
        <stp>PROB_OTM</stp>
        <stp>./6EJ5C1.145</stp>
        <tr r="D27" s="12"/>
      </tp>
      <tp t="s">
        <v>34,41%</v>
        <stp/>
        <stp>PROB_OTM</stp>
        <stp>./6EH5C1.145</stp>
        <tr r="D17" s="12"/>
      </tp>
      <tp t="s">
        <v>34,38%</v>
        <stp/>
        <stp>PROB_OTM</stp>
        <stp>./6EM5C1.145</stp>
        <tr r="D37" s="12"/>
      </tp>
      <tp t="s">
        <v>34,25%</v>
        <stp/>
        <stp>PROB_OTM</stp>
        <stp>./6EG5C1.145</stp>
        <tr r="D7" s="12"/>
      </tp>
      <tp t="s">
        <v>45,32%</v>
        <stp/>
        <stp>PROB_OTM</stp>
        <stp>./6EZ5C1.145</stp>
        <tr r="D56" s="12"/>
      </tp>
      <tp t="s">
        <v>0,00%</v>
        <stp/>
        <stp>PROB_OTM</stp>
        <stp>./6EU5C1.145</stp>
        <tr r="D46" s="12"/>
      </tp>
      <tp t="s">
        <v>17,69%</v>
        <stp/>
        <stp>PROB_OTM</stp>
        <stp>./6EJ5C1.155</stp>
        <tr r="D29" s="12"/>
      </tp>
      <tp t="s">
        <v>46,51%</v>
        <stp/>
        <stp>PROB_OTM</stp>
        <stp>./6EH5C1.155</stp>
        <tr r="D19" s="12"/>
      </tp>
      <tp t="s">
        <v>45,43%</v>
        <stp/>
        <stp>PROB_OTM</stp>
        <stp>./6EM5C1.155</stp>
        <tr r="D39" s="12"/>
      </tp>
      <tp t="s">
        <v>46,82%</v>
        <stp/>
        <stp>PROB_OTM</stp>
        <stp>./6EG5C1.155</stp>
        <tr r="D9" s="12"/>
      </tp>
      <tp t="s">
        <v>48,19%</v>
        <stp/>
        <stp>PROB_OTM</stp>
        <stp>./6EZ5C1.155</stp>
        <tr r="D58" s="12"/>
      </tp>
      <tp t="s">
        <v>27,93%</v>
        <stp/>
        <stp>PROB_OTM</stp>
        <stp>./6EU5C1.155</stp>
        <tr r="D48" s="12"/>
      </tp>
      <tp t="s">
        <v>74,48%</v>
        <stp/>
        <stp>PROB_OTM</stp>
        <stp>./6EJ5C1.165</stp>
        <tr r="D31" s="12"/>
      </tp>
      <tp t="s">
        <v>59,17%</v>
        <stp/>
        <stp>PROB_OTM</stp>
        <stp>./6EH5C1.165</stp>
        <tr r="D21" s="12"/>
      </tp>
      <tp t="s">
        <v>55,59%</v>
        <stp/>
        <stp>PROB_OTM</stp>
        <stp>./6EM5C1.165</stp>
        <tr r="D41" s="12"/>
      </tp>
      <tp t="s">
        <v>59,48%</v>
        <stp/>
        <stp>PROB_OTM</stp>
        <stp>./6EG5C1.165</stp>
        <tr r="D11" s="12"/>
      </tp>
      <tp t="s">
        <v>51,45%</v>
        <stp/>
        <stp>PROB_OTM</stp>
        <stp>./6EZ5C1.165</stp>
        <tr r="D60" s="12"/>
      </tp>
      <tp t="s">
        <v>53,69%</v>
        <stp/>
        <stp>PROB_OTM</stp>
        <stp>./6EU5C1.165</stp>
        <tr r="D50" s="12"/>
      </tp>
      <tp t="s">
        <v>85,25%</v>
        <stp/>
        <stp>PROB_OTM</stp>
        <stp>./6EJ5C1.175</stp>
        <tr r="D33" s="12"/>
      </tp>
      <tp t="s">
        <v>67,38%</v>
        <stp/>
        <stp>PROB_OTM</stp>
        <stp>./6EH5C1.175</stp>
        <tr r="D23" s="12"/>
      </tp>
      <tp t="s">
        <v>62,49%</v>
        <stp/>
        <stp>PROB_OTM</stp>
        <stp>./6EM5C1.175</stp>
        <tr r="D43" s="12"/>
      </tp>
      <tp t="s">
        <v>68,36%</v>
        <stp/>
        <stp>PROB_OTM</stp>
        <stp>./6EG5C1.175</stp>
        <tr r="D13" s="12"/>
      </tp>
      <tp t="s">
        <v>54,88%</v>
        <stp/>
        <stp>PROB_OTM</stp>
        <stp>./6EZ5C1.175</stp>
        <tr r="D62" s="12"/>
      </tp>
      <tp t="s">
        <v>63,73%</v>
        <stp/>
        <stp>PROB_OTM</stp>
        <stp>./6EU5C1.175</stp>
        <tr r="D52" s="12"/>
      </tp>
      <tp t="s">
        <v>34,67%</v>
        <stp/>
        <stp>PROB_OTM</stp>
        <stp>./6EJ5P1.175</stp>
        <tr r="Q33" s="12"/>
      </tp>
      <tp t="s">
        <v>37,16%</v>
        <stp/>
        <stp>PROB_OTM</stp>
        <stp>./6EH5P1.175</stp>
        <tr r="Q23" s="12"/>
      </tp>
      <tp t="s">
        <v>39,92%</v>
        <stp/>
        <stp>PROB_OTM</stp>
        <stp>./6EM5P1.175</stp>
        <tr r="Q43" s="12"/>
      </tp>
      <tp t="s">
        <v>32,37%</v>
        <stp/>
        <stp>PROB_OTM</stp>
        <stp>./6EG5P1.175</stp>
        <tr r="Q13" s="12"/>
      </tp>
      <tp t="s">
        <v>45,20%</v>
        <stp/>
        <stp>PROB_OTM</stp>
        <stp>./6EZ5P1.175</stp>
        <tr r="Q62" s="12"/>
      </tp>
      <tp t="s">
        <v>43,67%</v>
        <stp/>
        <stp>PROB_OTM</stp>
        <stp>./6EU5P1.175</stp>
        <tr r="Q52" s="12"/>
      </tp>
      <tp t="s">
        <v>42,49%</v>
        <stp/>
        <stp>PROB_OTM</stp>
        <stp>./6EJ5P1.165</stp>
        <tr r="Q31" s="12"/>
      </tp>
      <tp t="s">
        <v>43,41%</v>
        <stp/>
        <stp>PROB_OTM</stp>
        <stp>./6EH5P1.165</stp>
        <tr r="Q21" s="12"/>
      </tp>
      <tp t="s">
        <v>45,41%</v>
        <stp/>
        <stp>PROB_OTM</stp>
        <stp>./6EM5P1.165</stp>
        <tr r="Q41" s="12"/>
      </tp>
      <tp t="s">
        <v>40,04%</v>
        <stp/>
        <stp>PROB_OTM</stp>
        <stp>./6EG5P1.165</stp>
        <tr r="Q11" s="12"/>
      </tp>
      <tp t="s">
        <v>48,59%</v>
        <stp/>
        <stp>PROB_OTM</stp>
        <stp>./6EZ5P1.165</stp>
        <tr r="Q60" s="12"/>
      </tp>
      <tp t="s">
        <v>47,34%</v>
        <stp/>
        <stp>PROB_OTM</stp>
        <stp>./6EU5P1.165</stp>
        <tr r="Q50" s="12"/>
      </tp>
      <tp t="s">
        <v>54,88%</v>
        <stp/>
        <stp>PROB_OTM</stp>
        <stp>./6EJ5P1.155</stp>
        <tr r="Q29" s="12"/>
      </tp>
      <tp t="s">
        <v>51,77%</v>
        <stp/>
        <stp>PROB_OTM</stp>
        <stp>./6EH5P1.155</stp>
        <tr r="Q19" s="12"/>
      </tp>
      <tp t="s">
        <v>52,28%</v>
        <stp/>
        <stp>PROB_OTM</stp>
        <stp>./6EM5P1.155</stp>
        <tr r="Q39" s="12"/>
      </tp>
      <tp t="s">
        <v>54,31%</v>
        <stp/>
        <stp>PROB_OTM</stp>
        <stp>./6EG5P1.155</stp>
        <tr r="Q9" s="12"/>
      </tp>
      <tp t="s">
        <v>52,83%</v>
        <stp/>
        <stp>PROB_OTM</stp>
        <stp>./6EZ5P1.155</stp>
        <tr r="Q58" s="12"/>
      </tp>
      <tp t="s">
        <v>50,90%</v>
        <stp/>
        <stp>PROB_OTM</stp>
        <stp>./6EU5P1.155</stp>
        <tr r="Q48" s="12"/>
      </tp>
      <tp t="s">
        <v>64,64%</v>
        <stp/>
        <stp>PROB_OTM</stp>
        <stp>./6EJ5P1.145</stp>
        <tr r="Q27" s="12"/>
      </tp>
      <tp t="s">
        <v>64,81%</v>
        <stp/>
        <stp>PROB_OTM</stp>
        <stp>./6EH5P1.145</stp>
        <tr r="Q17" s="12"/>
      </tp>
      <tp t="s">
        <v>58,75%</v>
        <stp/>
        <stp>PROB_OTM</stp>
        <stp>./6EM5P1.145</stp>
        <tr r="Q37" s="12"/>
      </tp>
      <tp t="s">
        <v>76,16%</v>
        <stp/>
        <stp>PROB_OTM</stp>
        <stp>./6EG5P1.145</stp>
        <tr r="Q7" s="12"/>
      </tp>
      <tp t="s">
        <v>58,39%</v>
        <stp/>
        <stp>PROB_OTM</stp>
        <stp>./6EZ5P1.145</stp>
        <tr r="Q56" s="12"/>
      </tp>
      <tp t="s">
        <v>54,42%</v>
        <stp/>
        <stp>PROB_OTM</stp>
        <stp>./6EU5P1.145</stp>
        <tr r="Q46" s="12"/>
      </tp>
      <tp>
        <v>1.17</v>
        <stp/>
        <stp>STRIKE</stp>
        <stp>./6EU5C1.17</stp>
        <tr r="K51" s="12"/>
      </tp>
      <tp>
        <v>1.1599999999999999</v>
        <stp/>
        <stp>STRIKE</stp>
        <stp>./6EU5C1.16</stp>
        <tr r="K49" s="12"/>
      </tp>
      <tp>
        <v>1.1499999999999999</v>
        <stp/>
        <stp>STRIKE</stp>
        <stp>./6EU5C1.15</stp>
        <tr r="K47" s="12"/>
      </tp>
      <tp>
        <v>1.18</v>
        <stp/>
        <stp>STRIKE</stp>
        <stp>./6EU5C1.18</stp>
        <tr r="K53" s="12"/>
      </tp>
      <tp t="s">
        <v>7,19%</v>
        <stp/>
        <stp>IMPL_VOL</stp>
        <stp>./6EM5C1.175</stp>
        <tr r="C43" s="12"/>
      </tp>
      <tp t="s">
        <v>9,35%</v>
        <stp/>
        <stp>IMPL_VOL</stp>
        <stp>./6EH5C1.175</stp>
        <tr r="C23" s="12"/>
      </tp>
      <tp t="s">
        <v>2,87%</v>
        <stp/>
        <stp>IMPL_VOL</stp>
        <stp>./6EJ5C1.175</stp>
        <tr r="C33" s="12"/>
      </tp>
      <tp t="s">
        <v>13,59%</v>
        <stp/>
        <stp>IMPL_VOL</stp>
        <stp>./6EG5C1.175</stp>
        <tr r="C13" s="12"/>
      </tp>
      <tp t="s">
        <v>10,34%</v>
        <stp/>
        <stp>IMPL_VOL</stp>
        <stp>./6EZ5C1.175</stp>
        <tr r="C62" s="12"/>
      </tp>
      <tp t="s">
        <v>3,90%</v>
        <stp/>
        <stp>IMPL_VOL</stp>
        <stp>./6EU5C1.175</stp>
        <tr r="C52" s="12"/>
      </tp>
      <tp t="s">
        <v>6,17%</v>
        <stp/>
        <stp>IMPL_VOL</stp>
        <stp>./6EM5C1.165</stp>
        <tr r="C41" s="12"/>
      </tp>
      <tp t="s">
        <v>7,90%</v>
        <stp/>
        <stp>IMPL_VOL</stp>
        <stp>./6EH5C1.165</stp>
        <tr r="C21" s="12"/>
      </tp>
      <tp t="s">
        <v>1,70%</v>
        <stp/>
        <stp>IMPL_VOL</stp>
        <stp>./6EJ5C1.165</stp>
        <tr r="C31" s="12"/>
      </tp>
      <tp t="s">
        <v>11,99%</v>
        <stp/>
        <stp>IMPL_VOL</stp>
        <stp>./6EG5C1.165</stp>
        <tr r="C11" s="12"/>
      </tp>
      <tp t="s">
        <v>10,64%</v>
        <stp/>
        <stp>IMPL_VOL</stp>
        <stp>./6EZ5C1.165</stp>
        <tr r="C60" s="12"/>
      </tp>
      <tp t="s">
        <v>2,88%</v>
        <stp/>
        <stp>IMPL_VOL</stp>
        <stp>./6EU5C1.165</stp>
        <tr r="C50" s="12"/>
      </tp>
      <tp t="s">
        <v>4,95%</v>
        <stp/>
        <stp>IMPL_VOL</stp>
        <stp>./6EM5C1.155</stp>
        <tr r="C39" s="12"/>
      </tp>
      <tp t="s">
        <v>6,39%</v>
        <stp/>
        <stp>IMPL_VOL</stp>
        <stp>./6EH5C1.155</stp>
        <tr r="C19" s="12"/>
      </tp>
      <tp t="s">
        <v>0,84%</v>
        <stp/>
        <stp>IMPL_VOL</stp>
        <stp>./6EJ5C1.155</stp>
        <tr r="C29" s="12"/>
      </tp>
      <tp t="s">
        <v>9,74%</v>
        <stp/>
        <stp>IMPL_VOL</stp>
        <stp>./6EG5C1.155</stp>
        <tr r="C9" s="12"/>
      </tp>
      <tp t="s">
        <v>10,96%</v>
        <stp/>
        <stp>IMPL_VOL</stp>
        <stp>./6EZ5C1.155</stp>
        <tr r="C58" s="12"/>
      </tp>
      <tp t="s">
        <v>1,44%</v>
        <stp/>
        <stp>IMPL_VOL</stp>
        <stp>./6EU5C1.155</stp>
        <tr r="C48" s="12"/>
      </tp>
      <tp t="s">
        <v>4,91%</v>
        <stp/>
        <stp>IMPL_VOL</stp>
        <stp>./6EM5C1.145</stp>
        <tr r="C37" s="12"/>
      </tp>
      <tp t="s">
        <v>7,26%</v>
        <stp/>
        <stp>IMPL_VOL</stp>
        <stp>./6EH5C1.145</stp>
        <tr r="C17" s="12"/>
      </tp>
      <tp t="s">
        <v>0,00%</v>
        <stp/>
        <stp>IMPL_VOL</stp>
        <stp>./6EJ5C1.145</stp>
        <tr r="C27" s="12"/>
      </tp>
      <tp t="s">
        <v>10,79%</v>
        <stp/>
        <stp>IMPL_VOL</stp>
        <stp>./6EG5C1.145</stp>
        <tr r="C7" s="12"/>
      </tp>
      <tp t="s">
        <v>11,56%</v>
        <stp/>
        <stp>IMPL_VOL</stp>
        <stp>./6EZ5C1.145</stp>
        <tr r="C56" s="12"/>
      </tp>
      <tp t="s">
        <v>0,00%</v>
        <stp/>
        <stp>IMPL_VOL</stp>
        <stp>./6EU5C1.145</stp>
        <tr r="C46" s="12"/>
      </tp>
      <tp t="s">
        <v>8,30%</v>
        <stp/>
        <stp>IMPL_VOL</stp>
        <stp>./6EM5P1.145</stp>
        <tr r="P37" s="12"/>
      </tp>
      <tp t="s">
        <v>7,63%</v>
        <stp/>
        <stp>IMPL_VOL</stp>
        <stp>./6EH5P1.145</stp>
        <tr r="P17" s="12"/>
      </tp>
      <tp t="s">
        <v>6,86%</v>
        <stp/>
        <stp>IMPL_VOL</stp>
        <stp>./6EJ5P1.145</stp>
        <tr r="P27" s="12"/>
      </tp>
      <tp t="s">
        <v>6,28%</v>
        <stp/>
        <stp>IMPL_VOL</stp>
        <stp>./6EG5P1.145</stp>
        <tr r="P7" s="12"/>
      </tp>
      <tp t="s">
        <v>7,97%</v>
        <stp/>
        <stp>IMPL_VOL</stp>
        <stp>./6EZ5P1.145</stp>
        <tr r="P56" s="12"/>
      </tp>
      <tp t="s">
        <v>12,19%</v>
        <stp/>
        <stp>IMPL_VOL</stp>
        <stp>./6EU5P1.145</stp>
        <tr r="P46" s="12"/>
      </tp>
      <tp t="s">
        <v>7,89%</v>
        <stp/>
        <stp>IMPL_VOL</stp>
        <stp>./6EM5P1.155</stp>
        <tr r="P39" s="12"/>
      </tp>
      <tp t="s">
        <v>10,09%</v>
        <stp/>
        <stp>IMPL_VOL</stp>
        <stp>./6EH5P1.155</stp>
        <tr r="P19" s="12"/>
      </tp>
      <tp t="s">
        <v>5,73%</v>
        <stp/>
        <stp>IMPL_VOL</stp>
        <stp>./6EJ5P1.155</stp>
        <tr r="P29" s="12"/>
      </tp>
      <tp t="s">
        <v>7,58%</v>
        <stp/>
        <stp>IMPL_VOL</stp>
        <stp>./6EG5P1.155</stp>
        <tr r="P9" s="12"/>
      </tp>
      <tp t="s">
        <v>9,27%</v>
        <stp/>
        <stp>IMPL_VOL</stp>
        <stp>./6EZ5P1.155</stp>
        <tr r="P58" s="12"/>
      </tp>
      <tp t="s">
        <v>12,07%</v>
        <stp/>
        <stp>IMPL_VOL</stp>
        <stp>./6EU5P1.155</stp>
        <tr r="P48" s="12"/>
      </tp>
      <tp t="s">
        <v>8,37%</v>
        <stp/>
        <stp>IMPL_VOL</stp>
        <stp>./6EM5P1.165</stp>
        <tr r="P41" s="12"/>
      </tp>
      <tp t="s">
        <v>11,93%</v>
        <stp/>
        <stp>IMPL_VOL</stp>
        <stp>./6EH5P1.165</stp>
        <tr r="P21" s="12"/>
      </tp>
      <tp t="s">
        <v>6,36%</v>
        <stp/>
        <stp>IMPL_VOL</stp>
        <stp>./6EJ5P1.165</stp>
        <tr r="P31" s="12"/>
      </tp>
      <tp t="s">
        <v>11,34%</v>
        <stp/>
        <stp>IMPL_VOL</stp>
        <stp>./6EG5P1.165</stp>
        <tr r="P11" s="12"/>
      </tp>
      <tp t="s">
        <v>10,43%</v>
        <stp/>
        <stp>IMPL_VOL</stp>
        <stp>./6EZ5P1.165</stp>
        <tr r="P60" s="12"/>
      </tp>
      <tp t="s">
        <v>11,85%</v>
        <stp/>
        <stp>IMPL_VOL</stp>
        <stp>./6EU5P1.165</stp>
        <tr r="P50" s="12"/>
      </tp>
      <tp t="s">
        <v>9,41%</v>
        <stp/>
        <stp>IMPL_VOL</stp>
        <stp>./6EM5P1.175</stp>
        <tr r="P43" s="12"/>
      </tp>
      <tp t="s">
        <v>13,37%</v>
        <stp/>
        <stp>IMPL_VOL</stp>
        <stp>./6EH5P1.175</stp>
        <tr r="P23" s="12"/>
      </tp>
      <tp t="s">
        <v>7,94%</v>
        <stp/>
        <stp>IMPL_VOL</stp>
        <stp>./6EJ5P1.175</stp>
        <tr r="P33" s="12"/>
      </tp>
      <tp t="s">
        <v>14,24%</v>
        <stp/>
        <stp>IMPL_VOL</stp>
        <stp>./6EG5P1.175</stp>
        <tr r="P13" s="12"/>
      </tp>
      <tp t="s">
        <v>11,51%</v>
        <stp/>
        <stp>IMPL_VOL</stp>
        <stp>./6EZ5P1.175</stp>
        <tr r="P62" s="12"/>
      </tp>
      <tp t="s">
        <v>11,54%</v>
        <stp/>
        <stp>IMPL_VOL</stp>
        <stp>./6EU5P1.175</stp>
        <tr r="P52" s="12"/>
      </tp>
      <tp>
        <v>1.2999999999999999E-2</v>
        <stp/>
        <stp>ASK</stp>
        <stp>./6EG5C1.17</stp>
        <tr r="H12" s="12"/>
      </tp>
      <tp>
        <v>1.5100000000000001E-2</v>
        <stp/>
        <stp>ASK</stp>
        <stp>./6EG5C1.16</stp>
        <tr r="H10" s="12"/>
      </tp>
      <tp>
        <v>2.07E-2</v>
        <stp/>
        <stp>ASK</stp>
        <stp>./6EG5C1.15</stp>
        <tr r="H8" s="12"/>
      </tp>
      <tp>
        <v>2.7199999999999998E-2</v>
        <stp/>
        <stp>ASK</stp>
        <stp>./6EG5C1.14</stp>
        <tr r="H6" s="12"/>
      </tp>
      <tp>
        <v>9.7000000000000003E-3</v>
        <stp/>
        <stp>ASK</stp>
        <stp>./6EG5P1.14</stp>
        <tr r="N6" s="12"/>
      </tp>
      <tp>
        <v>1.3299999999999999E-2</v>
        <stp/>
        <stp>ASK</stp>
        <stp>./6EG5P1.15</stp>
        <tr r="N8" s="12"/>
      </tp>
      <tp>
        <v>2.1999999999999999E-2</v>
        <stp/>
        <stp>ASK</stp>
        <stp>./6EG5P1.16</stp>
        <tr r="N10" s="12"/>
      </tp>
      <tp>
        <v>2.3300000000000001E-2</v>
        <stp/>
        <stp>ASK</stp>
        <stp>./6EG5P1.17</stp>
        <tr r="N12" s="12"/>
      </tp>
      <tp>
        <v>2.6599999999999999E-2</v>
        <stp/>
        <stp>BID</stp>
        <stp>./6EG5C1.14</stp>
        <tr r="F6" s="12"/>
      </tp>
      <tp>
        <v>0.02</v>
        <stp/>
        <stp>BID</stp>
        <stp>./6EG5C1.15</stp>
        <tr r="F8" s="12"/>
      </tp>
      <tp>
        <v>1.46E-2</v>
        <stp/>
        <stp>BID</stp>
        <stp>./6EG5C1.16</stp>
        <tr r="F10" s="12"/>
      </tp>
      <tp>
        <v>1.01E-2</v>
        <stp/>
        <stp>BID</stp>
        <stp>./6EG5C1.17</stp>
        <tr r="F12" s="12"/>
      </tp>
      <tp>
        <v>2.9999999999999997E-4</v>
        <stp/>
        <stp>BID</stp>
        <stp>./6EG5P1.17</stp>
        <tr r="L12" s="12"/>
      </tp>
      <tp>
        <v>6.9999999999999999E-4</v>
        <stp/>
        <stp>BID</stp>
        <stp>./6EG5P1.16</stp>
        <tr r="L10" s="12"/>
      </tp>
      <tp>
        <v>5.0000000000000002E-5</v>
        <stp/>
        <stp>BID</stp>
        <stp>./6EG5P1.15</stp>
        <tr r="L8" s="12"/>
      </tp>
      <tp>
        <v>9.4000000000000004E-3</v>
        <stp/>
        <stp>BID</stp>
        <stp>./6EG5P1.14</stp>
        <tr r="L6" s="12"/>
      </tp>
      <tp>
        <v>-0.14000000000000001</v>
        <stp/>
        <stp>DELTA</stp>
        <stp>./6EG5P1.14</stp>
        <tr r="R6" s="12"/>
      </tp>
      <tp>
        <v>-0.24</v>
        <stp/>
        <stp>DELTA</stp>
        <stp>./6EG5P1.15</stp>
        <tr r="R8" s="12"/>
      </tp>
      <tp>
        <v>-0.46</v>
        <stp/>
        <stp>DELTA</stp>
        <stp>./6EG5P1.16</stp>
        <tr r="R10" s="12"/>
      </tp>
      <tp>
        <v>-0.57999999999999996</v>
        <stp/>
        <stp>DELTA</stp>
        <stp>./6EG5P1.17</stp>
        <tr r="R12" s="12"/>
      </tp>
      <tp>
        <v>0.37</v>
        <stp/>
        <stp>DELTA</stp>
        <stp>./6EG5C1.17</stp>
        <tr r="E12" s="12"/>
      </tp>
      <tp>
        <v>0.47</v>
        <stp/>
        <stp>DELTA</stp>
        <stp>./6EG5C1.16</stp>
        <tr r="E10" s="12"/>
      </tp>
      <tp>
        <v>0.61</v>
        <stp/>
        <stp>DELTA</stp>
        <stp>./6EG5C1.15</stp>
        <tr r="E8" s="12"/>
      </tp>
      <tp>
        <v>0.7</v>
        <stp/>
        <stp>DELTA</stp>
        <stp>./6EG5C1.14</stp>
        <tr r="E6" s="12"/>
      </tp>
      <tp>
        <v>1.175</v>
        <stp/>
        <stp>STRIKE</stp>
        <stp>./6EH5C1.175</stp>
        <tr r="K23" s="12"/>
      </tp>
      <tp>
        <v>1.175</v>
        <stp/>
        <stp>STRIKE</stp>
        <stp>./6EJ5C1.175</stp>
        <tr r="K33" s="12"/>
      </tp>
      <tp>
        <v>1.175</v>
        <stp/>
        <stp>STRIKE</stp>
        <stp>./6EM5C1.175</stp>
        <tr r="K43" s="12"/>
      </tp>
      <tp>
        <v>1.175</v>
        <stp/>
        <stp>STRIKE</stp>
        <stp>./6EG5C1.175</stp>
        <tr r="K13" s="12"/>
      </tp>
      <tp>
        <v>1.175</v>
        <stp/>
        <stp>STRIKE</stp>
        <stp>./6EZ5C1.175</stp>
        <tr r="K62" s="12"/>
      </tp>
      <tp>
        <v>1.175</v>
        <stp/>
        <stp>STRIKE</stp>
        <stp>./6EU5C1.175</stp>
        <tr r="K52" s="12"/>
      </tp>
      <tp>
        <v>1.165</v>
        <stp/>
        <stp>STRIKE</stp>
        <stp>./6EH5C1.165</stp>
        <tr r="K21" s="12"/>
      </tp>
      <tp>
        <v>1.165</v>
        <stp/>
        <stp>STRIKE</stp>
        <stp>./6EJ5C1.165</stp>
        <tr r="K31" s="12"/>
      </tp>
      <tp>
        <v>1.165</v>
        <stp/>
        <stp>STRIKE</stp>
        <stp>./6EM5C1.165</stp>
        <tr r="K41" s="12"/>
      </tp>
      <tp>
        <v>1.165</v>
        <stp/>
        <stp>STRIKE</stp>
        <stp>./6EG5C1.165</stp>
        <tr r="K11" s="12"/>
      </tp>
      <tp>
        <v>1.165</v>
        <stp/>
        <stp>STRIKE</stp>
        <stp>./6EZ5C1.165</stp>
        <tr r="K60" s="12"/>
      </tp>
      <tp>
        <v>1.165</v>
        <stp/>
        <stp>STRIKE</stp>
        <stp>./6EU5C1.165</stp>
        <tr r="K50" s="12"/>
      </tp>
      <tp>
        <v>1.155</v>
        <stp/>
        <stp>STRIKE</stp>
        <stp>./6EH5C1.155</stp>
        <tr r="K19" s="12"/>
      </tp>
      <tp>
        <v>1.155</v>
        <stp/>
        <stp>STRIKE</stp>
        <stp>./6EJ5C1.155</stp>
        <tr r="K29" s="12"/>
      </tp>
      <tp>
        <v>1.155</v>
        <stp/>
        <stp>STRIKE</stp>
        <stp>./6EM5C1.155</stp>
        <tr r="K39" s="12"/>
      </tp>
      <tp>
        <v>1.155</v>
        <stp/>
        <stp>STRIKE</stp>
        <stp>./6EG5C1.155</stp>
        <tr r="K9" s="12"/>
      </tp>
      <tp>
        <v>1.155</v>
        <stp/>
        <stp>STRIKE</stp>
        <stp>./6EZ5C1.155</stp>
        <tr r="K58" s="12"/>
      </tp>
      <tp>
        <v>1.155</v>
        <stp/>
        <stp>STRIKE</stp>
        <stp>./6EU5C1.155</stp>
        <tr r="K48" s="12"/>
      </tp>
      <tp>
        <v>1.145</v>
        <stp/>
        <stp>STRIKE</stp>
        <stp>./6EH5C1.145</stp>
        <tr r="K17" s="12"/>
      </tp>
      <tp>
        <v>1.145</v>
        <stp/>
        <stp>STRIKE</stp>
        <stp>./6EJ5C1.145</stp>
        <tr r="K27" s="12"/>
      </tp>
      <tp>
        <v>1.145</v>
        <stp/>
        <stp>STRIKE</stp>
        <stp>./6EM5C1.145</stp>
        <tr r="K37" s="12"/>
      </tp>
      <tp>
        <v>1.145</v>
        <stp/>
        <stp>STRIKE</stp>
        <stp>./6EG5C1.145</stp>
        <tr r="K7" s="12"/>
      </tp>
      <tp>
        <v>1.145</v>
        <stp/>
        <stp>STRIKE</stp>
        <stp>./6EZ5C1.145</stp>
        <tr r="K56" s="12"/>
      </tp>
      <tp>
        <v>1.145</v>
        <stp/>
        <stp>STRIKE</stp>
        <stp>./6EU5C1.145</stp>
        <tr r="K46" s="12"/>
      </tp>
      <tp>
        <v>-0.34</v>
        <stp/>
        <stp>DELTA</stp>
        <stp>./6EM5P1.14</stp>
        <tr r="R36" s="12"/>
      </tp>
      <tp>
        <v>-0.39</v>
        <stp/>
        <stp>DELTA</stp>
        <stp>./6EM5P1.15</stp>
        <tr r="R38" s="12"/>
      </tp>
      <tp>
        <v>-0.46</v>
        <stp/>
        <stp>DELTA</stp>
        <stp>./6EM5P1.16</stp>
        <tr r="R40" s="12"/>
      </tp>
      <tp>
        <v>-0.52</v>
        <stp/>
        <stp>DELTA</stp>
        <stp>./6EM5P1.17</stp>
        <tr r="R42" s="12"/>
      </tp>
      <tp>
        <v>0.42</v>
        <stp/>
        <stp>DELTA</stp>
        <stp>./6EM5C1.17</stp>
        <tr r="E42" s="12"/>
      </tp>
      <tp>
        <v>0.5</v>
        <stp/>
        <stp>DELTA</stp>
        <stp>./6EM5C1.16</stp>
        <tr r="E40" s="12"/>
      </tp>
      <tp>
        <v>0.62</v>
        <stp/>
        <stp>DELTA</stp>
        <stp>./6EM5C1.15</stp>
        <tr r="E38" s="12"/>
      </tp>
      <tp>
        <v>0.7</v>
        <stp/>
        <stp>DELTA</stp>
        <stp>./6EM5C1.14</stp>
        <tr r="E36" s="12"/>
      </tp>
      <tp t="s">
        <v>06.06.2015</v>
        <stp/>
        <stp>EXPIRATION_DAY</stp>
        <stp>./6EM5C1.145</stp>
        <tr r="J37" s="12"/>
      </tp>
      <tp t="s">
        <v>07.03.2015</v>
        <stp/>
        <stp>EXPIRATION_DAY</stp>
        <stp>./6EH5C1.145</stp>
        <tr r="J17" s="12"/>
      </tp>
      <tp t="s">
        <v>03.04.2015</v>
        <stp/>
        <stp>EXPIRATION_DAY</stp>
        <stp>./6EJ5C1.145</stp>
        <tr r="J27" s="12"/>
      </tp>
      <tp t="s">
        <v>07.02.2015</v>
        <stp/>
        <stp>EXPIRATION_DAY</stp>
        <stp>./6EG5C1.145</stp>
        <tr r="J7" s="12"/>
      </tp>
      <tp t="s">
        <v>05.12.2015</v>
        <stp/>
        <stp>EXPIRATION_DAY</stp>
        <stp>./6EZ5C1.145</stp>
        <tr r="J56" s="12"/>
      </tp>
      <tp t="s">
        <v>05.09.2015</v>
        <stp/>
        <stp>EXPIRATION_DAY</stp>
        <stp>./6EU5C1.145</stp>
        <tr r="J46" s="12"/>
      </tp>
      <tp t="s">
        <v>06.06.2015</v>
        <stp/>
        <stp>EXPIRATION_DAY</stp>
        <stp>./6EM5C1.155</stp>
        <tr r="J39" s="12"/>
      </tp>
      <tp t="s">
        <v>07.03.2015</v>
        <stp/>
        <stp>EXPIRATION_DAY</stp>
        <stp>./6EH5C1.155</stp>
        <tr r="J19" s="12"/>
      </tp>
      <tp t="s">
        <v>03.04.2015</v>
        <stp/>
        <stp>EXPIRATION_DAY</stp>
        <stp>./6EJ5C1.155</stp>
        <tr r="J29" s="12"/>
      </tp>
      <tp t="s">
        <v>07.02.2015</v>
        <stp/>
        <stp>EXPIRATION_DAY</stp>
        <stp>./6EG5C1.155</stp>
        <tr r="J9" s="12"/>
      </tp>
      <tp t="s">
        <v>05.12.2015</v>
        <stp/>
        <stp>EXPIRATION_DAY</stp>
        <stp>./6EZ5C1.155</stp>
        <tr r="J58" s="12"/>
      </tp>
      <tp t="s">
        <v>05.09.2015</v>
        <stp/>
        <stp>EXPIRATION_DAY</stp>
        <stp>./6EU5C1.155</stp>
        <tr r="J48" s="12"/>
      </tp>
      <tp t="s">
        <v>06.06.2015</v>
        <stp/>
        <stp>EXPIRATION_DAY</stp>
        <stp>./6EM5C1.165</stp>
        <tr r="J41" s="12"/>
      </tp>
      <tp t="s">
        <v>07.03.2015</v>
        <stp/>
        <stp>EXPIRATION_DAY</stp>
        <stp>./6EH5C1.165</stp>
        <tr r="J21" s="12"/>
      </tp>
      <tp t="s">
        <v>03.04.2015</v>
        <stp/>
        <stp>EXPIRATION_DAY</stp>
        <stp>./6EJ5C1.165</stp>
        <tr r="J31" s="12"/>
      </tp>
      <tp t="s">
        <v>07.02.2015</v>
        <stp/>
        <stp>EXPIRATION_DAY</stp>
        <stp>./6EG5C1.165</stp>
        <tr r="J11" s="12"/>
      </tp>
      <tp t="s">
        <v>05.12.2015</v>
        <stp/>
        <stp>EXPIRATION_DAY</stp>
        <stp>./6EZ5C1.165</stp>
        <tr r="J60" s="12"/>
      </tp>
      <tp t="s">
        <v>05.09.2015</v>
        <stp/>
        <stp>EXPIRATION_DAY</stp>
        <stp>./6EU5C1.165</stp>
        <tr r="J50" s="12"/>
      </tp>
      <tp t="s">
        <v>06.06.2015</v>
        <stp/>
        <stp>EXPIRATION_DAY</stp>
        <stp>./6EM5C1.175</stp>
        <tr r="J43" s="12"/>
      </tp>
      <tp t="s">
        <v>07.03.2015</v>
        <stp/>
        <stp>EXPIRATION_DAY</stp>
        <stp>./6EH5C1.175</stp>
        <tr r="J23" s="12"/>
      </tp>
      <tp t="s">
        <v>03.04.2015</v>
        <stp/>
        <stp>EXPIRATION_DAY</stp>
        <stp>./6EJ5C1.175</stp>
        <tr r="J33" s="12"/>
      </tp>
      <tp t="s">
        <v>07.02.2015</v>
        <stp/>
        <stp>EXPIRATION_DAY</stp>
        <stp>./6EG5C1.175</stp>
        <tr r="J13" s="12"/>
      </tp>
      <tp t="s">
        <v>05.12.2015</v>
        <stp/>
        <stp>EXPIRATION_DAY</stp>
        <stp>./6EZ5C1.175</stp>
        <tr r="J62" s="12"/>
      </tp>
      <tp t="s">
        <v>05.09.2015</v>
        <stp/>
        <stp>EXPIRATION_DAY</stp>
        <stp>./6EU5C1.175</stp>
        <tr r="J52" s="12"/>
      </tp>
      <tp>
        <v>-0.22</v>
        <stp/>
        <stp>DELTA</stp>
        <stp>./6EH5P1.14</stp>
        <tr r="R16" s="12"/>
      </tp>
      <tp>
        <v>-0.36</v>
        <stp/>
        <stp>DELTA</stp>
        <stp>./6EH5P1.15</stp>
        <tr r="R18" s="12"/>
      </tp>
      <tp>
        <v>-0.47</v>
        <stp/>
        <stp>DELTA</stp>
        <stp>./6EH5P1.16</stp>
        <tr r="R20" s="12"/>
      </tp>
      <tp>
        <v>-0.54</v>
        <stp/>
        <stp>DELTA</stp>
        <stp>./6EH5P1.17</stp>
        <tr r="R22" s="12"/>
      </tp>
      <tp>
        <v>0.38</v>
        <stp/>
        <stp>DELTA</stp>
        <stp>./6EH5C1.17</stp>
        <tr r="E22" s="12"/>
      </tp>
      <tp>
        <v>0.48</v>
        <stp/>
        <stp>DELTA</stp>
        <stp>./6EH5C1.16</stp>
        <tr r="E20" s="12"/>
      </tp>
      <tp>
        <v>0.62</v>
        <stp/>
        <stp>DELTA</stp>
        <stp>./6EH5C1.15</stp>
        <tr r="E18" s="12"/>
      </tp>
      <tp>
        <v>0.7</v>
        <stp/>
        <stp>DELTA</stp>
        <stp>./6EH5C1.14</stp>
        <tr r="E16" s="12"/>
      </tp>
      <tp>
        <v>-0.27</v>
        <stp/>
        <stp>DELTA</stp>
        <stp>./6EJ5P1.14</stp>
        <tr r="R26" s="12"/>
      </tp>
      <tp>
        <v>-0.33</v>
        <stp/>
        <stp>DELTA</stp>
        <stp>./6EJ5P1.15</stp>
        <tr r="R28" s="12"/>
      </tp>
      <tp>
        <v>-0.44</v>
        <stp/>
        <stp>DELTA</stp>
        <stp>./6EJ5P1.16</stp>
        <tr r="R30" s="12"/>
      </tp>
      <tp>
        <v>-0.56000000000000005</v>
        <stp/>
        <stp>DELTA</stp>
        <stp>./6EJ5P1.17</stp>
        <tr r="R32" s="12"/>
      </tp>
      <tp>
        <v>0.19</v>
        <stp/>
        <stp>DELTA</stp>
        <stp>./6EJ5C1.17</stp>
        <tr r="E32" s="12"/>
      </tp>
      <tp>
        <v>0.44</v>
        <stp/>
        <stp>DELTA</stp>
        <stp>./6EJ5C1.16</stp>
        <tr r="E30" s="12"/>
      </tp>
      <tp>
        <v>1</v>
        <stp/>
        <stp>DELTA</stp>
        <stp>./6EJ5C1.15</stp>
        <tr r="E28" s="12"/>
      </tp>
      <tp>
        <v>1</v>
        <stp/>
        <stp>DELTA</stp>
        <stp>./6EJ5C1.14</stp>
        <tr r="E26" s="12"/>
      </tp>
      <tp>
        <v>-0.53</v>
        <stp/>
        <stp>DELTA</stp>
        <stp>./6EU5P1.18</stp>
        <tr r="R53" s="12"/>
      </tp>
      <tp>
        <v>-0.42</v>
        <stp/>
        <stp>DELTA</stp>
        <stp>./6EU5P1.15</stp>
        <tr r="R47" s="12"/>
      </tp>
      <tp>
        <v>-0.45</v>
        <stp/>
        <stp>DELTA</stp>
        <stp>./6EU5P1.16</stp>
        <tr r="R49" s="12"/>
      </tp>
      <tp>
        <v>-0.49</v>
        <stp/>
        <stp>DELTA</stp>
        <stp>./6EU5P1.17</stp>
        <tr r="R51" s="12"/>
      </tp>
      <tp>
        <v>0.34</v>
        <stp/>
        <stp>DELTA</stp>
        <stp>./6EU5C1.18</stp>
        <tr r="E53" s="12"/>
      </tp>
      <tp>
        <v>0.42</v>
        <stp/>
        <stp>DELTA</stp>
        <stp>./6EU5C1.17</stp>
        <tr r="E51" s="12"/>
      </tp>
      <tp>
        <v>0.56000000000000005</v>
        <stp/>
        <stp>DELTA</stp>
        <stp>./6EU5C1.16</stp>
        <tr r="E49" s="12"/>
      </tp>
      <tp>
        <v>1</v>
        <stp/>
        <stp>DELTA</stp>
        <stp>./6EU5C1.15</stp>
        <tr r="E47" s="12"/>
      </tp>
      <tp>
        <v>-0.5</v>
        <stp/>
        <stp>DELTA</stp>
        <stp>./6EZ5P1.18</stp>
        <tr r="R63" s="12"/>
      </tp>
      <tp>
        <v>-0.39</v>
        <stp/>
        <stp>DELTA</stp>
        <stp>./6EZ5P1.15</stp>
        <tr r="R57" s="12"/>
      </tp>
      <tp>
        <v>-0.44</v>
        <stp/>
        <stp>DELTA</stp>
        <stp>./6EZ5P1.16</stp>
        <tr r="R59" s="12"/>
      </tp>
      <tp>
        <v>-0.48</v>
        <stp/>
        <stp>DELTA</stp>
        <stp>./6EZ5P1.17</stp>
        <tr r="R61" s="12"/>
      </tp>
      <tp>
        <v>0.47</v>
        <stp/>
        <stp>DELTA</stp>
        <stp>./6EZ5C1.18</stp>
        <tr r="E63" s="12"/>
      </tp>
      <tp>
        <v>0.51</v>
        <stp/>
        <stp>DELTA</stp>
        <stp>./6EZ5C1.17</stp>
        <tr r="E61" s="12"/>
      </tp>
      <tp>
        <v>0.54</v>
        <stp/>
        <stp>DELTA</stp>
        <stp>./6EZ5C1.16</stp>
        <tr r="E59" s="12"/>
      </tp>
      <tp>
        <v>0.56999999999999995</v>
        <stp/>
        <stp>DELTA</stp>
        <stp>./6EZ5C1.15</stp>
        <tr r="E57" s="12"/>
      </tp>
      <tp t="s">
        <v>0,00%</v>
        <stp/>
        <stp>PROB_OTM</stp>
        <stp>./6EJ5C1.14</stp>
        <tr r="D26" s="12"/>
      </tp>
      <tp t="s">
        <v>0,00%</v>
        <stp/>
        <stp>PROB_OTM</stp>
        <stp>./6EJ5C1.15</stp>
        <tr r="D28" s="12"/>
      </tp>
      <tp t="s">
        <v>56,27%</v>
        <stp/>
        <stp>PROB_OTM</stp>
        <stp>./6EJ5C1.16</stp>
        <tr r="D30" s="12"/>
      </tp>
      <tp t="s">
        <v>81,29%</v>
        <stp/>
        <stp>PROB_OTM</stp>
        <stp>./6EJ5C1.17</stp>
        <tr r="D32" s="12"/>
      </tp>
      <tp t="s">
        <v>38,07%</v>
        <stp/>
        <stp>PROB_OTM</stp>
        <stp>./6EJ5P1.17</stp>
        <tr r="Q32" s="12"/>
      </tp>
      <tp t="s">
        <v>48,29%</v>
        <stp/>
        <stp>PROB_OTM</stp>
        <stp>./6EJ5P1.16</stp>
        <tr r="Q30" s="12"/>
      </tp>
      <tp t="s">
        <v>60,31%</v>
        <stp/>
        <stp>PROB_OTM</stp>
        <stp>./6EJ5P1.15</stp>
        <tr r="Q28" s="12"/>
      </tp>
      <tp t="s">
        <v>68,08%</v>
        <stp/>
        <stp>PROB_OTM</stp>
        <stp>./6EJ5P1.14</stp>
        <tr r="Q26" s="12"/>
      </tp>
      <tp t="s">
        <v>6,71%</v>
        <stp/>
        <stp>IMPL_VOL</stp>
        <stp>./6EM5C1.17</stp>
        <tr r="C42" s="12"/>
      </tp>
      <tp t="s">
        <v>5,60%</v>
        <stp/>
        <stp>IMPL_VOL</stp>
        <stp>./6EM5C1.16</stp>
        <tr r="C40" s="12"/>
      </tp>
      <tp t="s">
        <v>4,49%</v>
        <stp/>
        <stp>IMPL_VOL</stp>
        <stp>./6EM5C1.15</stp>
        <tr r="C38" s="12"/>
      </tp>
      <tp t="s">
        <v>5,51%</v>
        <stp/>
        <stp>IMPL_VOL</stp>
        <stp>./6EM5C1.14</stp>
        <tr r="C36" s="12"/>
      </tp>
      <tp t="s">
        <v>8,63%</v>
        <stp/>
        <stp>IMPL_VOL</stp>
        <stp>./6EM5P1.14</stp>
        <tr r="P36" s="12"/>
      </tp>
      <tp t="s">
        <v>8,00%</v>
        <stp/>
        <stp>IMPL_VOL</stp>
        <stp>./6EM5P1.15</stp>
        <tr r="P38" s="12"/>
      </tp>
      <tp t="s">
        <v>8,04%</v>
        <stp/>
        <stp>IMPL_VOL</stp>
        <stp>./6EM5P1.16</stp>
        <tr r="P40" s="12"/>
      </tp>
      <tp t="s">
        <v>8,90%</v>
        <stp/>
        <stp>IMPL_VOL</stp>
        <stp>./6EM5P1.17</stp>
        <tr r="P42" s="12"/>
      </tp>
      <tp t="s">
        <v>31,10%</v>
        <stp/>
        <stp>PROB_OTM</stp>
        <stp>./6EH5C1.14</stp>
        <tr r="D16" s="12"/>
      </tp>
      <tp t="s">
        <v>39,18%</v>
        <stp/>
        <stp>PROB_OTM</stp>
        <stp>./6EH5C1.15</stp>
        <tr r="D18" s="12"/>
      </tp>
      <tp t="s">
        <v>53,56%</v>
        <stp/>
        <stp>PROB_OTM</stp>
        <stp>./6EH5C1.16</stp>
        <tr r="D20" s="12"/>
      </tp>
      <tp t="s">
        <v>63,59%</v>
        <stp/>
        <stp>PROB_OTM</stp>
        <stp>./6EH5C1.17</stp>
        <tr r="D22" s="12"/>
      </tp>
      <tp t="s">
        <v>40,10%</v>
        <stp/>
        <stp>PROB_OTM</stp>
        <stp>./6EH5P1.17</stp>
        <tr r="Q22" s="12"/>
      </tp>
      <tp t="s">
        <v>47,23%</v>
        <stp/>
        <stp>PROB_OTM</stp>
        <stp>./6EH5P1.16</stp>
        <tr r="Q20" s="12"/>
      </tp>
      <tp t="s">
        <v>57,41%</v>
        <stp/>
        <stp>PROB_OTM</stp>
        <stp>./6EH5P1.15</stp>
        <tr r="Q18" s="12"/>
      </tp>
      <tp t="s">
        <v>72,69%</v>
        <stp/>
        <stp>PROB_OTM</stp>
        <stp>./6EH5P1.14</stp>
        <tr r="Q16" s="12"/>
      </tp>
      <tp t="s">
        <v>G</v>
        <stp/>
        <stp>AX</stp>
        <stp>./6EG5C1.16</stp>
        <tr r="I10" s="12"/>
      </tp>
      <tp t="s">
        <v>G</v>
        <stp/>
        <stp>AX</stp>
        <stp>./6EG5C1.17</stp>
        <tr r="I12" s="12"/>
      </tp>
      <tp t="s">
        <v>G</v>
        <stp/>
        <stp>AX</stp>
        <stp>./6EG5C1.14</stp>
        <tr r="I6" s="12"/>
      </tp>
      <tp t="s">
        <v>G</v>
        <stp/>
        <stp>AX</stp>
        <stp>./6EG5C1.15</stp>
        <tr r="I8" s="12"/>
      </tp>
      <tp t="s">
        <v>G</v>
        <stp/>
        <stp>AX</stp>
        <stp>./6EG5P1.15</stp>
        <tr r="O8" s="12"/>
      </tp>
      <tp t="s">
        <v>G</v>
        <stp/>
        <stp>AX</stp>
        <stp>./6EG5P1.14</stp>
        <tr r="O6" s="12"/>
      </tp>
      <tp t="s">
        <v>G</v>
        <stp/>
        <stp>AX</stp>
        <stp>./6EG5P1.17</stp>
        <tr r="O12" s="12"/>
      </tp>
      <tp t="s">
        <v>G</v>
        <stp/>
        <stp>AX</stp>
        <stp>./6EG5P1.16</stp>
        <tr r="O10" s="12"/>
      </tp>
      <tp t="s">
        <v>G</v>
        <stp/>
        <stp>BX</stp>
        <stp>./6EG5C1.16</stp>
        <tr r="G10" s="12"/>
      </tp>
      <tp t="s">
        <v>G</v>
        <stp/>
        <stp>BX</stp>
        <stp>./6EG5C1.17</stp>
        <tr r="G12" s="12"/>
      </tp>
      <tp t="s">
        <v>G</v>
        <stp/>
        <stp>BX</stp>
        <stp>./6EG5C1.14</stp>
        <tr r="G6" s="12"/>
      </tp>
      <tp t="s">
        <v>G</v>
        <stp/>
        <stp>BX</stp>
        <stp>./6EG5C1.15</stp>
        <tr r="G8" s="12"/>
      </tp>
      <tp t="s">
        <v>G</v>
        <stp/>
        <stp>BX</stp>
        <stp>./6EG5P1.15</stp>
        <tr r="M8" s="12"/>
      </tp>
      <tp t="s">
        <v>G</v>
        <stp/>
        <stp>BX</stp>
        <stp>./6EG5P1.14</stp>
        <tr r="M6" s="12"/>
      </tp>
      <tp t="s">
        <v>G</v>
        <stp/>
        <stp>BX</stp>
        <stp>./6EG5P1.17</stp>
        <tr r="M12" s="12"/>
      </tp>
      <tp t="s">
        <v>G</v>
        <stp/>
        <stp>BX</stp>
        <stp>./6EG5P1.16</stp>
        <tr r="M10" s="12"/>
      </tp>
      <tp t="s">
        <v>8,71%</v>
        <stp/>
        <stp>IMPL_VOL</stp>
        <stp>./6EH5C1.17</stp>
        <tr r="C22" s="12"/>
      </tp>
      <tp t="s">
        <v>7,15%</v>
        <stp/>
        <stp>IMPL_VOL</stp>
        <stp>./6EH5C1.16</stp>
        <tr r="C20" s="12"/>
      </tp>
      <tp t="s">
        <v>6,36%</v>
        <stp/>
        <stp>IMPL_VOL</stp>
        <stp>./6EH5C1.15</stp>
        <tr r="C18" s="12"/>
      </tp>
      <tp t="s">
        <v>8,27%</v>
        <stp/>
        <stp>IMPL_VOL</stp>
        <stp>./6EH5C1.14</stp>
        <tr r="C16" s="12"/>
      </tp>
      <tp t="s">
        <v>6,83%</v>
        <stp/>
        <stp>IMPL_VOL</stp>
        <stp>./6EH5P1.14</stp>
        <tr r="P16" s="12"/>
      </tp>
      <tp t="s">
        <v>8,95%</v>
        <stp/>
        <stp>IMPL_VOL</stp>
        <stp>./6EH5P1.15</stp>
        <tr r="P18" s="12"/>
      </tp>
      <tp t="s">
        <v>11,07%</v>
        <stp/>
        <stp>IMPL_VOL</stp>
        <stp>./6EH5P1.16</stp>
        <tr r="P20" s="12"/>
      </tp>
      <tp t="s">
        <v>12,69%</v>
        <stp/>
        <stp>IMPL_VOL</stp>
        <stp>./6EH5P1.17</stp>
        <tr r="P22" s="12"/>
      </tp>
      <tp t="s">
        <v>2,32%</v>
        <stp/>
        <stp>IMPL_VOL</stp>
        <stp>./6EJ5C1.17</stp>
        <tr r="C32" s="12"/>
      </tp>
      <tp t="s">
        <v>1,09%</v>
        <stp/>
        <stp>IMPL_VOL</stp>
        <stp>./6EJ5C1.16</stp>
        <tr r="C30" s="12"/>
      </tp>
      <tp t="s">
        <v>0,00%</v>
        <stp/>
        <stp>IMPL_VOL</stp>
        <stp>./6EJ5C1.15</stp>
        <tr r="C28" s="12"/>
      </tp>
      <tp t="s">
        <v>0,00%</v>
        <stp/>
        <stp>IMPL_VOL</stp>
        <stp>./6EJ5C1.14</stp>
        <tr r="C26" s="12"/>
      </tp>
      <tp t="s">
        <v>7,48%</v>
        <stp/>
        <stp>IMPL_VOL</stp>
        <stp>./6EJ5P1.14</stp>
        <tr r="P26" s="12"/>
      </tp>
      <tp t="s">
        <v>6,27%</v>
        <stp/>
        <stp>IMPL_VOL</stp>
        <stp>./6EJ5P1.15</stp>
        <tr r="P28" s="12"/>
      </tp>
      <tp t="s">
        <v>5,62%</v>
        <stp/>
        <stp>IMPL_VOL</stp>
        <stp>./6EJ5P1.16</stp>
        <tr r="P30" s="12"/>
      </tp>
      <tp t="s">
        <v>7,14%</v>
        <stp/>
        <stp>IMPL_VOL</stp>
        <stp>./6EJ5P1.17</stp>
        <tr r="P32" s="12"/>
      </tp>
      <tp t="s">
        <v>31,47%</v>
        <stp/>
        <stp>PROB_OTM</stp>
        <stp>./6EM5C1.14</stp>
        <tr r="D36" s="12"/>
      </tp>
      <tp t="s">
        <v>38,75%</v>
        <stp/>
        <stp>PROB_OTM</stp>
        <stp>./6EM5C1.15</stp>
        <tr r="D38" s="12"/>
      </tp>
      <tp t="s">
        <v>51,08%</v>
        <stp/>
        <stp>PROB_OTM</stp>
        <stp>./6EM5C1.16</stp>
        <tr r="D40" s="12"/>
      </tp>
      <tp t="s">
        <v>59,31%</v>
        <stp/>
        <stp>PROB_OTM</stp>
        <stp>./6EM5C1.17</stp>
        <tr r="D42" s="12"/>
      </tp>
      <tp t="s">
        <v>42,49%</v>
        <stp/>
        <stp>PROB_OTM</stp>
        <stp>./6EM5P1.17</stp>
        <tr r="Q42" s="12"/>
      </tp>
      <tp t="s">
        <v>48,74%</v>
        <stp/>
        <stp>PROB_OTM</stp>
        <stp>./6EM5P1.16</stp>
        <tr r="Q40" s="12"/>
      </tp>
      <tp t="s">
        <v>55,69%</v>
        <stp/>
        <stp>PROB_OTM</stp>
        <stp>./6EM5P1.15</stp>
        <tr r="Q38" s="12"/>
      </tp>
      <tp t="s">
        <v>61,51%</v>
        <stp/>
        <stp>PROB_OTM</stp>
        <stp>./6EM5P1.14</stp>
        <tr r="Q36" s="12"/>
      </tp>
      <tp t="s">
        <v>G</v>
        <stp/>
        <stp>AX</stp>
        <stp>./6EM5C1.16</stp>
        <tr r="I40" s="12"/>
      </tp>
      <tp t="s">
        <v>G</v>
        <stp/>
        <stp>AX</stp>
        <stp>./6EM5C1.17</stp>
        <tr r="I42" s="12"/>
      </tp>
      <tp t="s">
        <v>G</v>
        <stp/>
        <stp>AX</stp>
        <stp>./6EM5C1.14</stp>
        <tr r="I36" s="12"/>
      </tp>
      <tp t="s">
        <v>G</v>
        <stp/>
        <stp>AX</stp>
        <stp>./6EM5C1.15</stp>
        <tr r="I38" s="12"/>
      </tp>
      <tp t="s">
        <v>G</v>
        <stp/>
        <stp>AX</stp>
        <stp>./6EM5P1.15</stp>
        <tr r="O38" s="12"/>
      </tp>
      <tp t="s">
        <v>G</v>
        <stp/>
        <stp>AX</stp>
        <stp>./6EM5P1.14</stp>
        <tr r="O36" s="12"/>
      </tp>
      <tp t="s">
        <v>G</v>
        <stp/>
        <stp>AX</stp>
        <stp>./6EM5P1.17</stp>
        <tr r="O42" s="12"/>
      </tp>
      <tp t="s">
        <v>G</v>
        <stp/>
        <stp>AX</stp>
        <stp>./6EM5P1.16</stp>
        <tr r="O40" s="12"/>
      </tp>
      <tp t="s">
        <v>G</v>
        <stp/>
        <stp>BX</stp>
        <stp>./6EM5C1.16</stp>
        <tr r="G40" s="12"/>
      </tp>
      <tp t="s">
        <v>G</v>
        <stp/>
        <stp>BX</stp>
        <stp>./6EM5C1.17</stp>
        <tr r="G42" s="12"/>
      </tp>
      <tp t="s">
        <v>G</v>
        <stp/>
        <stp>BX</stp>
        <stp>./6EM5C1.14</stp>
        <tr r="G36" s="12"/>
      </tp>
      <tp t="s">
        <v>G</v>
        <stp/>
        <stp>BX</stp>
        <stp>./6EM5C1.15</stp>
        <tr r="G38" s="12"/>
      </tp>
      <tp t="s">
        <v>G</v>
        <stp/>
        <stp>BX</stp>
        <stp>./6EM5P1.15</stp>
        <tr r="M38" s="12"/>
      </tp>
      <tp t="s">
        <v>G</v>
        <stp/>
        <stp>BX</stp>
        <stp>./6EM5P1.14</stp>
        <tr r="M36" s="12"/>
      </tp>
      <tp t="s">
        <v>G</v>
        <stp/>
        <stp>BX</stp>
        <stp>./6EM5P1.17</stp>
        <tr r="M42" s="12"/>
      </tp>
      <tp t="s">
        <v>G</v>
        <stp/>
        <stp>BX</stp>
        <stp>./6EM5P1.16</stp>
        <tr r="M40" s="12"/>
      </tp>
      <tp t="s">
        <v>12,83%</v>
        <stp/>
        <stp>IMPL_VOL</stp>
        <stp>./6EG5C1.17</stp>
        <tr r="C12" s="12"/>
      </tp>
      <tp t="s">
        <v>10,86%</v>
        <stp/>
        <stp>IMPL_VOL</stp>
        <stp>./6EG5C1.16</stp>
        <tr r="C10" s="12"/>
      </tp>
      <tp t="s">
        <v>9,52%</v>
        <stp/>
        <stp>IMPL_VOL</stp>
        <stp>./6EG5C1.15</stp>
        <tr r="C8" s="12"/>
      </tp>
      <tp t="s">
        <v>12,32%</v>
        <stp/>
        <stp>IMPL_VOL</stp>
        <stp>./6EG5C1.14</stp>
        <tr r="C6" s="12"/>
      </tp>
      <tp t="s">
        <v>7,21%</v>
        <stp/>
        <stp>IMPL_VOL</stp>
        <stp>./6EG5P1.14</stp>
        <tr r="P6" s="12"/>
      </tp>
      <tp t="s">
        <v>6,21%</v>
        <stp/>
        <stp>IMPL_VOL</stp>
        <stp>./6EG5P1.15</stp>
        <tr r="P8" s="12"/>
      </tp>
      <tp t="s">
        <v>9,60%</v>
        <stp/>
        <stp>IMPL_VOL</stp>
        <stp>./6EG5P1.16</stp>
        <tr r="P10" s="12"/>
      </tp>
      <tp t="s">
        <v>12,80%</v>
        <stp/>
        <stp>IMPL_VOL</stp>
        <stp>./6EG5P1.17</stp>
        <tr r="P12" s="12"/>
      </tp>
      <tp t="s">
        <v>G</v>
        <stp/>
        <stp>AX</stp>
        <stp>./6EH5C1.16</stp>
        <tr r="I20" s="12"/>
      </tp>
      <tp t="s">
        <v>G</v>
        <stp/>
        <stp>AX</stp>
        <stp>./6EH5C1.17</stp>
        <tr r="I22" s="12"/>
      </tp>
      <tp t="s">
        <v>G</v>
        <stp/>
        <stp>AX</stp>
        <stp>./6EH5C1.14</stp>
        <tr r="I16" s="12"/>
      </tp>
      <tp t="s">
        <v>G</v>
        <stp/>
        <stp>AX</stp>
        <stp>./6EH5C1.15</stp>
        <tr r="I18" s="12"/>
      </tp>
      <tp t="s">
        <v>G</v>
        <stp/>
        <stp>AX</stp>
        <stp>./6EH5P1.15</stp>
        <tr r="O18" s="12"/>
      </tp>
      <tp t="s">
        <v>G</v>
        <stp/>
        <stp>AX</stp>
        <stp>./6EH5P1.14</stp>
        <tr r="O16" s="12"/>
      </tp>
      <tp t="s">
        <v>G</v>
        <stp/>
        <stp>AX</stp>
        <stp>./6EH5P1.17</stp>
        <tr r="O22" s="12"/>
      </tp>
      <tp t="s">
        <v>G</v>
        <stp/>
        <stp>AX</stp>
        <stp>./6EH5P1.16</stp>
        <tr r="O20" s="12"/>
      </tp>
      <tp t="s">
        <v>G</v>
        <stp/>
        <stp>BX</stp>
        <stp>./6EH5C1.16</stp>
        <tr r="G20" s="12"/>
      </tp>
      <tp t="s">
        <v>G</v>
        <stp/>
        <stp>BX</stp>
        <stp>./6EH5C1.17</stp>
        <tr r="G22" s="12"/>
      </tp>
      <tp t="s">
        <v>G</v>
        <stp/>
        <stp>BX</stp>
        <stp>./6EH5C1.14</stp>
        <tr r="G16" s="12"/>
      </tp>
      <tp t="s">
        <v>G</v>
        <stp/>
        <stp>BX</stp>
        <stp>./6EH5C1.15</stp>
        <tr r="G18" s="12"/>
      </tp>
      <tp t="s">
        <v>G</v>
        <stp/>
        <stp>BX</stp>
        <stp>./6EH5P1.15</stp>
        <tr r="M18" s="12"/>
      </tp>
      <tp t="s">
        <v>G</v>
        <stp/>
        <stp>BX</stp>
        <stp>./6EH5P1.14</stp>
        <tr r="M16" s="12"/>
      </tp>
      <tp t="s">
        <v>G</v>
        <stp/>
        <stp>BX</stp>
        <stp>./6EH5P1.17</stp>
        <tr r="M22" s="12"/>
      </tp>
      <tp t="s">
        <v>G</v>
        <stp/>
        <stp>BX</stp>
        <stp>./6EH5P1.16</stp>
        <tr r="M20" s="12"/>
      </tp>
      <tp t="s">
        <v>30,85%</v>
        <stp/>
        <stp>PROB_OTM</stp>
        <stp>./6EG5C1.14</stp>
        <tr r="D6" s="12"/>
      </tp>
      <tp t="s">
        <v>39,28%</v>
        <stp/>
        <stp>PROB_OTM</stp>
        <stp>./6EG5C1.15</stp>
        <tr r="D8" s="12"/>
      </tp>
      <tp t="s">
        <v>53,86%</v>
        <stp/>
        <stp>PROB_OTM</stp>
        <stp>./6EG5C1.16</stp>
        <tr r="D10" s="12"/>
      </tp>
      <tp t="s">
        <v>64,26%</v>
        <stp/>
        <stp>PROB_OTM</stp>
        <stp>./6EG5C1.17</stp>
        <tr r="D12" s="12"/>
      </tp>
      <tp t="s">
        <v>35,71%</v>
        <stp/>
        <stp>PROB_OTM</stp>
        <stp>./6EG5P1.17</stp>
        <tr r="Q12" s="12"/>
      </tp>
      <tp t="s">
        <v>45,76%</v>
        <stp/>
        <stp>PROB_OTM</stp>
        <stp>./6EG5P1.16</stp>
        <tr r="Q10" s="12"/>
      </tp>
      <tp t="s">
        <v>66,54%</v>
        <stp/>
        <stp>PROB_OTM</stp>
        <stp>./6EG5P1.15</stp>
        <tr r="Q8" s="12"/>
      </tp>
      <tp t="s">
        <v>80,79%</v>
        <stp/>
        <stp>PROB_OTM</stp>
        <stp>./6EG5P1.14</stp>
        <tr r="Q6" s="12"/>
      </tp>
      <tp t="s">
        <v>G</v>
        <stp/>
        <stp>AX</stp>
        <stp>./6EJ5C1.16</stp>
        <tr r="I30" s="12"/>
      </tp>
      <tp t="s">
        <v>G</v>
        <stp/>
        <stp>AX</stp>
        <stp>./6EJ5C1.17</stp>
        <tr r="I32" s="12"/>
      </tp>
      <tp t="s">
        <v>G</v>
        <stp/>
        <stp>AX</stp>
        <stp>./6EJ5C1.14</stp>
        <tr r="I26" s="12"/>
      </tp>
      <tp t="s">
        <v>G</v>
        <stp/>
        <stp>AX</stp>
        <stp>./6EJ5C1.15</stp>
        <tr r="I28" s="12"/>
      </tp>
      <tp t="s">
        <v>G</v>
        <stp/>
        <stp>AX</stp>
        <stp>./6EJ5P1.15</stp>
        <tr r="O28" s="12"/>
      </tp>
      <tp t="s">
        <v>G</v>
        <stp/>
        <stp>AX</stp>
        <stp>./6EJ5P1.14</stp>
        <tr r="O26" s="12"/>
      </tp>
      <tp t="s">
        <v>G</v>
        <stp/>
        <stp>AX</stp>
        <stp>./6EJ5P1.17</stp>
        <tr r="O32" s="12"/>
      </tp>
      <tp t="s">
        <v>G</v>
        <stp/>
        <stp>AX</stp>
        <stp>./6EJ5P1.16</stp>
        <tr r="O30" s="12"/>
      </tp>
      <tp t="s">
        <v>G</v>
        <stp/>
        <stp>BX</stp>
        <stp>./6EJ5C1.16</stp>
        <tr r="G30" s="12"/>
      </tp>
      <tp t="s">
        <v>G</v>
        <stp/>
        <stp>BX</stp>
        <stp>./6EJ5C1.17</stp>
        <tr r="G32" s="12"/>
      </tp>
      <tp t="s">
        <v>G</v>
        <stp/>
        <stp>BX</stp>
        <stp>./6EJ5C1.14</stp>
        <tr r="G26" s="12"/>
      </tp>
      <tp t="s">
        <v>G</v>
        <stp/>
        <stp>BX</stp>
        <stp>./6EJ5C1.15</stp>
        <tr r="G28" s="12"/>
      </tp>
      <tp t="s">
        <v>G</v>
        <stp/>
        <stp>BX</stp>
        <stp>./6EJ5P1.15</stp>
        <tr r="M28" s="12"/>
      </tp>
      <tp t="s">
        <v>G</v>
        <stp/>
        <stp>BX</stp>
        <stp>./6EJ5P1.14</stp>
        <tr r="M26" s="12"/>
      </tp>
      <tp t="s">
        <v>G</v>
        <stp/>
        <stp>BX</stp>
        <stp>./6EJ5P1.17</stp>
        <tr r="M32" s="12"/>
      </tp>
      <tp t="s">
        <v>G</v>
        <stp/>
        <stp>BX</stp>
        <stp>./6EJ5P1.16</stp>
        <tr r="M30" s="12"/>
      </tp>
      <tp t="s">
        <v>46,70%</v>
        <stp/>
        <stp>PROB_OTM</stp>
        <stp>./6EZ5C1.15</stp>
        <tr r="D57" s="12"/>
      </tp>
      <tp t="s">
        <v>49,79%</v>
        <stp/>
        <stp>PROB_OTM</stp>
        <stp>./6EZ5C1.16</stp>
        <tr r="D59" s="12"/>
      </tp>
      <tp t="s">
        <v>53,15%</v>
        <stp/>
        <stp>PROB_OTM</stp>
        <stp>./6EZ5C1.17</stp>
        <tr r="D61" s="12"/>
      </tp>
      <tp t="s">
        <v>56,66%</v>
        <stp/>
        <stp>PROB_OTM</stp>
        <stp>./6EZ5C1.18</stp>
        <tr r="D63" s="12"/>
      </tp>
      <tp t="s">
        <v>46,81%</v>
        <stp/>
        <stp>PROB_OTM</stp>
        <stp>./6EZ5P1.17</stp>
        <tr r="Q61" s="12"/>
      </tp>
      <tp t="s">
        <v>50,58%</v>
        <stp/>
        <stp>PROB_OTM</stp>
        <stp>./6EZ5P1.16</stp>
        <tr r="Q59" s="12"/>
      </tp>
      <tp t="s">
        <v>55,40%</v>
        <stp/>
        <stp>PROB_OTM</stp>
        <stp>./6EZ5P1.15</stp>
        <tr r="Q57" s="12"/>
      </tp>
      <tp t="s">
        <v>43,73%</v>
        <stp/>
        <stp>PROB_OTM</stp>
        <stp>./6EZ5P1.18</stp>
        <tr r="Q63" s="12"/>
      </tp>
      <tp t="s">
        <v>G</v>
        <stp/>
        <stp>AX</stp>
        <stp>./6EU5C1.18</stp>
        <tr r="I53" s="12"/>
      </tp>
      <tp t="s">
        <v>G</v>
        <stp/>
        <stp>AX</stp>
        <stp>./6EU5C1.16</stp>
        <tr r="I49" s="12"/>
      </tp>
      <tp t="s">
        <v>G</v>
        <stp/>
        <stp>AX</stp>
        <stp>./6EU5C1.17</stp>
        <tr r="I51" s="12"/>
      </tp>
      <tp t="s">
        <v>G</v>
        <stp/>
        <stp>AX</stp>
        <stp>./6EU5C1.15</stp>
        <tr r="I47" s="12"/>
      </tp>
      <tp t="s">
        <v>G</v>
        <stp/>
        <stp>AX</stp>
        <stp>./6EU5P1.18</stp>
        <tr r="O53" s="12"/>
      </tp>
      <tp t="s">
        <v>G</v>
        <stp/>
        <stp>AX</stp>
        <stp>./6EU5P1.15</stp>
        <tr r="O47" s="12"/>
      </tp>
      <tp t="s">
        <v>G</v>
        <stp/>
        <stp>AX</stp>
        <stp>./6EU5P1.17</stp>
        <tr r="O51" s="12"/>
      </tp>
      <tp t="s">
        <v>G</v>
        <stp/>
        <stp>AX</stp>
        <stp>./6EU5P1.16</stp>
        <tr r="O49" s="12"/>
      </tp>
      <tp t="s">
        <v>G</v>
        <stp/>
        <stp>BX</stp>
        <stp>./6EU5C1.18</stp>
        <tr r="G53" s="12"/>
      </tp>
      <tp t="s">
        <v>G</v>
        <stp/>
        <stp>BX</stp>
        <stp>./6EU5C1.16</stp>
        <tr r="G49" s="12"/>
      </tp>
      <tp t="s">
        <v>G</v>
        <stp/>
        <stp>BX</stp>
        <stp>./6EU5C1.17</stp>
        <tr r="G51" s="12"/>
      </tp>
      <tp t="s">
        <v>G</v>
        <stp/>
        <stp>BX</stp>
        <stp>./6EU5C1.15</stp>
        <tr r="G47" s="12"/>
      </tp>
      <tp t="s">
        <v>G</v>
        <stp/>
        <stp>BX</stp>
        <stp>./6EU5P1.18</stp>
        <tr r="M53" s="12"/>
      </tp>
      <tp t="s">
        <v>G</v>
        <stp/>
        <stp>BX</stp>
        <stp>./6EU5P1.15</stp>
        <tr r="M47" s="12"/>
      </tp>
      <tp t="s">
        <v>G</v>
        <stp/>
        <stp>BX</stp>
        <stp>./6EU5P1.17</stp>
        <tr r="M51" s="12"/>
      </tp>
      <tp t="s">
        <v>G</v>
        <stp/>
        <stp>BX</stp>
        <stp>./6EU5P1.16</stp>
        <tr r="M49" s="12"/>
      </tp>
      <tp t="s">
        <v>10,15%</v>
        <stp/>
        <stp>IMPL_VOL</stp>
        <stp>./6EZ5C1.18</stp>
        <tr r="C63" s="12"/>
      </tp>
      <tp t="s">
        <v>10,50%</v>
        <stp/>
        <stp>IMPL_VOL</stp>
        <stp>./6EZ5C1.17</stp>
        <tr r="C61" s="12"/>
      </tp>
      <tp t="s">
        <v>10,76%</v>
        <stp/>
        <stp>IMPL_VOL</stp>
        <stp>./6EZ5C1.16</stp>
        <tr r="C59" s="12"/>
      </tp>
      <tp t="s">
        <v>11,24%</v>
        <stp/>
        <stp>IMPL_VOL</stp>
        <stp>./6EZ5C1.15</stp>
        <tr r="C57" s="12"/>
      </tp>
      <tp t="s">
        <v>12,02%</v>
        <stp/>
        <stp>IMPL_VOL</stp>
        <stp>./6EZ5P1.18</stp>
        <tr r="P63" s="12"/>
      </tp>
      <tp t="s">
        <v>8,64%</v>
        <stp/>
        <stp>IMPL_VOL</stp>
        <stp>./6EZ5P1.15</stp>
        <tr r="P57" s="12"/>
      </tp>
      <tp t="s">
        <v>9,87%</v>
        <stp/>
        <stp>IMPL_VOL</stp>
        <stp>./6EZ5P1.16</stp>
        <tr r="P59" s="12"/>
      </tp>
      <tp t="s">
        <v>10,98%</v>
        <stp/>
        <stp>IMPL_VOL</stp>
        <stp>./6EZ5P1.17</stp>
        <tr r="P61" s="12"/>
      </tp>
      <tp t="s">
        <v>4,34%</v>
        <stp/>
        <stp>IMPL_VOL</stp>
        <stp>./6EU5C1.18</stp>
        <tr r="C53" s="12"/>
      </tp>
      <tp t="s">
        <v>3,42%</v>
        <stp/>
        <stp>IMPL_VOL</stp>
        <stp>./6EU5C1.17</stp>
        <tr r="C51" s="12"/>
      </tp>
      <tp t="s">
        <v>2,25%</v>
        <stp/>
        <stp>IMPL_VOL</stp>
        <stp>./6EU5C1.16</stp>
        <tr r="C49" s="12"/>
      </tp>
      <tp t="s">
        <v>0,00%</v>
        <stp/>
        <stp>IMPL_VOL</stp>
        <stp>./6EU5C1.15</stp>
        <tr r="C47" s="12"/>
      </tp>
      <tp t="s">
        <v>11,33%</v>
        <stp/>
        <stp>IMPL_VOL</stp>
        <stp>./6EU5P1.18</stp>
        <tr r="P53" s="12"/>
      </tp>
      <tp t="s">
        <v>12,13%</v>
        <stp/>
        <stp>IMPL_VOL</stp>
        <stp>./6EU5P1.15</stp>
        <tr r="P47" s="12"/>
      </tp>
      <tp t="s">
        <v>11,95%</v>
        <stp/>
        <stp>IMPL_VOL</stp>
        <stp>./6EU5P1.16</stp>
        <tr r="P49" s="12"/>
      </tp>
      <tp t="s">
        <v>11,69%</v>
        <stp/>
        <stp>IMPL_VOL</stp>
        <stp>./6EU5P1.17</stp>
        <tr r="P51" s="12"/>
      </tp>
      <tp t="s">
        <v>G</v>
        <stp/>
        <stp>AX</stp>
        <stp>./6EZ5C1.18</stp>
        <tr r="I63" s="12"/>
      </tp>
      <tp t="s">
        <v>G</v>
        <stp/>
        <stp>AX</stp>
        <stp>./6EZ5C1.16</stp>
        <tr r="I59" s="12"/>
      </tp>
      <tp t="s">
        <v>G</v>
        <stp/>
        <stp>AX</stp>
        <stp>./6EZ5C1.17</stp>
        <tr r="I61" s="12"/>
      </tp>
      <tp t="s">
        <v>G</v>
        <stp/>
        <stp>AX</stp>
        <stp>./6EZ5C1.15</stp>
        <tr r="I57" s="12"/>
      </tp>
      <tp t="s">
        <v>G</v>
        <stp/>
        <stp>AX</stp>
        <stp>./6EZ5P1.18</stp>
        <tr r="O63" s="12"/>
      </tp>
      <tp t="s">
        <v>G</v>
        <stp/>
        <stp>AX</stp>
        <stp>./6EZ5P1.15</stp>
        <tr r="O57" s="12"/>
      </tp>
      <tp t="s">
        <v>G</v>
        <stp/>
        <stp>AX</stp>
        <stp>./6EZ5P1.17</stp>
        <tr r="O61" s="12"/>
      </tp>
      <tp t="s">
        <v>G</v>
        <stp/>
        <stp>AX</stp>
        <stp>./6EZ5P1.16</stp>
        <tr r="O59" s="12"/>
      </tp>
      <tp t="s">
        <v>G</v>
        <stp/>
        <stp>BX</stp>
        <stp>./6EZ5C1.18</stp>
        <tr r="G63" s="12"/>
      </tp>
      <tp t="s">
        <v>G</v>
        <stp/>
        <stp>BX</stp>
        <stp>./6EZ5C1.16</stp>
        <tr r="G59" s="12"/>
      </tp>
      <tp t="s">
        <v>G</v>
        <stp/>
        <stp>BX</stp>
        <stp>./6EZ5C1.17</stp>
        <tr r="G61" s="12"/>
      </tp>
      <tp t="s">
        <v>G</v>
        <stp/>
        <stp>BX</stp>
        <stp>./6EZ5C1.15</stp>
        <tr r="G57" s="12"/>
      </tp>
      <tp t="s">
        <v>G</v>
        <stp/>
        <stp>BX</stp>
        <stp>./6EZ5P1.18</stp>
        <tr r="M63" s="12"/>
      </tp>
      <tp t="s">
        <v>G</v>
        <stp/>
        <stp>BX</stp>
        <stp>./6EZ5P1.15</stp>
        <tr r="M57" s="12"/>
      </tp>
      <tp t="s">
        <v>G</v>
        <stp/>
        <stp>BX</stp>
        <stp>./6EZ5P1.17</stp>
        <tr r="M61" s="12"/>
      </tp>
      <tp t="s">
        <v>G</v>
        <stp/>
        <stp>BX</stp>
        <stp>./6EZ5P1.16</stp>
        <tr r="M59" s="12"/>
      </tp>
      <tp t="s">
        <v>0,00%</v>
        <stp/>
        <stp>PROB_OTM</stp>
        <stp>./6EU5C1.15</stp>
        <tr r="D47" s="12"/>
      </tp>
      <tp t="s">
        <v>44,93%</v>
        <stp/>
        <stp>PROB_OTM</stp>
        <stp>./6EU5C1.16</stp>
        <tr r="D49" s="12"/>
      </tp>
      <tp t="s">
        <v>59,47%</v>
        <stp/>
        <stp>PROB_OTM</stp>
        <stp>./6EU5C1.17</stp>
        <tr r="D51" s="12"/>
      </tp>
      <tp t="s">
        <v>67,06%</v>
        <stp/>
        <stp>PROB_OTM</stp>
        <stp>./6EU5C1.18</stp>
        <tr r="D53" s="12"/>
      </tp>
      <tp t="s">
        <v>45,52%</v>
        <stp/>
        <stp>PROB_OTM</stp>
        <stp>./6EU5P1.17</stp>
        <tr r="Q51" s="12"/>
      </tp>
      <tp t="s">
        <v>49,13%</v>
        <stp/>
        <stp>PROB_OTM</stp>
        <stp>./6EU5P1.16</stp>
        <tr r="Q49" s="12"/>
      </tp>
      <tp t="s">
        <v>52,67%</v>
        <stp/>
        <stp>PROB_OTM</stp>
        <stp>./6EU5P1.15</stp>
        <tr r="Q47" s="12"/>
      </tp>
      <tp t="s">
        <v>41,78%</v>
        <stp/>
        <stp>PROB_OTM</stp>
        <stp>./6EU5P1.18</stp>
        <tr r="Q53" s="12"/>
      </tp>
      <tp>
        <v>4.2200000000000001E-2</v>
        <stp/>
        <stp>ASK</stp>
        <stp>./6EZ5C1.175</stp>
        <tr r="H62" s="12"/>
      </tp>
      <tp>
        <v>3.44E-2</v>
        <stp/>
        <stp>ASK</stp>
        <stp>./6EU5C1.175</stp>
        <tr r="H52" s="12"/>
      </tp>
      <tp>
        <v>1.7999999999999999E-2</v>
        <stp/>
        <stp>ASK</stp>
        <stp>./6EJ5C1.175</stp>
        <tr r="H33" s="12"/>
      </tp>
      <tp>
        <v>2.5000000000000001E-2</v>
        <stp/>
        <stp>ASK</stp>
        <stp>./6EH5C1.175</stp>
        <tr r="H23" s="12"/>
      </tp>
      <tp>
        <v>2.53E-2</v>
        <stp/>
        <stp>ASK</stp>
        <stp>./6EM5C1.175</stp>
        <tr r="H43" s="12"/>
      </tp>
      <tp>
        <v>8.6999999999999994E-3</v>
        <stp/>
        <stp>ASK</stp>
        <stp>./6EG5C1.175</stp>
        <tr r="H13" s="12"/>
      </tp>
      <tp>
        <v>4.7300000000000002E-2</v>
        <stp/>
        <stp>ASK</stp>
        <stp>./6EZ5C1.165</stp>
        <tr r="H60" s="12"/>
      </tp>
      <tp>
        <v>3.9600000000000003E-2</v>
        <stp/>
        <stp>ASK</stp>
        <stp>./6EU5C1.165</stp>
        <tr r="H50" s="12"/>
      </tp>
      <tp>
        <v>2.2700000000000001E-2</v>
        <stp/>
        <stp>ASK</stp>
        <stp>./6EJ5C1.165</stp>
        <tr r="H31" s="12"/>
      </tp>
      <tp>
        <v>1.78E-2</v>
        <stp/>
        <stp>ASK</stp>
        <stp>./6EH5C1.165</stp>
        <tr r="H21" s="12"/>
      </tp>
      <tp>
        <v>0.03</v>
        <stp/>
        <stp>ASK</stp>
        <stp>./6EM5C1.165</stp>
        <tr r="H41" s="12"/>
      </tp>
      <tp>
        <v>1.2699999999999999E-2</v>
        <stp/>
        <stp>ASK</stp>
        <stp>./6EG5C1.165</stp>
        <tr r="H11" s="12"/>
      </tp>
      <tp>
        <v>5.28E-2</v>
        <stp/>
        <stp>ASK</stp>
        <stp>./6EZ5C1.155</stp>
        <tr r="H58" s="12"/>
      </tp>
      <tp>
        <v>4.5199999999999997E-2</v>
        <stp/>
        <stp>ASK</stp>
        <stp>./6EU5C1.155</stp>
        <tr r="H48" s="12"/>
      </tp>
      <tp>
        <v>2.81E-2</v>
        <stp/>
        <stp>ASK</stp>
        <stp>./6EJ5C1.155</stp>
        <tr r="H29" s="12"/>
      </tp>
      <tp>
        <v>2.3099999999999999E-2</v>
        <stp/>
        <stp>ASK</stp>
        <stp>./6EH5C1.155</stp>
        <tr r="H19" s="12"/>
      </tp>
      <tp>
        <v>3.56E-2</v>
        <stp/>
        <stp>ASK</stp>
        <stp>./6EM5C1.155</stp>
        <tr r="H39" s="12"/>
      </tp>
      <tp>
        <v>1.78E-2</v>
        <stp/>
        <stp>ASK</stp>
        <stp>./6EG5C1.155</stp>
        <tr r="H9" s="12"/>
      </tp>
      <tp>
        <v>5.91E-2</v>
        <stp/>
        <stp>ASK</stp>
        <stp>./6EZ5C1.145</stp>
        <tr r="H56" s="12"/>
      </tp>
      <tp>
        <v>5.3699999999999998E-2</v>
        <stp/>
        <stp>ASK</stp>
        <stp>./6EU5C1.145</stp>
        <tr r="H46" s="12"/>
      </tp>
      <tp>
        <v>3.4099999999999998E-2</v>
        <stp/>
        <stp>ASK</stp>
        <stp>./6EJ5C1.145</stp>
        <tr r="H27" s="12"/>
      </tp>
      <tp>
        <v>2.9100000000000001E-2</v>
        <stp/>
        <stp>ASK</stp>
        <stp>./6EH5C1.145</stp>
        <tr r="H17" s="12"/>
      </tp>
      <tp>
        <v>4.1500000000000002E-2</v>
        <stp/>
        <stp>ASK</stp>
        <stp>./6EM5C1.145</stp>
        <tr r="H37" s="12"/>
      </tp>
      <tp>
        <v>2.3900000000000001E-2</v>
        <stp/>
        <stp>ASK</stp>
        <stp>./6EG5C1.145</stp>
        <tr r="H7" s="12"/>
      </tp>
      <tp>
        <v>4.1300000000000003E-2</v>
        <stp/>
        <stp>ASK</stp>
        <stp>./6EZ5P1.145</stp>
        <tr r="N56" s="12"/>
      </tp>
      <tp>
        <v>3.5400000000000001E-2</v>
        <stp/>
        <stp>ASK</stp>
        <stp>./6EU5P1.145</stp>
        <tr r="N46" s="12"/>
      </tp>
      <tp>
        <v>2.0400000000000001E-2</v>
        <stp/>
        <stp>ASK</stp>
        <stp>./6EJ5P1.145</stp>
        <tr r="N27" s="12"/>
      </tp>
      <tp>
        <v>1.67E-2</v>
        <stp/>
        <stp>ASK</stp>
        <stp>./6EH5P1.145</stp>
        <tr r="N17" s="12"/>
      </tp>
      <tp>
        <v>2.7699999999999999E-2</v>
        <stp/>
        <stp>ASK</stp>
        <stp>./6EM5P1.145</stp>
        <tr r="N37" s="12"/>
      </tp>
      <tp>
        <v>1.14E-2</v>
        <stp/>
        <stp>ASK</stp>
        <stp>./6EG5P1.145</stp>
        <tr r="N7" s="12"/>
      </tp>
      <tp>
        <v>4.5400000000000003E-2</v>
        <stp/>
        <stp>ASK</stp>
        <stp>./6EZ5P1.155</stp>
        <tr r="N58" s="12"/>
      </tp>
      <tp>
        <v>3.9399999999999998E-2</v>
        <stp/>
        <stp>ASK</stp>
        <stp>./6EU5P1.155</stp>
        <tr r="N48" s="12"/>
      </tp>
      <tp>
        <v>2.4299999999999999E-2</v>
        <stp/>
        <stp>ASK</stp>
        <stp>./6EJ5P1.155</stp>
        <tr r="N29" s="12"/>
      </tp>
      <tp>
        <v>2.07E-2</v>
        <stp/>
        <stp>ASK</stp>
        <stp>./6EH5P1.155</stp>
        <tr r="N19" s="12"/>
      </tp>
      <tp>
        <v>3.1800000000000002E-2</v>
        <stp/>
        <stp>ASK</stp>
        <stp>./6EM5P1.155</stp>
        <tr r="N39" s="12"/>
      </tp>
      <tp>
        <v>1.54E-2</v>
        <stp/>
        <stp>ASK</stp>
        <stp>./6EG5P1.155</stp>
        <tr r="N9" s="12"/>
      </tp>
      <tp>
        <v>0.05</v>
        <stp/>
        <stp>ASK</stp>
        <stp>./6EZ5P1.165</stp>
        <tr r="N60" s="12"/>
      </tp>
      <tp>
        <v>4.3999999999999997E-2</v>
        <stp/>
        <stp>ASK</stp>
        <stp>./6EU5P1.165</stp>
        <tr r="N50" s="12"/>
      </tp>
      <tp>
        <v>2.9000000000000001E-2</v>
        <stp/>
        <stp>ASK</stp>
        <stp>./6EJ5P1.165</stp>
        <tr r="N31" s="12"/>
      </tp>
      <tp>
        <v>2.5499999999999998E-2</v>
        <stp/>
        <stp>ASK</stp>
        <stp>./6EH5P1.165</stp>
        <tr r="N21" s="12"/>
      </tp>
      <tp>
        <v>3.6400000000000002E-2</v>
        <stp/>
        <stp>ASK</stp>
        <stp>./6EM5P1.165</stp>
        <tr r="N41" s="12"/>
      </tp>
      <tp>
        <v>2.0500000000000001E-2</v>
        <stp/>
        <stp>ASK</stp>
        <stp>./6EG5P1.165</stp>
        <tr r="N11" s="12"/>
      </tp>
      <tp>
        <v>5.5300000000000002E-2</v>
        <stp/>
        <stp>ASK</stp>
        <stp>./6EZ5P1.175</stp>
        <tr r="N62" s="12"/>
      </tp>
      <tp>
        <v>4.9000000000000002E-2</v>
        <stp/>
        <stp>ASK</stp>
        <stp>./6EU5P1.175</stp>
        <tr r="N52" s="12"/>
      </tp>
      <tp>
        <v>3.4200000000000001E-2</v>
        <stp/>
        <stp>ASK</stp>
        <stp>./6EJ5P1.175</stp>
        <tr r="N33" s="12"/>
      </tp>
      <tp>
        <v>3.1099999999999999E-2</v>
        <stp/>
        <stp>ASK</stp>
        <stp>./6EH5P1.175</stp>
        <tr r="N23" s="12"/>
      </tp>
      <tp>
        <v>4.1599999999999998E-2</v>
        <stp/>
        <stp>ASK</stp>
        <stp>./6EM5P1.175</stp>
        <tr r="N43" s="12"/>
      </tp>
      <tp>
        <v>2.6499999999999999E-2</v>
        <stp/>
        <stp>ASK</stp>
        <stp>./6EG5P1.175</stp>
        <tr r="N13" s="12"/>
      </tp>
      <tp t="s">
        <v>G</v>
        <stp/>
        <stp>AX</stp>
        <stp>./6EG5C1.165</stp>
        <tr r="I11" s="12"/>
      </tp>
      <tp t="s">
        <v>G</v>
        <stp/>
        <stp>AX</stp>
        <stp>./6EM5C1.165</stp>
        <tr r="I41" s="12"/>
      </tp>
      <tp t="s">
        <v>G</v>
        <stp/>
        <stp>AX</stp>
        <stp>./6EH5C1.165</stp>
        <tr r="I21" s="12"/>
      </tp>
      <tp t="s">
        <v>G</v>
        <stp/>
        <stp>AX</stp>
        <stp>./6EJ5C1.165</stp>
        <tr r="I31" s="12"/>
      </tp>
      <tp t="s">
        <v>G</v>
        <stp/>
        <stp>AX</stp>
        <stp>./6EU5C1.165</stp>
        <tr r="I50" s="12"/>
      </tp>
      <tp t="s">
        <v>G</v>
        <stp/>
        <stp>AX</stp>
        <stp>./6EZ5C1.165</stp>
        <tr r="I60" s="12"/>
      </tp>
      <tp t="s">
        <v>G</v>
        <stp/>
        <stp>AX</stp>
        <stp>./6EG5C1.175</stp>
        <tr r="I13" s="12"/>
      </tp>
      <tp t="s">
        <v>G</v>
        <stp/>
        <stp>AX</stp>
        <stp>./6EM5C1.175</stp>
        <tr r="I43" s="12"/>
      </tp>
      <tp t="s">
        <v>G</v>
        <stp/>
        <stp>AX</stp>
        <stp>./6EH5C1.175</stp>
        <tr r="I23" s="12"/>
      </tp>
      <tp t="s">
        <v>G</v>
        <stp/>
        <stp>AX</stp>
        <stp>./6EJ5C1.175</stp>
        <tr r="I33" s="12"/>
      </tp>
      <tp t="s">
        <v>G</v>
        <stp/>
        <stp>AX</stp>
        <stp>./6EU5C1.175</stp>
        <tr r="I52" s="12"/>
      </tp>
      <tp t="s">
        <v>G</v>
        <stp/>
        <stp>AX</stp>
        <stp>./6EZ5C1.175</stp>
        <tr r="I62" s="12"/>
      </tp>
      <tp t="s">
        <v>G</v>
        <stp/>
        <stp>AX</stp>
        <stp>./6EG5C1.145</stp>
        <tr r="I7" s="12"/>
      </tp>
      <tp t="s">
        <v>G</v>
        <stp/>
        <stp>AX</stp>
        <stp>./6EM5C1.145</stp>
        <tr r="I37" s="12"/>
      </tp>
      <tp t="s">
        <v>G</v>
        <stp/>
        <stp>AX</stp>
        <stp>./6EH5C1.145</stp>
        <tr r="I17" s="12"/>
      </tp>
      <tp t="s">
        <v>G</v>
        <stp/>
        <stp>AX</stp>
        <stp>./6EJ5C1.145</stp>
        <tr r="I27" s="12"/>
      </tp>
      <tp t="s">
        <v>G</v>
        <stp/>
        <stp>AX</stp>
        <stp>./6EU5C1.145</stp>
        <tr r="I46" s="12"/>
      </tp>
      <tp t="s">
        <v>G</v>
        <stp/>
        <stp>AX</stp>
        <stp>./6EZ5C1.145</stp>
        <tr r="I56" s="12"/>
      </tp>
      <tp t="s">
        <v>G</v>
        <stp/>
        <stp>AX</stp>
        <stp>./6EG5C1.155</stp>
        <tr r="I9" s="12"/>
      </tp>
      <tp t="s">
        <v>G</v>
        <stp/>
        <stp>AX</stp>
        <stp>./6EM5C1.155</stp>
        <tr r="I39" s="12"/>
      </tp>
      <tp t="s">
        <v>G</v>
        <stp/>
        <stp>AX</stp>
        <stp>./6EH5C1.155</stp>
        <tr r="I19" s="12"/>
      </tp>
      <tp t="s">
        <v>G</v>
        <stp/>
        <stp>AX</stp>
        <stp>./6EJ5C1.155</stp>
        <tr r="I29" s="12"/>
      </tp>
      <tp t="s">
        <v>G</v>
        <stp/>
        <stp>AX</stp>
        <stp>./6EU5C1.155</stp>
        <tr r="I48" s="12"/>
      </tp>
      <tp t="s">
        <v>G</v>
        <stp/>
        <stp>AX</stp>
        <stp>./6EZ5C1.155</stp>
        <tr r="I58" s="12"/>
      </tp>
      <tp t="s">
        <v>G</v>
        <stp/>
        <stp>AX</stp>
        <stp>./6EG5P1.155</stp>
        <tr r="O9" s="12"/>
      </tp>
      <tp t="s">
        <v>G</v>
        <stp/>
        <stp>AX</stp>
        <stp>./6EM5P1.155</stp>
        <tr r="O39" s="12"/>
      </tp>
      <tp t="s">
        <v>G</v>
        <stp/>
        <stp>AX</stp>
        <stp>./6EH5P1.155</stp>
        <tr r="O19" s="12"/>
      </tp>
      <tp t="s">
        <v>G</v>
        <stp/>
        <stp>AX</stp>
        <stp>./6EJ5P1.155</stp>
        <tr r="O29" s="12"/>
      </tp>
      <tp t="s">
        <v>G</v>
        <stp/>
        <stp>AX</stp>
        <stp>./6EU5P1.155</stp>
        <tr r="O48" s="12"/>
      </tp>
      <tp t="s">
        <v>G</v>
        <stp/>
        <stp>AX</stp>
        <stp>./6EZ5P1.155</stp>
        <tr r="O58" s="12"/>
      </tp>
      <tp t="s">
        <v>G</v>
        <stp/>
        <stp>AX</stp>
        <stp>./6EG5P1.145</stp>
        <tr r="O7" s="12"/>
      </tp>
      <tp t="s">
        <v>G</v>
        <stp/>
        <stp>AX</stp>
        <stp>./6EM5P1.145</stp>
        <tr r="O37" s="12"/>
      </tp>
      <tp t="s">
        <v>G</v>
        <stp/>
        <stp>AX</stp>
        <stp>./6EH5P1.145</stp>
        <tr r="O17" s="12"/>
      </tp>
      <tp t="s">
        <v>G</v>
        <stp/>
        <stp>AX</stp>
        <stp>./6EJ5P1.145</stp>
        <tr r="O27" s="12"/>
      </tp>
      <tp t="s">
        <v>G</v>
        <stp/>
        <stp>AX</stp>
        <stp>./6EU5P1.145</stp>
        <tr r="O46" s="12"/>
      </tp>
      <tp t="s">
        <v>G</v>
        <stp/>
        <stp>AX</stp>
        <stp>./6EZ5P1.145</stp>
        <tr r="O56" s="12"/>
      </tp>
      <tp t="s">
        <v>G</v>
        <stp/>
        <stp>AX</stp>
        <stp>./6EG5P1.175</stp>
        <tr r="O13" s="12"/>
      </tp>
      <tp t="s">
        <v>G</v>
        <stp/>
        <stp>AX</stp>
        <stp>./6EM5P1.175</stp>
        <tr r="O43" s="12"/>
      </tp>
      <tp t="s">
        <v>G</v>
        <stp/>
        <stp>AX</stp>
        <stp>./6EH5P1.175</stp>
        <tr r="O23" s="12"/>
      </tp>
      <tp t="s">
        <v>G</v>
        <stp/>
        <stp>AX</stp>
        <stp>./6EJ5P1.175</stp>
        <tr r="O33" s="12"/>
      </tp>
      <tp t="s">
        <v>G</v>
        <stp/>
        <stp>AX</stp>
        <stp>./6EU5P1.175</stp>
        <tr r="O52" s="12"/>
      </tp>
      <tp t="s">
        <v>G</v>
        <stp/>
        <stp>AX</stp>
        <stp>./6EZ5P1.175</stp>
        <tr r="O62" s="12"/>
      </tp>
      <tp t="s">
        <v>G</v>
        <stp/>
        <stp>AX</stp>
        <stp>./6EG5P1.165</stp>
        <tr r="O11" s="12"/>
      </tp>
      <tp t="s">
        <v>G</v>
        <stp/>
        <stp>AX</stp>
        <stp>./6EM5P1.165</stp>
        <tr r="O41" s="12"/>
      </tp>
      <tp t="s">
        <v>G</v>
        <stp/>
        <stp>AX</stp>
        <stp>./6EH5P1.165</stp>
        <tr r="O21" s="12"/>
      </tp>
      <tp t="s">
        <v>G</v>
        <stp/>
        <stp>AX</stp>
        <stp>./6EJ5P1.165</stp>
        <tr r="O31" s="12"/>
      </tp>
      <tp t="s">
        <v>G</v>
        <stp/>
        <stp>AX</stp>
        <stp>./6EU5P1.165</stp>
        <tr r="O50" s="12"/>
      </tp>
      <tp t="s">
        <v>G</v>
        <stp/>
        <stp>AX</stp>
        <stp>./6EZ5P1.165</stp>
        <tr r="O60" s="12"/>
      </tp>
      <tp t="s">
        <v>G</v>
        <stp/>
        <stp>BX</stp>
        <stp>./6EG5C1.165</stp>
        <tr r="G11" s="12"/>
      </tp>
      <tp t="s">
        <v>G</v>
        <stp/>
        <stp>BX</stp>
        <stp>./6EM5C1.165</stp>
        <tr r="G41" s="12"/>
      </tp>
      <tp t="s">
        <v>G</v>
        <stp/>
        <stp>BX</stp>
        <stp>./6EH5C1.165</stp>
        <tr r="G21" s="12"/>
      </tp>
      <tp t="s">
        <v>G</v>
        <stp/>
        <stp>BX</stp>
        <stp>./6EJ5C1.165</stp>
        <tr r="G31" s="12"/>
      </tp>
      <tp t="s">
        <v>G</v>
        <stp/>
        <stp>BX</stp>
        <stp>./6EU5C1.165</stp>
        <tr r="G50" s="12"/>
      </tp>
      <tp t="s">
        <v>G</v>
        <stp/>
        <stp>BX</stp>
        <stp>./6EZ5C1.165</stp>
        <tr r="G60" s="12"/>
      </tp>
      <tp t="s">
        <v>G</v>
        <stp/>
        <stp>BX</stp>
        <stp>./6EG5C1.175</stp>
        <tr r="G13" s="12"/>
      </tp>
      <tp t="s">
        <v>G</v>
        <stp/>
        <stp>BX</stp>
        <stp>./6EM5C1.175</stp>
        <tr r="G43" s="12"/>
      </tp>
      <tp t="s">
        <v>G</v>
        <stp/>
        <stp>BX</stp>
        <stp>./6EH5C1.175</stp>
        <tr r="G23" s="12"/>
      </tp>
      <tp t="s">
        <v>G</v>
        <stp/>
        <stp>BX</stp>
        <stp>./6EJ5C1.175</stp>
        <tr r="G33" s="12"/>
      </tp>
      <tp t="s">
        <v>G</v>
        <stp/>
        <stp>BX</stp>
        <stp>./6EU5C1.175</stp>
        <tr r="G52" s="12"/>
      </tp>
      <tp t="s">
        <v>G</v>
        <stp/>
        <stp>BX</stp>
        <stp>./6EZ5C1.175</stp>
        <tr r="G62" s="12"/>
      </tp>
      <tp t="s">
        <v>G</v>
        <stp/>
        <stp>BX</stp>
        <stp>./6EG5C1.145</stp>
        <tr r="G7" s="12"/>
      </tp>
      <tp t="s">
        <v>G</v>
        <stp/>
        <stp>BX</stp>
        <stp>./6EM5C1.145</stp>
        <tr r="G37" s="12"/>
      </tp>
      <tp t="s">
        <v>G</v>
        <stp/>
        <stp>BX</stp>
        <stp>./6EH5C1.145</stp>
        <tr r="G17" s="12"/>
      </tp>
      <tp t="s">
        <v>G</v>
        <stp/>
        <stp>BX</stp>
        <stp>./6EJ5C1.145</stp>
        <tr r="G27" s="12"/>
      </tp>
      <tp t="s">
        <v>G</v>
        <stp/>
        <stp>BX</stp>
        <stp>./6EU5C1.145</stp>
        <tr r="G46" s="12"/>
      </tp>
      <tp t="s">
        <v>G</v>
        <stp/>
        <stp>BX</stp>
        <stp>./6EZ5C1.145</stp>
        <tr r="G56" s="12"/>
      </tp>
      <tp t="s">
        <v>G</v>
        <stp/>
        <stp>BX</stp>
        <stp>./6EG5C1.155</stp>
        <tr r="G9" s="12"/>
      </tp>
      <tp t="s">
        <v>G</v>
        <stp/>
        <stp>BX</stp>
        <stp>./6EM5C1.155</stp>
        <tr r="G39" s="12"/>
      </tp>
      <tp t="s">
        <v>G</v>
        <stp/>
        <stp>BX</stp>
        <stp>./6EH5C1.155</stp>
        <tr r="G19" s="12"/>
      </tp>
      <tp t="s">
        <v>G</v>
        <stp/>
        <stp>BX</stp>
        <stp>./6EJ5C1.155</stp>
        <tr r="G29" s="12"/>
      </tp>
      <tp t="s">
        <v>G</v>
        <stp/>
        <stp>BX</stp>
        <stp>./6EU5C1.155</stp>
        <tr r="G48" s="12"/>
      </tp>
      <tp t="s">
        <v>G</v>
        <stp/>
        <stp>BX</stp>
        <stp>./6EZ5C1.155</stp>
        <tr r="G58" s="12"/>
      </tp>
      <tp t="s">
        <v>G</v>
        <stp/>
        <stp>BX</stp>
        <stp>./6EG5P1.155</stp>
        <tr r="M9" s="12"/>
      </tp>
      <tp t="s">
        <v>G</v>
        <stp/>
        <stp>BX</stp>
        <stp>./6EM5P1.155</stp>
        <tr r="M39" s="12"/>
      </tp>
      <tp t="s">
        <v>G</v>
        <stp/>
        <stp>BX</stp>
        <stp>./6EH5P1.155</stp>
        <tr r="M19" s="12"/>
      </tp>
      <tp t="s">
        <v>G</v>
        <stp/>
        <stp>BX</stp>
        <stp>./6EJ5P1.155</stp>
        <tr r="M29" s="12"/>
      </tp>
      <tp t="s">
        <v>G</v>
        <stp/>
        <stp>BX</stp>
        <stp>./6EU5P1.155</stp>
        <tr r="M48" s="12"/>
      </tp>
      <tp t="s">
        <v>G</v>
        <stp/>
        <stp>BX</stp>
        <stp>./6EZ5P1.155</stp>
        <tr r="M58" s="12"/>
      </tp>
      <tp t="s">
        <v>G</v>
        <stp/>
        <stp>BX</stp>
        <stp>./6EG5P1.145</stp>
        <tr r="M7" s="12"/>
      </tp>
      <tp t="s">
        <v>G</v>
        <stp/>
        <stp>BX</stp>
        <stp>./6EM5P1.145</stp>
        <tr r="M37" s="12"/>
      </tp>
      <tp t="s">
        <v>G</v>
        <stp/>
        <stp>BX</stp>
        <stp>./6EH5P1.145</stp>
        <tr r="M17" s="12"/>
      </tp>
      <tp t="s">
        <v>G</v>
        <stp/>
        <stp>BX</stp>
        <stp>./6EJ5P1.145</stp>
        <tr r="M27" s="12"/>
      </tp>
      <tp t="s">
        <v>G</v>
        <stp/>
        <stp>BX</stp>
        <stp>./6EU5P1.145</stp>
        <tr r="M46" s="12"/>
      </tp>
      <tp t="s">
        <v>G</v>
        <stp/>
        <stp>BX</stp>
        <stp>./6EZ5P1.145</stp>
        <tr r="M56" s="12"/>
      </tp>
      <tp t="s">
        <v>G</v>
        <stp/>
        <stp>BX</stp>
        <stp>./6EG5P1.175</stp>
        <tr r="M13" s="12"/>
      </tp>
      <tp t="s">
        <v>G</v>
        <stp/>
        <stp>BX</stp>
        <stp>./6EM5P1.175</stp>
        <tr r="M43" s="12"/>
      </tp>
      <tp t="s">
        <v>G</v>
        <stp/>
        <stp>BX</stp>
        <stp>./6EH5P1.175</stp>
        <tr r="M23" s="12"/>
      </tp>
      <tp t="s">
        <v>G</v>
        <stp/>
        <stp>BX</stp>
        <stp>./6EJ5P1.175</stp>
        <tr r="M33" s="12"/>
      </tp>
      <tp t="s">
        <v>G</v>
        <stp/>
        <stp>BX</stp>
        <stp>./6EU5P1.175</stp>
        <tr r="M52" s="12"/>
      </tp>
      <tp t="s">
        <v>G</v>
        <stp/>
        <stp>BX</stp>
        <stp>./6EZ5P1.175</stp>
        <tr r="M62" s="12"/>
      </tp>
      <tp t="s">
        <v>G</v>
        <stp/>
        <stp>BX</stp>
        <stp>./6EG5P1.165</stp>
        <tr r="M11" s="12"/>
      </tp>
      <tp t="s">
        <v>G</v>
        <stp/>
        <stp>BX</stp>
        <stp>./6EM5P1.165</stp>
        <tr r="M41" s="12"/>
      </tp>
      <tp t="s">
        <v>G</v>
        <stp/>
        <stp>BX</stp>
        <stp>./6EH5P1.165</stp>
        <tr r="M21" s="12"/>
      </tp>
      <tp t="s">
        <v>G</v>
        <stp/>
        <stp>BX</stp>
        <stp>./6EJ5P1.165</stp>
        <tr r="M31" s="12"/>
      </tp>
      <tp t="s">
        <v>G</v>
        <stp/>
        <stp>BX</stp>
        <stp>./6EU5P1.165</stp>
        <tr r="M50" s="12"/>
      </tp>
      <tp t="s">
        <v>G</v>
        <stp/>
        <stp>BX</stp>
        <stp>./6EZ5P1.165</stp>
        <tr r="M60" s="12"/>
      </tp>
      <tp>
        <v>5.4600000000000003E-2</v>
        <stp/>
        <stp>BID</stp>
        <stp>./6EZ5C1.145</stp>
        <tr r="F56" s="12"/>
      </tp>
      <tp>
        <v>4.4600000000000001E-2</v>
        <stp/>
        <stp>BID</stp>
        <stp>./6EU5C1.145</stp>
        <tr r="F46" s="12"/>
      </tp>
      <tp>
        <v>2.8500000000000001E-2</v>
        <stp/>
        <stp>BID</stp>
        <stp>./6EH5C1.145</stp>
        <tr r="F17" s="12"/>
      </tp>
      <tp>
        <v>3.3099999999999997E-2</v>
        <stp/>
        <stp>BID</stp>
        <stp>./6EJ5C1.145</stp>
        <tr r="F27" s="12"/>
      </tp>
      <tp>
        <v>4.0300000000000002E-2</v>
        <stp/>
        <stp>BID</stp>
        <stp>./6EM5C1.145</stp>
        <tr r="F37" s="12"/>
      </tp>
      <tp>
        <v>2.3199999999999998E-2</v>
        <stp/>
        <stp>BID</stp>
        <stp>./6EG5C1.145</stp>
        <tr r="F7" s="12"/>
      </tp>
      <tp>
        <v>4.9200000000000001E-2</v>
        <stp/>
        <stp>BID</stp>
        <stp>./6EZ5C1.155</stp>
        <tr r="F58" s="12"/>
      </tp>
      <tp>
        <v>4.1200000000000001E-2</v>
        <stp/>
        <stp>BID</stp>
        <stp>./6EU5C1.155</stp>
        <tr r="F48" s="12"/>
      </tp>
      <tp>
        <v>2.2599999999999999E-2</v>
        <stp/>
        <stp>BID</stp>
        <stp>./6EH5C1.155</stp>
        <tr r="F19" s="12"/>
      </tp>
      <tp>
        <v>2.7099999999999999E-2</v>
        <stp/>
        <stp>BID</stp>
        <stp>./6EJ5C1.155</stp>
        <tr r="F29" s="12"/>
      </tp>
      <tp>
        <v>3.44E-2</v>
        <stp/>
        <stp>BID</stp>
        <stp>./6EM5C1.155</stp>
        <tr r="F39" s="12"/>
      </tp>
      <tp>
        <v>1.72E-2</v>
        <stp/>
        <stp>BID</stp>
        <stp>./6EG5C1.155</stp>
        <tr r="F9" s="12"/>
      </tp>
      <tp>
        <v>4.3700000000000003E-2</v>
        <stp/>
        <stp>BID</stp>
        <stp>./6EZ5C1.165</stp>
        <tr r="F60" s="12"/>
      </tp>
      <tp>
        <v>3.5799999999999998E-2</v>
        <stp/>
        <stp>BID</stp>
        <stp>./6EU5C1.165</stp>
        <tr r="F50" s="12"/>
      </tp>
      <tp>
        <v>4.4000000000000003E-3</v>
        <stp/>
        <stp>BID</stp>
        <stp>./6EH5C1.165</stp>
        <tr r="F21" s="12"/>
      </tp>
      <tp>
        <v>2.1700000000000001E-2</v>
        <stp/>
        <stp>BID</stp>
        <stp>./6EJ5C1.165</stp>
        <tr r="F31" s="12"/>
      </tp>
      <tp>
        <v>2.9000000000000001E-2</v>
        <stp/>
        <stp>BID</stp>
        <stp>./6EM5C1.165</stp>
        <tr r="F41" s="12"/>
      </tp>
      <tp>
        <v>1.2200000000000001E-2</v>
        <stp/>
        <stp>BID</stp>
        <stp>./6EG5C1.165</stp>
        <tr r="F11" s="12"/>
      </tp>
      <tp>
        <v>3.8699999999999998E-2</v>
        <stp/>
        <stp>BID</stp>
        <stp>./6EZ5C1.175</stp>
        <tr r="F62" s="12"/>
      </tp>
      <tp>
        <v>3.0800000000000001E-2</v>
        <stp/>
        <stp>BID</stp>
        <stp>./6EU5C1.175</stp>
        <tr r="F52" s="12"/>
      </tp>
      <tp>
        <v>1.3100000000000001E-2</v>
        <stp/>
        <stp>BID</stp>
        <stp>./6EH5C1.175</stp>
        <tr r="F23" s="12"/>
      </tp>
      <tp>
        <v>1.7100000000000001E-2</v>
        <stp/>
        <stp>BID</stp>
        <stp>./6EJ5C1.175</stp>
        <tr r="F33" s="12"/>
      </tp>
      <tp>
        <v>2.4199999999999999E-2</v>
        <stp/>
        <stp>BID</stp>
        <stp>./6EM5C1.175</stp>
        <tr r="F43" s="12"/>
      </tp>
      <tp>
        <v>8.3000000000000001E-3</v>
        <stp/>
        <stp>BID</stp>
        <stp>./6EG5C1.175</stp>
        <tr r="F13" s="12"/>
      </tp>
      <tp>
        <v>5.0700000000000002E-2</v>
        <stp/>
        <stp>BID</stp>
        <stp>./6EZ5P1.175</stp>
        <tr r="L62" s="12"/>
      </tp>
      <tp>
        <v>4.4900000000000002E-2</v>
        <stp/>
        <stp>BID</stp>
        <stp>./6EU5P1.175</stp>
        <tr r="L52" s="12"/>
      </tp>
      <tp>
        <v>3.0599999999999999E-2</v>
        <stp/>
        <stp>BID</stp>
        <stp>./6EH5P1.175</stp>
        <tr r="L23" s="12"/>
      </tp>
      <tp>
        <v>3.3300000000000003E-2</v>
        <stp/>
        <stp>BID</stp>
        <stp>./6EJ5P1.175</stp>
        <tr r="L33" s="12"/>
      </tp>
      <tp>
        <v>4.0500000000000001E-2</v>
        <stp/>
        <stp>BID</stp>
        <stp>./6EM5P1.175</stp>
        <tr r="L43" s="12"/>
      </tp>
      <tp>
        <v>2.58E-2</v>
        <stp/>
        <stp>BID</stp>
        <stp>./6EG5P1.175</stp>
        <tr r="L13" s="12"/>
      </tp>
      <tp>
        <v>4.65E-2</v>
        <stp/>
        <stp>BID</stp>
        <stp>./6EZ5P1.165</stp>
        <tr r="L60" s="12"/>
      </tp>
      <tp>
        <v>4.0099999999999997E-2</v>
        <stp/>
        <stp>BID</stp>
        <stp>./6EU5P1.165</stp>
        <tr r="L50" s="12"/>
      </tp>
      <tp>
        <v>2.5100000000000001E-2</v>
        <stp/>
        <stp>BID</stp>
        <stp>./6EH5P1.165</stp>
        <tr r="L21" s="12"/>
      </tp>
      <tp>
        <v>2.81E-2</v>
        <stp/>
        <stp>BID</stp>
        <stp>./6EJ5P1.165</stp>
        <tr r="L31" s="12"/>
      </tp>
      <tp>
        <v>3.5400000000000001E-2</v>
        <stp/>
        <stp>BID</stp>
        <stp>./6EM5P1.165</stp>
        <tr r="L41" s="12"/>
      </tp>
      <tp>
        <v>1.9800000000000002E-2</v>
        <stp/>
        <stp>BID</stp>
        <stp>./6EG5P1.165</stp>
        <tr r="L11" s="12"/>
      </tp>
      <tp>
        <v>4.2000000000000003E-2</v>
        <stp/>
        <stp>BID</stp>
        <stp>./6EZ5P1.155</stp>
        <tr r="L58" s="12"/>
      </tp>
      <tp>
        <v>3.5700000000000003E-2</v>
        <stp/>
        <stp>BID</stp>
        <stp>./6EU5P1.155</stp>
        <tr r="L48" s="12"/>
      </tp>
      <tp>
        <v>2.0400000000000001E-2</v>
        <stp/>
        <stp>BID</stp>
        <stp>./6EH5P1.155</stp>
        <tr r="L19" s="12"/>
      </tp>
      <tp>
        <v>2.35E-2</v>
        <stp/>
        <stp>BID</stp>
        <stp>./6EJ5P1.155</stp>
        <tr r="L29" s="12"/>
      </tp>
      <tp>
        <v>3.0800000000000001E-2</v>
        <stp/>
        <stp>BID</stp>
        <stp>./6EM5P1.155</stp>
        <tr r="L39" s="12"/>
      </tp>
      <tp>
        <v>1.4999999999999999E-2</v>
        <stp/>
        <stp>BID</stp>
        <stp>./6EG5P1.155</stp>
        <tr r="L9" s="12"/>
      </tp>
      <tp>
        <v>3.7900000000000003E-2</v>
        <stp/>
        <stp>BID</stp>
        <stp>./6EZ5P1.145</stp>
        <tr r="L56" s="12"/>
      </tp>
      <tp>
        <v>3.1699999999999999E-2</v>
        <stp/>
        <stp>BID</stp>
        <stp>./6EU5P1.145</stp>
        <tr r="L46" s="12"/>
      </tp>
      <tp>
        <v>5.1999999999999998E-3</v>
        <stp/>
        <stp>BID</stp>
        <stp>./6EH5P1.145</stp>
        <tr r="L17" s="12"/>
      </tp>
      <tp>
        <v>1.9599999999999999E-2</v>
        <stp/>
        <stp>BID</stp>
        <stp>./6EJ5P1.145</stp>
        <tr r="L27" s="12"/>
      </tp>
      <tp>
        <v>2.6700000000000002E-2</v>
        <stp/>
        <stp>BID</stp>
        <stp>./6EM5P1.145</stp>
        <tr r="L37" s="12"/>
      </tp>
      <tp>
        <v>1.0999999999999999E-2</v>
        <stp/>
        <stp>BID</stp>
        <stp>./6EG5P1.145</stp>
        <tr r="L7" s="12"/>
      </tp>
      <tp>
        <v>-0.16</v>
        <stp/>
        <stp>DELTA</stp>
        <stp>./6EG5P1.145</stp>
        <tr r="R7" s="12"/>
      </tp>
      <tp>
        <v>-0.36</v>
        <stp/>
        <stp>DELTA</stp>
        <stp>./6EM5P1.145</stp>
        <tr r="R37" s="12"/>
      </tp>
      <tp>
        <v>-0.28999999999999998</v>
        <stp/>
        <stp>DELTA</stp>
        <stp>./6EH5P1.145</stp>
        <tr r="R17" s="12"/>
      </tp>
      <tp>
        <v>-0.28999999999999998</v>
        <stp/>
        <stp>DELTA</stp>
        <stp>./6EJ5P1.145</stp>
        <tr r="R27" s="12"/>
      </tp>
      <tp>
        <v>-0.4</v>
        <stp/>
        <stp>DELTA</stp>
        <stp>./6EU5P1.145</stp>
        <tr r="R46" s="12"/>
      </tp>
      <tp>
        <v>-0.37</v>
        <stp/>
        <stp>DELTA</stp>
        <stp>./6EZ5P1.145</stp>
        <tr r="R56" s="12"/>
      </tp>
      <tp>
        <v>-0.36</v>
        <stp/>
        <stp>DELTA</stp>
        <stp>./6EG5P1.155</stp>
        <tr r="R9" s="12"/>
      </tp>
      <tp>
        <v>-0.42</v>
        <stp/>
        <stp>DELTA</stp>
        <stp>./6EM5P1.155</stp>
        <tr r="R39" s="12"/>
      </tp>
      <tp>
        <v>-0.42</v>
        <stp/>
        <stp>DELTA</stp>
        <stp>./6EH5P1.155</stp>
        <tr r="R19" s="12"/>
      </tp>
      <tp>
        <v>-0.38</v>
        <stp/>
        <stp>DELTA</stp>
        <stp>./6EJ5P1.155</stp>
        <tr r="R29" s="12"/>
      </tp>
      <tp>
        <v>-0.44</v>
        <stp/>
        <stp>DELTA</stp>
        <stp>./6EU5P1.155</stp>
        <tr r="R48" s="12"/>
      </tp>
      <tp>
        <v>-0.42</v>
        <stp/>
        <stp>DELTA</stp>
        <stp>./6EZ5P1.155</stp>
        <tr r="R58" s="12"/>
      </tp>
      <tp>
        <v>-0.53</v>
        <stp/>
        <stp>DELTA</stp>
        <stp>./6EG5P1.165</stp>
        <tr r="R11" s="12"/>
      </tp>
      <tp>
        <v>-0.49</v>
        <stp/>
        <stp>DELTA</stp>
        <stp>./6EM5P1.165</stp>
        <tr r="R41" s="12"/>
      </tp>
      <tp>
        <v>-0.51</v>
        <stp/>
        <stp>DELTA</stp>
        <stp>./6EH5P1.165</stp>
        <tr r="R21" s="12"/>
      </tp>
      <tp>
        <v>-0.51</v>
        <stp/>
        <stp>DELTA</stp>
        <stp>./6EJ5P1.165</stp>
        <tr r="R31" s="12"/>
      </tp>
      <tp>
        <v>-0.47</v>
        <stp/>
        <stp>DELTA</stp>
        <stp>./6EU5P1.165</stp>
        <tr r="R50" s="12"/>
      </tp>
      <tp>
        <v>-0.46</v>
        <stp/>
        <stp>DELTA</stp>
        <stp>./6EZ5P1.165</stp>
        <tr r="R60" s="12"/>
      </tp>
      <tp>
        <v>-0.61</v>
        <stp/>
        <stp>DELTA</stp>
        <stp>./6EG5P1.175</stp>
        <tr r="R13" s="12"/>
      </tp>
      <tp>
        <v>-0.55000000000000004</v>
        <stp/>
        <stp>DELTA</stp>
        <stp>./6EM5P1.175</stp>
        <tr r="R43" s="12"/>
      </tp>
      <tp>
        <v>-0.56999999999999995</v>
        <stp/>
        <stp>DELTA</stp>
        <stp>./6EH5P1.175</stp>
        <tr r="R23" s="12"/>
      </tp>
      <tp>
        <v>-0.59</v>
        <stp/>
        <stp>DELTA</stp>
        <stp>./6EJ5P1.175</stp>
        <tr r="R33" s="12"/>
      </tp>
      <tp>
        <v>-0.51</v>
        <stp/>
        <stp>DELTA</stp>
        <stp>./6EU5P1.175</stp>
        <tr r="R52" s="12"/>
      </tp>
      <tp>
        <v>-0.49</v>
        <stp/>
        <stp>DELTA</stp>
        <stp>./6EZ5P1.175</stp>
        <tr r="R62" s="12"/>
      </tp>
      <tp>
        <v>0.33</v>
        <stp/>
        <stp>DELTA</stp>
        <stp>./6EG5C1.175</stp>
        <tr r="E13" s="12"/>
      </tp>
      <tp>
        <v>0.39</v>
        <stp/>
        <stp>DELTA</stp>
        <stp>./6EM5C1.175</stp>
        <tr r="E43" s="12"/>
      </tp>
      <tp>
        <v>0.34</v>
        <stp/>
        <stp>DELTA</stp>
        <stp>./6EH5C1.175</stp>
        <tr r="E23" s="12"/>
      </tp>
      <tp>
        <v>0.15</v>
        <stp/>
        <stp>DELTA</stp>
        <stp>./6EJ5C1.175</stp>
        <tr r="E33" s="12"/>
      </tp>
      <tp>
        <v>0.37</v>
        <stp/>
        <stp>DELTA</stp>
        <stp>./6EU5C1.175</stp>
        <tr r="E52" s="12"/>
      </tp>
      <tp>
        <v>0.49</v>
        <stp/>
        <stp>DELTA</stp>
        <stp>./6EZ5C1.175</stp>
        <tr r="E62" s="12"/>
      </tp>
      <tp>
        <v>0.42</v>
        <stp/>
        <stp>DELTA</stp>
        <stp>./6EG5C1.165</stp>
        <tr r="E11" s="12"/>
      </tp>
      <tp>
        <v>0.46</v>
        <stp/>
        <stp>DELTA</stp>
        <stp>./6EM5C1.165</stp>
        <tr r="E41" s="12"/>
      </tp>
      <tp>
        <v>0.42</v>
        <stp/>
        <stp>DELTA</stp>
        <stp>./6EH5C1.165</stp>
        <tr r="E21" s="12"/>
      </tp>
      <tp>
        <v>0.26</v>
        <stp/>
        <stp>DELTA</stp>
        <stp>./6EJ5C1.165</stp>
        <tr r="E31" s="12"/>
      </tp>
      <tp>
        <v>0.47</v>
        <stp/>
        <stp>DELTA</stp>
        <stp>./6EU5C1.165</stp>
        <tr r="E50" s="12"/>
      </tp>
      <tp>
        <v>0.53</v>
        <stp/>
        <stp>DELTA</stp>
        <stp>./6EZ5C1.165</stp>
        <tr r="E60" s="12"/>
      </tp>
      <tp>
        <v>0.54</v>
        <stp/>
        <stp>DELTA</stp>
        <stp>./6EG5C1.155</stp>
        <tr r="E9" s="12"/>
      </tp>
      <tp>
        <v>0.56000000000000005</v>
        <stp/>
        <stp>DELTA</stp>
        <stp>./6EM5C1.155</stp>
        <tr r="E39" s="12"/>
      </tp>
      <tp>
        <v>0.54</v>
        <stp/>
        <stp>DELTA</stp>
        <stp>./6EH5C1.155</stp>
        <tr r="E19" s="12"/>
      </tp>
      <tp>
        <v>0.82</v>
        <stp/>
        <stp>DELTA</stp>
        <stp>./6EJ5C1.155</stp>
        <tr r="E29" s="12"/>
      </tp>
      <tp>
        <v>0.72</v>
        <stp/>
        <stp>DELTA</stp>
        <stp>./6EU5C1.155</stp>
        <tr r="E48" s="12"/>
      </tp>
      <tp>
        <v>0.56000000000000005</v>
        <stp/>
        <stp>DELTA</stp>
        <stp>./6EZ5C1.155</stp>
        <tr r="E58" s="12"/>
      </tp>
      <tp>
        <v>0.66</v>
        <stp/>
        <stp>DELTA</stp>
        <stp>./6EG5C1.145</stp>
        <tr r="E7" s="12"/>
      </tp>
      <tp>
        <v>0.67</v>
        <stp/>
        <stp>DELTA</stp>
        <stp>./6EM5C1.145</stp>
        <tr r="E37" s="12"/>
      </tp>
      <tp>
        <v>0.66</v>
        <stp/>
        <stp>DELTA</stp>
        <stp>./6EH5C1.145</stp>
        <tr r="E17" s="12"/>
      </tp>
      <tp>
        <v>1</v>
        <stp/>
        <stp>DELTA</stp>
        <stp>./6EJ5C1.145</stp>
        <tr r="E27" s="12"/>
      </tp>
      <tp>
        <v>1</v>
        <stp/>
        <stp>DELTA</stp>
        <stp>./6EU5C1.145</stp>
        <tr r="E46" s="12"/>
      </tp>
      <tp>
        <v>0.59</v>
        <stp/>
        <stp>DELTA</stp>
        <stp>./6EZ5C1.145</stp>
        <tr r="E56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034999584327984E-2"/>
          <c:y val="1.7012833032991719E-2"/>
          <c:w val="0.93239854633555419"/>
          <c:h val="0.92538432695913009"/>
        </c:manualLayout>
      </c:layout>
      <c:surface3DChart>
        <c:wireframe val="0"/>
        <c:ser>
          <c:idx val="0"/>
          <c:order val="0"/>
          <c:tx>
            <c:strRef>
              <c:f>'delta time'!$K$2</c:f>
              <c:strCache>
                <c:ptCount val="1"/>
                <c:pt idx="0">
                  <c:v>37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time'!$K$3:$K$55</c:f>
              <c:numCache>
                <c:formatCode>General</c:formatCode>
                <c:ptCount val="53"/>
                <c:pt idx="0">
                  <c:v>0</c:v>
                </c:pt>
                <c:pt idx="1">
                  <c:v>9.6542501502802432E-6</c:v>
                </c:pt>
                <c:pt idx="2">
                  <c:v>1.3373249079510767E-3</c:v>
                </c:pt>
                <c:pt idx="3">
                  <c:v>7.4943237210443334E-3</c:v>
                </c:pt>
                <c:pt idx="4">
                  <c:v>1.8342657388799994E-2</c:v>
                </c:pt>
                <c:pt idx="5">
                  <c:v>3.1961523869074672E-2</c:v>
                </c:pt>
                <c:pt idx="6">
                  <c:v>4.6813281615189488E-2</c:v>
                </c:pt>
                <c:pt idx="7">
                  <c:v>6.1963680420978627E-2</c:v>
                </c:pt>
                <c:pt idx="8">
                  <c:v>7.6895951153069145E-2</c:v>
                </c:pt>
                <c:pt idx="9">
                  <c:v>9.1342021999934325E-2</c:v>
                </c:pt>
                <c:pt idx="10">
                  <c:v>0.10517553337311276</c:v>
                </c:pt>
                <c:pt idx="11">
                  <c:v>0.11834944589918429</c:v>
                </c:pt>
                <c:pt idx="12">
                  <c:v>0.13086041132464751</c:v>
                </c:pt>
                <c:pt idx="13">
                  <c:v>0.1427284722908283</c:v>
                </c:pt>
                <c:pt idx="14">
                  <c:v>0.15398547265111934</c:v>
                </c:pt>
                <c:pt idx="15">
                  <c:v>0.16466844313868037</c:v>
                </c:pt>
                <c:pt idx="16">
                  <c:v>0.17481585436576261</c:v>
                </c:pt>
                <c:pt idx="17">
                  <c:v>0.18446553641568308</c:v>
                </c:pt>
                <c:pt idx="18">
                  <c:v>0.1936535727031852</c:v>
                </c:pt>
                <c:pt idx="19">
                  <c:v>0.20241376401264333</c:v>
                </c:pt>
                <c:pt idx="20">
                  <c:v>0.21077742430788979</c:v>
                </c:pt>
                <c:pt idx="21">
                  <c:v>0.21877336648581189</c:v>
                </c:pt>
                <c:pt idx="22">
                  <c:v>0.22642799327808569</c:v>
                </c:pt>
                <c:pt idx="23">
                  <c:v>0.23376544257021814</c:v>
                </c:pt>
                <c:pt idx="24">
                  <c:v>0.24080775694433953</c:v>
                </c:pt>
                <c:pt idx="25">
                  <c:v>0.24757505971889188</c:v>
                </c:pt>
                <c:pt idx="26">
                  <c:v>0.25408572735514107</c:v>
                </c:pt>
                <c:pt idx="27">
                  <c:v>0.26035655273014446</c:v>
                </c:pt>
                <c:pt idx="28">
                  <c:v>0.26640289658377098</c:v>
                </c:pt>
                <c:pt idx="29">
                  <c:v>0.27223882613065814</c:v>
                </c:pt>
                <c:pt idx="30">
                  <c:v>0.2778772408149312</c:v>
                </c:pt>
                <c:pt idx="31">
                  <c:v>0.28332998574142509</c:v>
                </c:pt>
                <c:pt idx="32">
                  <c:v>0.28860795360745384</c:v>
                </c:pt>
                <c:pt idx="33">
                  <c:v>0.29372117608744497</c:v>
                </c:pt>
                <c:pt idx="34">
                  <c:v>0.29867890565398392</c:v>
                </c:pt>
                <c:pt idx="35">
                  <c:v>0.30348968879377902</c:v>
                </c:pt>
                <c:pt idx="36">
                  <c:v>0.30816143152120978</c:v>
                </c:pt>
                <c:pt idx="37">
                  <c:v>0.31270145802124577</c:v>
                </c:pt>
                <c:pt idx="38">
                  <c:v>0.3171165631772182</c:v>
                </c:pt>
                <c:pt idx="39">
                  <c:v>0.32141305966290779</c:v>
                </c:pt>
                <c:pt idx="40">
                  <c:v>0.32559682020591674</c:v>
                </c:pt>
                <c:pt idx="41">
                  <c:v>0.32967331556201129</c:v>
                </c:pt>
                <c:pt idx="42">
                  <c:v>0.33364764867878405</c:v>
                </c:pt>
                <c:pt idx="43">
                  <c:v>0.33752458547175385</c:v>
                </c:pt>
                <c:pt idx="44">
                  <c:v>0.34130858258669472</c:v>
                </c:pt>
                <c:pt idx="45">
                  <c:v>0.34500381247820999</c:v>
                </c:pt>
                <c:pt idx="46">
                  <c:v>0.34861418609586597</c:v>
                </c:pt>
                <c:pt idx="47">
                  <c:v>0.35214337343509045</c:v>
                </c:pt>
                <c:pt idx="48">
                  <c:v>0.35559482218003347</c:v>
                </c:pt>
                <c:pt idx="49">
                  <c:v>0.3589717746392167</c:v>
                </c:pt>
                <c:pt idx="50">
                  <c:v>0.36227728315164209</c:v>
                </c:pt>
                <c:pt idx="51">
                  <c:v>0.3655142241206964</c:v>
                </c:pt>
                <c:pt idx="52">
                  <c:v>0.36868531081533373</c:v>
                </c:pt>
              </c:numCache>
            </c:numRef>
          </c:val>
        </c:ser>
        <c:ser>
          <c:idx val="1"/>
          <c:order val="1"/>
          <c:tx>
            <c:strRef>
              <c:f>'delta time'!$L$2</c:f>
              <c:strCache>
                <c:ptCount val="1"/>
                <c:pt idx="0">
                  <c:v>37,5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time'!$L$3:$L$55</c:f>
              <c:numCache>
                <c:formatCode>General</c:formatCode>
                <c:ptCount val="53"/>
                <c:pt idx="0">
                  <c:v>8.8533264649941465E-282</c:v>
                </c:pt>
                <c:pt idx="1">
                  <c:v>2.0721654129346676E-4</c:v>
                </c:pt>
                <c:pt idx="2">
                  <c:v>6.6272601263650845E-3</c:v>
                </c:pt>
                <c:pt idx="3">
                  <c:v>2.2598013634736205E-2</c:v>
                </c:pt>
                <c:pt idx="4">
                  <c:v>4.3003060284179002E-2</c:v>
                </c:pt>
                <c:pt idx="5">
                  <c:v>6.4311858783816983E-2</c:v>
                </c:pt>
                <c:pt idx="6">
                  <c:v>8.4972077113579209E-2</c:v>
                </c:pt>
                <c:pt idx="7">
                  <c:v>0.10440573865175178</c:v>
                </c:pt>
                <c:pt idx="8">
                  <c:v>0.12246010220937673</c:v>
                </c:pt>
                <c:pt idx="9">
                  <c:v>0.13916028407886022</c:v>
                </c:pt>
                <c:pt idx="10">
                  <c:v>0.15460048438116303</c:v>
                </c:pt>
                <c:pt idx="11">
                  <c:v>0.16889619133153053</c:v>
                </c:pt>
                <c:pt idx="12">
                  <c:v>0.18216347928480145</c:v>
                </c:pt>
                <c:pt idx="13">
                  <c:v>0.1945105425494742</c:v>
                </c:pt>
                <c:pt idx="14">
                  <c:v>0.20603479569992003</c:v>
                </c:pt>
                <c:pt idx="15">
                  <c:v>0.21682247525296738</c:v>
                </c:pt>
                <c:pt idx="16">
                  <c:v>0.22694931018231493</c:v>
                </c:pt>
                <c:pt idx="17">
                  <c:v>0.23648158830370225</c:v>
                </c:pt>
                <c:pt idx="18">
                  <c:v>0.24547730648156652</c:v>
                </c:pt>
                <c:pt idx="19">
                  <c:v>0.25398726637567831</c:v>
                </c:pt>
                <c:pt idx="20">
                  <c:v>0.26205606130477543</c:v>
                </c:pt>
                <c:pt idx="21">
                  <c:v>0.26972293972469075</c:v>
                </c:pt>
                <c:pt idx="22">
                  <c:v>0.27702254905631141</c:v>
                </c:pt>
                <c:pt idx="23">
                  <c:v>0.28398557113516765</c:v>
                </c:pt>
                <c:pt idx="24">
                  <c:v>0.29063926288205022</c:v>
                </c:pt>
                <c:pt idx="25">
                  <c:v>0.29700791567953166</c:v>
                </c:pt>
                <c:pt idx="26">
                  <c:v>0.30311324577424215</c:v>
                </c:pt>
                <c:pt idx="27">
                  <c:v>0.30897472649963337</c:v>
                </c:pt>
                <c:pt idx="28">
                  <c:v>0.31460987155975306</c:v>
                </c:pt>
                <c:pt idx="29">
                  <c:v>0.32003447717849676</c:v>
                </c:pt>
                <c:pt idx="30">
                  <c:v>0.32526282965550229</c:v>
                </c:pt>
                <c:pt idx="31">
                  <c:v>0.33030788378856857</c:v>
                </c:pt>
                <c:pt idx="32">
                  <c:v>0.33518141671176155</c:v>
                </c:pt>
                <c:pt idx="33">
                  <c:v>0.33989416093857133</c:v>
                </c:pt>
                <c:pt idx="34">
                  <c:v>0.34445591976905099</c:v>
                </c:pt>
                <c:pt idx="35">
                  <c:v>0.34887566769825229</c:v>
                </c:pt>
                <c:pt idx="36">
                  <c:v>0.35316163803214623</c:v>
                </c:pt>
                <c:pt idx="37">
                  <c:v>0.35732139956085002</c:v>
                </c:pt>
                <c:pt idx="38">
                  <c:v>0.36136192384410315</c:v>
                </c:pt>
                <c:pt idx="39">
                  <c:v>0.36528964441957401</c:v>
                </c:pt>
                <c:pt idx="40">
                  <c:v>0.36911050904167364</c:v>
                </c:pt>
                <c:pt idx="41">
                  <c:v>0.37283002588968739</c:v>
                </c:pt>
                <c:pt idx="42">
                  <c:v>0.37645330454316317</c:v>
                </c:pt>
                <c:pt idx="43">
                  <c:v>0.37998509240466782</c:v>
                </c:pt>
                <c:pt idx="44">
                  <c:v>0.38342980715120623</c:v>
                </c:pt>
                <c:pt idx="45">
                  <c:v>0.38679156571250556</c:v>
                </c:pt>
                <c:pt idx="46">
                  <c:v>0.39007421020430455</c:v>
                </c:pt>
                <c:pt idx="47">
                  <c:v>0.39328133118555147</c:v>
                </c:pt>
                <c:pt idx="48">
                  <c:v>0.3964162885581945</c:v>
                </c:pt>
                <c:pt idx="49">
                  <c:v>0.39948223038556346</c:v>
                </c:pt>
                <c:pt idx="50">
                  <c:v>0.40248210986896321</c:v>
                </c:pt>
                <c:pt idx="51">
                  <c:v>0.40541870069101293</c:v>
                </c:pt>
                <c:pt idx="52">
                  <c:v>0.40829461090763952</c:v>
                </c:pt>
              </c:numCache>
            </c:numRef>
          </c:val>
        </c:ser>
        <c:ser>
          <c:idx val="2"/>
          <c:order val="2"/>
          <c:tx>
            <c:strRef>
              <c:f>'delta time'!$M$2</c:f>
              <c:strCache>
                <c:ptCount val="1"/>
                <c:pt idx="0">
                  <c:v>38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time'!$M$3:$M$55</c:f>
              <c:numCache>
                <c:formatCode>General</c:formatCode>
                <c:ptCount val="53"/>
                <c:pt idx="0">
                  <c:v>7.2346520110353505E-179</c:v>
                </c:pt>
                <c:pt idx="1">
                  <c:v>2.5668369319546106E-3</c:v>
                </c:pt>
                <c:pt idx="2">
                  <c:v>2.5124938486938472E-2</c:v>
                </c:pt>
                <c:pt idx="3">
                  <c:v>5.7203485900184696E-2</c:v>
                </c:pt>
                <c:pt idx="4">
                  <c:v>8.8606089365212262E-2</c:v>
                </c:pt>
                <c:pt idx="5">
                  <c:v>0.1168660832244906</c:v>
                </c:pt>
                <c:pt idx="6">
                  <c:v>0.14180938916621125</c:v>
                </c:pt>
                <c:pt idx="7">
                  <c:v>0.16381096350372998</c:v>
                </c:pt>
                <c:pt idx="8">
                  <c:v>0.1833218384563535</c:v>
                </c:pt>
                <c:pt idx="9">
                  <c:v>0.20074757854912395</c:v>
                </c:pt>
                <c:pt idx="10">
                  <c:v>0.21642576746594877</c:v>
                </c:pt>
                <c:pt idx="11">
                  <c:v>0.23063074687447163</c:v>
                </c:pt>
                <c:pt idx="12">
                  <c:v>0.24358436444749798</c:v>
                </c:pt>
                <c:pt idx="13">
                  <c:v>0.25546653680966469</c:v>
                </c:pt>
                <c:pt idx="14">
                  <c:v>0.26642408859972222</c:v>
                </c:pt>
                <c:pt idx="15">
                  <c:v>0.27657775342801583</c:v>
                </c:pt>
                <c:pt idx="16">
                  <c:v>0.28602760881415146</c:v>
                </c:pt>
                <c:pt idx="17">
                  <c:v>0.2948572726658612</c:v>
                </c:pt>
                <c:pt idx="18">
                  <c:v>0.30313714836445926</c:v>
                </c:pt>
                <c:pt idx="19">
                  <c:v>0.31092694649756036</c:v>
                </c:pt>
                <c:pt idx="20">
                  <c:v>0.31827765743123748</c:v>
                </c:pt>
                <c:pt idx="21">
                  <c:v>0.32523310569885727</c:v>
                </c:pt>
                <c:pt idx="22">
                  <c:v>0.33183118422354219</c:v>
                </c:pt>
                <c:pt idx="23">
                  <c:v>0.33810484179400419</c:v>
                </c:pt>
                <c:pt idx="24">
                  <c:v>0.34408287900934992</c:v>
                </c:pt>
                <c:pt idx="25">
                  <c:v>0.34979059445401972</c:v>
                </c:pt>
                <c:pt idx="26">
                  <c:v>0.35525031289556785</c:v>
                </c:pt>
                <c:pt idx="27">
                  <c:v>0.36048181987824973</c:v>
                </c:pt>
                <c:pt idx="28">
                  <c:v>0.36550272153053343</c:v>
                </c:pt>
                <c:pt idx="29">
                  <c:v>0.37032874421903905</c:v>
                </c:pt>
                <c:pt idx="30">
                  <c:v>0.37497398550612249</c:v>
                </c:pt>
                <c:pt idx="31">
                  <c:v>0.37945112544290521</c:v>
                </c:pt>
                <c:pt idx="32">
                  <c:v>0.38377160536423049</c:v>
                </c:pt>
                <c:pt idx="33">
                  <c:v>0.38794577990780754</c:v>
                </c:pt>
                <c:pt idx="34">
                  <c:v>0.39198304685429719</c:v>
                </c:pt>
                <c:pt idx="35">
                  <c:v>0.39589195850237346</c:v>
                </c:pt>
                <c:pt idx="36">
                  <c:v>0.39968031759626027</c:v>
                </c:pt>
                <c:pt idx="37">
                  <c:v>0.40335526027035373</c:v>
                </c:pt>
                <c:pt idx="38">
                  <c:v>0.40692332803419262</c:v>
                </c:pt>
                <c:pt idx="39">
                  <c:v>0.41039053046679624</c:v>
                </c:pt>
                <c:pt idx="40">
                  <c:v>0.41376240000357112</c:v>
                </c:pt>
                <c:pt idx="41">
                  <c:v>0.41704403996722095</c:v>
                </c:pt>
                <c:pt idx="42">
                  <c:v>0.42024016680523946</c:v>
                </c:pt>
                <c:pt idx="43">
                  <c:v>0.42335514734197777</c:v>
                </c:pt>
                <c:pt idx="44">
                  <c:v>0.42639303172616433</c:v>
                </c:pt>
                <c:pt idx="45">
                  <c:v>0.42935758264979029</c:v>
                </c:pt>
                <c:pt idx="46">
                  <c:v>0.4322523013272489</c:v>
                </c:pt>
                <c:pt idx="47">
                  <c:v>0.43508045065116829</c:v>
                </c:pt>
                <c:pt idx="48">
                  <c:v>0.43784507588084909</c:v>
                </c:pt>
                <c:pt idx="49">
                  <c:v>0.44054902316845257</c:v>
                </c:pt>
                <c:pt idx="50">
                  <c:v>0.44319495618536653</c:v>
                </c:pt>
                <c:pt idx="51">
                  <c:v>0.44578537107510319</c:v>
                </c:pt>
                <c:pt idx="52">
                  <c:v>0.4483226099285228</c:v>
                </c:pt>
              </c:numCache>
            </c:numRef>
          </c:val>
        </c:ser>
        <c:ser>
          <c:idx val="3"/>
          <c:order val="3"/>
          <c:tx>
            <c:strRef>
              <c:f>'delta time'!$N$2</c:f>
              <c:strCache>
                <c:ptCount val="1"/>
                <c:pt idx="0">
                  <c:v>38,5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time'!$N$3:$N$55</c:f>
              <c:numCache>
                <c:formatCode>General</c:formatCode>
                <c:ptCount val="53"/>
                <c:pt idx="0">
                  <c:v>2.5055079117130188E-100</c:v>
                </c:pt>
                <c:pt idx="1">
                  <c:v>1.8951532409449554E-2</c:v>
                </c:pt>
                <c:pt idx="2">
                  <c:v>7.4146132831737682E-2</c:v>
                </c:pt>
                <c:pt idx="3">
                  <c:v>0.12300389162269905</c:v>
                </c:pt>
                <c:pt idx="4">
                  <c:v>0.16188793333946352</c:v>
                </c:pt>
                <c:pt idx="5">
                  <c:v>0.19315031475032862</c:v>
                </c:pt>
                <c:pt idx="6">
                  <c:v>0.21887703587181154</c:v>
                </c:pt>
                <c:pt idx="7">
                  <c:v>0.24052242572094068</c:v>
                </c:pt>
                <c:pt idx="8">
                  <c:v>0.25908188323302372</c:v>
                </c:pt>
                <c:pt idx="9">
                  <c:v>0.27524944080521985</c:v>
                </c:pt>
                <c:pt idx="10">
                  <c:v>0.28952151580047397</c:v>
                </c:pt>
                <c:pt idx="11">
                  <c:v>0.30226225320007849</c:v>
                </c:pt>
                <c:pt idx="12">
                  <c:v>0.31374500250850157</c:v>
                </c:pt>
                <c:pt idx="13">
                  <c:v>0.32417921899702662</c:v>
                </c:pt>
                <c:pt idx="14">
                  <c:v>0.33372834604664281</c:v>
                </c:pt>
                <c:pt idx="15">
                  <c:v>0.3425219933574063</c:v>
                </c:pt>
                <c:pt idx="16">
                  <c:v>0.35066442030395645</c:v>
                </c:pt>
                <c:pt idx="17">
                  <c:v>0.35824056930127313</c:v>
                </c:pt>
                <c:pt idx="18">
                  <c:v>0.3653204384743014</c:v>
                </c:pt>
                <c:pt idx="19">
                  <c:v>0.37196230549383547</c:v>
                </c:pt>
                <c:pt idx="20">
                  <c:v>0.37821514167854492</c:v>
                </c:pt>
                <c:pt idx="21">
                  <c:v>0.38412044551585589</c:v>
                </c:pt>
                <c:pt idx="22">
                  <c:v>0.38971365332608265</c:v>
                </c:pt>
                <c:pt idx="23">
                  <c:v>0.39502523748582247</c:v>
                </c:pt>
                <c:pt idx="24">
                  <c:v>0.40008157072551498</c:v>
                </c:pt>
                <c:pt idx="25">
                  <c:v>0.40490561314280926</c:v>
                </c:pt>
                <c:pt idx="26">
                  <c:v>0.40951746334205952</c:v>
                </c:pt>
                <c:pt idx="27">
                  <c:v>0.41393480435071905</c:v>
                </c:pt>
                <c:pt idx="28">
                  <c:v>0.41817326726072107</c:v>
                </c:pt>
                <c:pt idx="29">
                  <c:v>0.4222467299598176</c:v>
                </c:pt>
                <c:pt idx="30">
                  <c:v>0.42616756422399504</c:v>
                </c:pt>
                <c:pt idx="31">
                  <c:v>0.42994684140766409</c:v>
                </c:pt>
                <c:pt idx="32">
                  <c:v>0.43359450469636091</c:v>
                </c:pt>
                <c:pt idx="33">
                  <c:v>0.43711951416944139</c:v>
                </c:pt>
                <c:pt idx="34">
                  <c:v>0.44052996961070467</c:v>
                </c:pt>
                <c:pt idx="35">
                  <c:v>0.44383321499787753</c:v>
                </c:pt>
                <c:pt idx="36">
                  <c:v>0.44703592782142765</c:v>
                </c:pt>
                <c:pt idx="37">
                  <c:v>0.45014419577378856</c:v>
                </c:pt>
                <c:pt idx="38">
                  <c:v>0.45316358287092895</c:v>
                </c:pt>
                <c:pt idx="39">
                  <c:v>0.45609918668895011</c:v>
                </c:pt>
                <c:pt idx="40">
                  <c:v>0.45895568809632942</c:v>
                </c:pt>
                <c:pt idx="41">
                  <c:v>0.46173739462040048</c:v>
                </c:pt>
                <c:pt idx="42">
                  <c:v>0.46444827839164227</c:v>
                </c:pt>
                <c:pt idx="43">
                  <c:v>0.46709200945136031</c:v>
                </c:pt>
                <c:pt idx="44">
                  <c:v>0.46967198507969843</c:v>
                </c:pt>
                <c:pt idx="45">
                  <c:v>0.47219135569565418</c:v>
                </c:pt>
                <c:pt idx="46">
                  <c:v>0.47465304779423789</c:v>
                </c:pt>
                <c:pt idx="47">
                  <c:v>0.47705978431446028</c:v>
                </c:pt>
                <c:pt idx="48">
                  <c:v>0.47941410277258234</c:v>
                </c:pt>
                <c:pt idx="49">
                  <c:v>0.48171837144572416</c:v>
                </c:pt>
                <c:pt idx="50">
                  <c:v>0.48397480384969327</c:v>
                </c:pt>
                <c:pt idx="51">
                  <c:v>0.4861854717202938</c:v>
                </c:pt>
                <c:pt idx="52">
                  <c:v>0.48835231667824469</c:v>
                </c:pt>
              </c:numCache>
            </c:numRef>
          </c:val>
        </c:ser>
        <c:ser>
          <c:idx val="4"/>
          <c:order val="4"/>
          <c:tx>
            <c:strRef>
              <c:f>'delta time'!$O$2</c:f>
              <c:strCache>
                <c:ptCount val="1"/>
                <c:pt idx="0">
                  <c:v>39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time'!$O$3:$O$55</c:f>
              <c:numCache>
                <c:formatCode>General</c:formatCode>
                <c:ptCount val="53"/>
                <c:pt idx="0">
                  <c:v>3.2616481147142844E-45</c:v>
                </c:pt>
                <c:pt idx="1">
                  <c:v>8.6503789798272113E-2</c:v>
                </c:pt>
                <c:pt idx="2">
                  <c:v>0.17361935454872315</c:v>
                </c:pt>
                <c:pt idx="3">
                  <c:v>0.22755836031999913</c:v>
                </c:pt>
                <c:pt idx="4">
                  <c:v>0.26475716951960893</c:v>
                </c:pt>
                <c:pt idx="5">
                  <c:v>0.29250612481380195</c:v>
                </c:pt>
                <c:pt idx="6">
                  <c:v>0.31434205796725756</c:v>
                </c:pt>
                <c:pt idx="7">
                  <c:v>0.33219129958218158</c:v>
                </c:pt>
                <c:pt idx="8">
                  <c:v>0.34720038554851984</c:v>
                </c:pt>
                <c:pt idx="9">
                  <c:v>0.36009928218691323</c:v>
                </c:pt>
                <c:pt idx="10">
                  <c:v>0.37137771428653765</c:v>
                </c:pt>
                <c:pt idx="11">
                  <c:v>0.38137821983668507</c:v>
                </c:pt>
                <c:pt idx="12">
                  <c:v>0.39034865812049241</c:v>
                </c:pt>
                <c:pt idx="13">
                  <c:v>0.39847349846468116</c:v>
                </c:pt>
                <c:pt idx="14">
                  <c:v>0.40589332567387915</c:v>
                </c:pt>
                <c:pt idx="15">
                  <c:v>0.41271747017680444</c:v>
                </c:pt>
                <c:pt idx="16">
                  <c:v>0.41903245516120313</c:v>
                </c:pt>
                <c:pt idx="17">
                  <c:v>0.42490780585166882</c:v>
                </c:pt>
                <c:pt idx="18">
                  <c:v>0.43040014290188011</c:v>
                </c:pt>
                <c:pt idx="19">
                  <c:v>0.43555612894408224</c:v>
                </c:pt>
                <c:pt idx="20">
                  <c:v>0.44041463007906961</c:v>
                </c:pt>
                <c:pt idx="21">
                  <c:v>0.44500832842835075</c:v>
                </c:pt>
                <c:pt idx="22">
                  <c:v>0.44936494349520029</c:v>
                </c:pt>
                <c:pt idx="23">
                  <c:v>0.45350816994875359</c:v>
                </c:pt>
                <c:pt idx="24">
                  <c:v>0.45745840664239551</c:v>
                </c:pt>
                <c:pt idx="25">
                  <c:v>0.46123332976981063</c:v>
                </c:pt>
                <c:pt idx="26">
                  <c:v>0.46484834815600995</c:v>
                </c:pt>
                <c:pt idx="27">
                  <c:v>0.46831696836524145</c:v>
                </c:pt>
                <c:pt idx="28">
                  <c:v>0.47165109005749306</c:v>
                </c:pt>
                <c:pt idx="29">
                  <c:v>0.47486124685628806</c:v>
                </c:pt>
                <c:pt idx="30">
                  <c:v>0.47795680425645393</c:v>
                </c:pt>
                <c:pt idx="31">
                  <c:v>0.48094612337012316</c:v>
                </c:pt>
                <c:pt idx="32">
                  <c:v>0.4838366972899909</c:v>
                </c:pt>
                <c:pt idx="33">
                  <c:v>0.48663526533979956</c:v>
                </c:pt>
                <c:pt idx="34">
                  <c:v>0.48934790934313954</c:v>
                </c:pt>
                <c:pt idx="35">
                  <c:v>0.49198013517423339</c:v>
                </c:pt>
                <c:pt idx="36">
                  <c:v>0.49453694218800681</c:v>
                </c:pt>
                <c:pt idx="37">
                  <c:v>0.49702288261070171</c:v>
                </c:pt>
                <c:pt idx="38">
                  <c:v>0.49944211256960186</c:v>
                </c:pt>
                <c:pt idx="39">
                  <c:v>0.50179843612396291</c:v>
                </c:pt>
                <c:pt idx="40">
                  <c:v>0.50409534340882989</c:v>
                </c:pt>
                <c:pt idx="41">
                  <c:v>0.5063360438040212</c:v>
                </c:pt>
                <c:pt idx="42">
                  <c:v>0.50852349488081117</c:v>
                </c:pt>
                <c:pt idx="43">
                  <c:v>0.51066042775012477</c:v>
                </c:pt>
                <c:pt idx="44">
                  <c:v>0.51274936933178661</c:v>
                </c:pt>
                <c:pt idx="45">
                  <c:v>0.51479266197943985</c:v>
                </c:pt>
                <c:pt idx="46">
                  <c:v>0.51679248082626783</c:v>
                </c:pt>
                <c:pt idx="47">
                  <c:v>0.51875084915950054</c:v>
                </c:pt>
                <c:pt idx="48">
                  <c:v>0.52066965208450378</c:v>
                </c:pt>
                <c:pt idx="49">
                  <c:v>0.52255064870009937</c:v>
                </c:pt>
                <c:pt idx="50">
                  <c:v>0.52439548297416327</c:v>
                </c:pt>
                <c:pt idx="51">
                  <c:v>0.52620569348128843</c:v>
                </c:pt>
                <c:pt idx="52">
                  <c:v>0.52798272214141528</c:v>
                </c:pt>
              </c:numCache>
            </c:numRef>
          </c:val>
        </c:ser>
        <c:ser>
          <c:idx val="5"/>
          <c:order val="5"/>
          <c:tx>
            <c:strRef>
              <c:f>'delta time'!$P$2</c:f>
              <c:strCache>
                <c:ptCount val="1"/>
                <c:pt idx="0">
                  <c:v>39,5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time'!$P$3:$P$55</c:f>
              <c:numCache>
                <c:formatCode>General</c:formatCode>
                <c:ptCount val="53"/>
                <c:pt idx="0">
                  <c:v>1.4290094357565743E-12</c:v>
                </c:pt>
                <c:pt idx="1">
                  <c:v>0.25514316699639694</c:v>
                </c:pt>
                <c:pt idx="2">
                  <c:v>0.32969012110146312</c:v>
                </c:pt>
                <c:pt idx="3">
                  <c:v>0.36730983589290211</c:v>
                </c:pt>
                <c:pt idx="4">
                  <c:v>0.39153242372240249</c:v>
                </c:pt>
                <c:pt idx="5">
                  <c:v>0.40908843141758511</c:v>
                </c:pt>
                <c:pt idx="6">
                  <c:v>0.42273824110916003</c:v>
                </c:pt>
                <c:pt idx="7">
                  <c:v>0.43385545734319952</c:v>
                </c:pt>
                <c:pt idx="8">
                  <c:v>0.44321297848357921</c:v>
                </c:pt>
                <c:pt idx="9">
                  <c:v>0.4512845878077183</c:v>
                </c:pt>
                <c:pt idx="10">
                  <c:v>0.4583797034206058</c:v>
                </c:pt>
                <c:pt idx="11">
                  <c:v>0.46471051422075188</c:v>
                </c:pt>
                <c:pt idx="12">
                  <c:v>0.4704282970177297</c:v>
                </c:pt>
                <c:pt idx="13">
                  <c:v>0.47564437186092434</c:v>
                </c:pt>
                <c:pt idx="14">
                  <c:v>0.48044283990641279</c:v>
                </c:pt>
                <c:pt idx="15">
                  <c:v>0.48488866622912469</c:v>
                </c:pt>
                <c:pt idx="16">
                  <c:v>0.48903299728702748</c:v>
                </c:pt>
                <c:pt idx="17">
                  <c:v>0.49291676843680421</c:v>
                </c:pt>
                <c:pt idx="18">
                  <c:v>0.49657321721683145</c:v>
                </c:pt>
                <c:pt idx="19">
                  <c:v>0.50002967530585107</c:v>
                </c:pt>
                <c:pt idx="20">
                  <c:v>0.50330887247185963</c:v>
                </c:pt>
                <c:pt idx="21">
                  <c:v>0.50642990270832144</c:v>
                </c:pt>
                <c:pt idx="22">
                  <c:v>0.50940895171632339</c:v>
                </c:pt>
                <c:pt idx="23">
                  <c:v>0.51225985268335761</c:v>
                </c:pt>
                <c:pt idx="24">
                  <c:v>0.5149945164829477</c:v>
                </c:pt>
                <c:pt idx="25">
                  <c:v>0.51762326865415942</c:v>
                </c:pt>
                <c:pt idx="26">
                  <c:v>0.52015511624012656</c:v>
                </c:pt>
                <c:pt idx="27">
                  <c:v>0.52259796119510682</c:v>
                </c:pt>
                <c:pt idx="28">
                  <c:v>0.5249587726252567</c:v>
                </c:pt>
                <c:pt idx="29">
                  <c:v>0.52724372698039179</c:v>
                </c:pt>
                <c:pt idx="30">
                  <c:v>0.52945832305328222</c:v>
                </c:pt>
                <c:pt idx="31">
                  <c:v>0.53160747699865085</c:v>
                </c:pt>
                <c:pt idx="32">
                  <c:v>0.53369560137374339</c:v>
                </c:pt>
                <c:pt idx="33">
                  <c:v>0.5357266713017258</c:v>
                </c:pt>
                <c:pt idx="34">
                  <c:v>0.53770428018211669</c:v>
                </c:pt>
                <c:pt idx="35">
                  <c:v>0.53963168685861174</c:v>
                </c:pt>
                <c:pt idx="36">
                  <c:v>0.54151185576117578</c:v>
                </c:pt>
                <c:pt idx="37">
                  <c:v>0.54334749123543902</c:v>
                </c:pt>
                <c:pt idx="38">
                  <c:v>0.54514106703596976</c:v>
                </c:pt>
                <c:pt idx="39">
                  <c:v>0.54689485177459884</c:v>
                </c:pt>
                <c:pt idx="40">
                  <c:v>0.54861093096859381</c:v>
                </c:pt>
                <c:pt idx="41">
                  <c:v>0.55029122621715643</c:v>
                </c:pt>
                <c:pt idx="42">
                  <c:v>0.55193751194168617</c:v>
                </c:pt>
                <c:pt idx="43">
                  <c:v>0.55355143005042073</c:v>
                </c:pt>
                <c:pt idx="44">
                  <c:v>0.55513450282752519</c:v>
                </c:pt>
                <c:pt idx="45">
                  <c:v>0.5566881442974726</c:v>
                </c:pt>
                <c:pt idx="46">
                  <c:v>0.55821367027531321</c:v>
                </c:pt>
                <c:pt idx="47">
                  <c:v>0.55971230728038102</c:v>
                </c:pt>
                <c:pt idx="48">
                  <c:v>0.56118520046371034</c:v>
                </c:pt>
                <c:pt idx="49">
                  <c:v>0.56263342067683642</c:v>
                </c:pt>
                <c:pt idx="50">
                  <c:v>0.56405797079084108</c:v>
                </c:pt>
                <c:pt idx="51">
                  <c:v>0.56545979135878899</c:v>
                </c:pt>
                <c:pt idx="52">
                  <c:v>0.56683976570151529</c:v>
                </c:pt>
              </c:numCache>
            </c:numRef>
          </c:val>
        </c:ser>
        <c:ser>
          <c:idx val="6"/>
          <c:order val="6"/>
          <c:tx>
            <c:strRef>
              <c:f>'delta time'!$Q$2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time'!$Q$3:$Q$55</c:f>
              <c:numCache>
                <c:formatCode>General</c:formatCode>
                <c:ptCount val="53"/>
                <c:pt idx="0">
                  <c:v>0.50146721774586567</c:v>
                </c:pt>
                <c:pt idx="1">
                  <c:v>0.51474203242850902</c:v>
                </c:pt>
                <c:pt idx="2">
                  <c:v>0.52079202678009495</c:v>
                </c:pt>
                <c:pt idx="3">
                  <c:v>0.52543807154520061</c:v>
                </c:pt>
                <c:pt idx="4">
                  <c:v>0.52935454006464155</c:v>
                </c:pt>
                <c:pt idx="5">
                  <c:v>0.53280379819755008</c:v>
                </c:pt>
                <c:pt idx="6">
                  <c:v>0.53592069220172911</c:v>
                </c:pt>
                <c:pt idx="7">
                  <c:v>0.5387854362022404</c:v>
                </c:pt>
                <c:pt idx="8">
                  <c:v>0.54145034569503947</c:v>
                </c:pt>
                <c:pt idx="9">
                  <c:v>0.54395178723559778</c:v>
                </c:pt>
                <c:pt idx="10">
                  <c:v>0.54631625602899203</c:v>
                </c:pt>
                <c:pt idx="11">
                  <c:v>0.54856376482859548</c:v>
                </c:pt>
                <c:pt idx="12">
                  <c:v>0.55070986914244213</c:v>
                </c:pt>
                <c:pt idx="13">
                  <c:v>0.55276694492388612</c:v>
                </c:pt>
                <c:pt idx="14">
                  <c:v>0.55474503064502834</c:v>
                </c:pt>
                <c:pt idx="15">
                  <c:v>0.55665240260540449</c:v>
                </c:pt>
                <c:pt idx="16">
                  <c:v>0.55849598003014356</c:v>
                </c:pt>
                <c:pt idx="17">
                  <c:v>0.56028161774105656</c:v>
                </c:pt>
                <c:pt idx="18">
                  <c:v>0.56201432233886284</c:v>
                </c:pt>
                <c:pt idx="19">
                  <c:v>0.56369841499852136</c:v>
                </c:pt>
                <c:pt idx="20">
                  <c:v>0.5653376561597856</c:v>
                </c:pt>
                <c:pt idx="21">
                  <c:v>0.56693534247921629</c:v>
                </c:pt>
                <c:pt idx="22">
                  <c:v>0.56849438323309265</c:v>
                </c:pt>
                <c:pt idx="23">
                  <c:v>0.57001736125692082</c:v>
                </c:pt>
                <c:pt idx="24">
                  <c:v>0.57150658208336547</c:v>
                </c:pt>
                <c:pt idx="25">
                  <c:v>0.57296411395765789</c:v>
                </c:pt>
                <c:pt idx="26">
                  <c:v>0.57439182071909922</c:v>
                </c:pt>
                <c:pt idx="27">
                  <c:v>0.57579138904436356</c:v>
                </c:pt>
                <c:pt idx="28">
                  <c:v>0.57716435119122145</c:v>
                </c:pt>
                <c:pt idx="29">
                  <c:v>0.57851210411911647</c:v>
                </c:pt>
                <c:pt idx="30">
                  <c:v>0.57983592566813003</c:v>
                </c:pt>
                <c:pt idx="31">
                  <c:v>0.58113698833134131</c:v>
                </c:pt>
                <c:pt idx="32">
                  <c:v>0.58241637104424382</c:v>
                </c:pt>
                <c:pt idx="33">
                  <c:v>0.58367506932945723</c:v>
                </c:pt>
                <c:pt idx="34">
                  <c:v>0.58491400406882321</c:v>
                </c:pt>
                <c:pt idx="35">
                  <c:v>0.58613402912331924</c:v>
                </c:pt>
                <c:pt idx="36">
                  <c:v>0.58733593798056749</c:v>
                </c:pt>
                <c:pt idx="37">
                  <c:v>0.58852046957747284</c:v>
                </c:pt>
                <c:pt idx="38">
                  <c:v>0.58968831341977079</c:v>
                </c:pt>
                <c:pt idx="39">
                  <c:v>0.59084011409957626</c:v>
                </c:pt>
                <c:pt idx="40">
                  <c:v>0.59197647529527286</c:v>
                </c:pt>
                <c:pt idx="41">
                  <c:v>0.59309796332446796</c:v>
                </c:pt>
                <c:pt idx="42">
                  <c:v>0.59420511030959122</c:v>
                </c:pt>
                <c:pt idx="43">
                  <c:v>0.59529841700654695</c:v>
                </c:pt>
                <c:pt idx="44">
                  <c:v>0.59637835533925954</c:v>
                </c:pt>
                <c:pt idx="45">
                  <c:v>0.59744537067665304</c:v>
                </c:pt>
                <c:pt idx="46">
                  <c:v>0.5984998838833625</c:v>
                </c:pt>
                <c:pt idx="47">
                  <c:v>0.5995422931710741</c:v>
                </c:pt>
                <c:pt idx="48">
                  <c:v>0.60057297577369062</c:v>
                </c:pt>
                <c:pt idx="49">
                  <c:v>0.60159228946639809</c:v>
                </c:pt>
                <c:pt idx="50">
                  <c:v>0.60260057394605593</c:v>
                </c:pt>
                <c:pt idx="51">
                  <c:v>0.60359815208808332</c:v>
                </c:pt>
                <c:pt idx="52">
                  <c:v>0.60458533109308843</c:v>
                </c:pt>
              </c:numCache>
            </c:numRef>
          </c:val>
        </c:ser>
        <c:ser>
          <c:idx val="7"/>
          <c:order val="7"/>
          <c:tx>
            <c:strRef>
              <c:f>'delta time'!$R$2</c:f>
              <c:strCache>
                <c:ptCount val="1"/>
                <c:pt idx="0">
                  <c:v>40,5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time'!$R$3:$R$55</c:f>
              <c:numCache>
                <c:formatCode>General</c:formatCode>
                <c:ptCount val="53"/>
                <c:pt idx="0">
                  <c:v>0.99999999999749123</c:v>
                </c:pt>
                <c:pt idx="1">
                  <c:v>0.76536771855135743</c:v>
                </c:pt>
                <c:pt idx="2">
                  <c:v>0.70503198116970078</c:v>
                </c:pt>
                <c:pt idx="3">
                  <c:v>0.67781487793447392</c:v>
                </c:pt>
                <c:pt idx="4">
                  <c:v>0.66213132125054475</c:v>
                </c:pt>
                <c:pt idx="5">
                  <c:v>0.65197261810877494</c:v>
                </c:pt>
                <c:pt idx="6">
                  <c:v>0.64493288057188447</c:v>
                </c:pt>
                <c:pt idx="7">
                  <c:v>0.639842042925302</c:v>
                </c:pt>
                <c:pt idx="8">
                  <c:v>0.63605634050301751</c:v>
                </c:pt>
                <c:pt idx="9">
                  <c:v>0.63318980499849564</c:v>
                </c:pt>
                <c:pt idx="10">
                  <c:v>0.63099586410934883</c:v>
                </c:pt>
                <c:pt idx="11">
                  <c:v>0.62930910167003185</c:v>
                </c:pt>
                <c:pt idx="12">
                  <c:v>0.62801414688919988</c:v>
                </c:pt>
                <c:pt idx="13">
                  <c:v>0.62702794512275206</c:v>
                </c:pt>
                <c:pt idx="14">
                  <c:v>0.62628911324597147</c:v>
                </c:pt>
                <c:pt idx="15">
                  <c:v>0.6257512675252328</c:v>
                </c:pt>
                <c:pt idx="16">
                  <c:v>0.6253786875559495</c:v>
                </c:pt>
                <c:pt idx="17">
                  <c:v>0.62514341021483288</c:v>
                </c:pt>
                <c:pt idx="18">
                  <c:v>0.62502322957044554</c:v>
                </c:pt>
                <c:pt idx="19">
                  <c:v>0.62500028806208219</c:v>
                </c:pt>
                <c:pt idx="20">
                  <c:v>0.6250600637275664</c:v>
                </c:pt>
                <c:pt idx="21">
                  <c:v>0.62519062886888577</c:v>
                </c:pt>
                <c:pt idx="22">
                  <c:v>0.62538209858200999</c:v>
                </c:pt>
                <c:pt idx="23">
                  <c:v>0.62562621453651046</c:v>
                </c:pt>
                <c:pt idx="24">
                  <c:v>0.62591602669544599</c:v>
                </c:pt>
                <c:pt idx="25">
                  <c:v>0.6262456470199671</c:v>
                </c:pt>
                <c:pt idx="26">
                  <c:v>0.62661005680165649</c:v>
                </c:pt>
                <c:pt idx="27">
                  <c:v>0.6270049544432128</c:v>
                </c:pt>
                <c:pt idx="28">
                  <c:v>0.62742663409441224</c:v>
                </c:pt>
                <c:pt idx="29">
                  <c:v>0.62787188807203909</c:v>
                </c:pt>
                <c:pt idx="30">
                  <c:v>0.62833792779034736</c:v>
                </c:pt>
                <c:pt idx="31">
                  <c:v>0.6288223192268636</c:v>
                </c:pt>
                <c:pt idx="32">
                  <c:v>0.62932292989693484</c:v>
                </c:pt>
                <c:pt idx="33">
                  <c:v>0.62983788501118976</c:v>
                </c:pt>
                <c:pt idx="34">
                  <c:v>0.63036553101306625</c:v>
                </c:pt>
                <c:pt idx="35">
                  <c:v>0.63090440508760537</c:v>
                </c:pt>
                <c:pt idx="36">
                  <c:v>0.63145320953226436</c:v>
                </c:pt>
                <c:pt idx="37">
                  <c:v>0.63201079011013617</c:v>
                </c:pt>
                <c:pt idx="38">
                  <c:v>0.63257611768337385</c:v>
                </c:pt>
                <c:pt idx="39">
                  <c:v>0.63314827256271466</c:v>
                </c:pt>
                <c:pt idx="40">
                  <c:v>0.63372643111723004</c:v>
                </c:pt>
                <c:pt idx="41">
                  <c:v>0.63430985427381792</c:v>
                </c:pt>
                <c:pt idx="42">
                  <c:v>0.63489787760374916</c:v>
                </c:pt>
                <c:pt idx="43">
                  <c:v>0.63548990274771033</c:v>
                </c:pt>
                <c:pt idx="44">
                  <c:v>0.63608538997426489</c:v>
                </c:pt>
                <c:pt idx="45">
                  <c:v>0.63668385170174913</c:v>
                </c:pt>
                <c:pt idx="46">
                  <c:v>0.63728484684210118</c:v>
                </c:pt>
                <c:pt idx="47">
                  <c:v>0.63788797584834267</c:v>
                </c:pt>
                <c:pt idx="48">
                  <c:v>0.63849287636644936</c:v>
                </c:pt>
                <c:pt idx="49">
                  <c:v>0.63909921940799874</c:v>
                </c:pt>
                <c:pt idx="50">
                  <c:v>0.63970670597290669</c:v>
                </c:pt>
                <c:pt idx="51">
                  <c:v>0.64031506406229066</c:v>
                </c:pt>
                <c:pt idx="52">
                  <c:v>0.64092404603041953</c:v>
                </c:pt>
              </c:numCache>
            </c:numRef>
          </c:val>
        </c:ser>
        <c:ser>
          <c:idx val="8"/>
          <c:order val="8"/>
          <c:tx>
            <c:strRef>
              <c:f>'delta time'!$S$2</c:f>
              <c:strCache>
                <c:ptCount val="1"/>
                <c:pt idx="0">
                  <c:v>41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time'!$S$3:$S$55</c:f>
              <c:numCache>
                <c:formatCode>General</c:formatCode>
                <c:ptCount val="53"/>
                <c:pt idx="0">
                  <c:v>1</c:v>
                </c:pt>
                <c:pt idx="1">
                  <c:v>0.91953714754886717</c:v>
                </c:pt>
                <c:pt idx="2">
                  <c:v>0.84607480578867211</c:v>
                </c:pt>
                <c:pt idx="3">
                  <c:v>0.80358772388099209</c:v>
                </c:pt>
                <c:pt idx="4">
                  <c:v>0.77598325449653593</c:v>
                </c:pt>
                <c:pt idx="5">
                  <c:v>0.75653505320389902</c:v>
                </c:pt>
                <c:pt idx="6">
                  <c:v>0.74206846849139341</c:v>
                </c:pt>
                <c:pt idx="7">
                  <c:v>0.73088788119998038</c:v>
                </c:pt>
                <c:pt idx="8">
                  <c:v>0.72200030757746758</c:v>
                </c:pt>
                <c:pt idx="9">
                  <c:v>0.71478264284548598</c:v>
                </c:pt>
                <c:pt idx="10">
                  <c:v>0.70882245436136571</c:v>
                </c:pt>
                <c:pt idx="11">
                  <c:v>0.70383494713110661</c:v>
                </c:pt>
                <c:pt idx="12">
                  <c:v>0.69961658547642469</c:v>
                </c:pt>
                <c:pt idx="13">
                  <c:v>0.69601770986581546</c:v>
                </c:pt>
                <c:pt idx="14">
                  <c:v>0.69292561091495508</c:v>
                </c:pt>
                <c:pt idx="15">
                  <c:v>0.69025365709773523</c:v>
                </c:pt>
                <c:pt idx="16">
                  <c:v>0.68793407883487767</c:v>
                </c:pt>
                <c:pt idx="17">
                  <c:v>0.68591304253508201</c:v>
                </c:pt>
                <c:pt idx="18">
                  <c:v>0.68414720447620203</c:v>
                </c:pt>
                <c:pt idx="19">
                  <c:v>0.68260124753998164</c:v>
                </c:pt>
                <c:pt idx="20">
                  <c:v>0.68124608664635244</c:v>
                </c:pt>
                <c:pt idx="21">
                  <c:v>0.68005753898514054</c:v>
                </c:pt>
                <c:pt idx="22">
                  <c:v>0.67901532355226146</c:v>
                </c:pt>
                <c:pt idx="23">
                  <c:v>0.67810229803859212</c:v>
                </c:pt>
                <c:pt idx="24">
                  <c:v>0.67730386947318788</c:v>
                </c:pt>
                <c:pt idx="25">
                  <c:v>0.67660753387068029</c:v>
                </c:pt>
                <c:pt idx="26">
                  <c:v>0.67600251289872093</c:v>
                </c:pt>
                <c:pt idx="27">
                  <c:v>0.67547946437657047</c:v>
                </c:pt>
                <c:pt idx="28">
                  <c:v>0.67503024957072977</c:v>
                </c:pt>
                <c:pt idx="29">
                  <c:v>0.674647744622763</c:v>
                </c:pt>
                <c:pt idx="30">
                  <c:v>0.67432568658741543</c:v>
                </c:pt>
                <c:pt idx="31">
                  <c:v>0.67405854684776489</c:v>
                </c:pt>
                <c:pt idx="32">
                  <c:v>0.6738414263596989</c:v>
                </c:pt>
                <c:pt idx="33">
                  <c:v>0.67366996843253768</c:v>
                </c:pt>
                <c:pt idx="34">
                  <c:v>0.67354028569560664</c:v>
                </c:pt>
                <c:pt idx="35">
                  <c:v>0.6734488986158802</c:v>
                </c:pt>
                <c:pt idx="36">
                  <c:v>0.67339268347916481</c:v>
                </c:pt>
                <c:pt idx="37">
                  <c:v>0.67336882816948096</c:v>
                </c:pt>
                <c:pt idx="38">
                  <c:v>0.67337479440946035</c:v>
                </c:pt>
                <c:pt idx="39">
                  <c:v>0.67340828538147224</c:v>
                </c:pt>
                <c:pt idx="40">
                  <c:v>0.67346721785166663</c:v>
                </c:pt>
                <c:pt idx="41">
                  <c:v>0.67354969807973064</c:v>
                </c:pt>
                <c:pt idx="42">
                  <c:v>0.67365400092533123</c:v>
                </c:pt>
                <c:pt idx="43">
                  <c:v>0.67377855166508738</c:v>
                </c:pt>
                <c:pt idx="44">
                  <c:v>0.6739219101169498</c:v>
                </c:pt>
                <c:pt idx="45">
                  <c:v>0.67408275673621132</c:v>
                </c:pt>
                <c:pt idx="46">
                  <c:v>0.67425988040228757</c:v>
                </c:pt>
                <c:pt idx="47">
                  <c:v>0.67445216766038119</c:v>
                </c:pt>
                <c:pt idx="48">
                  <c:v>0.67465859321915067</c:v>
                </c:pt>
                <c:pt idx="49">
                  <c:v>0.67487821153608807</c:v>
                </c:pt>
                <c:pt idx="50">
                  <c:v>0.67511014934767655</c:v>
                </c:pt>
                <c:pt idx="51">
                  <c:v>0.67535359902254388</c:v>
                </c:pt>
                <c:pt idx="52">
                  <c:v>0.67560781263349257</c:v>
                </c:pt>
              </c:numCache>
            </c:numRef>
          </c:val>
        </c:ser>
        <c:ser>
          <c:idx val="9"/>
          <c:order val="9"/>
          <c:tx>
            <c:strRef>
              <c:f>'delta time'!$T$2</c:f>
              <c:strCache>
                <c:ptCount val="1"/>
                <c:pt idx="0">
                  <c:v>41,5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time'!$T$3:$T$55</c:f>
              <c:numCache>
                <c:formatCode>General</c:formatCode>
                <c:ptCount val="53"/>
                <c:pt idx="0">
                  <c:v>1</c:v>
                </c:pt>
                <c:pt idx="1">
                  <c:v>0.98086876667270495</c:v>
                </c:pt>
                <c:pt idx="2">
                  <c:v>0.9325074052797272</c:v>
                </c:pt>
                <c:pt idx="3">
                  <c:v>0.89300207766475492</c:v>
                </c:pt>
                <c:pt idx="4">
                  <c:v>0.86323772476900207</c:v>
                </c:pt>
                <c:pt idx="5">
                  <c:v>0.84038878489196522</c:v>
                </c:pt>
                <c:pt idx="6">
                  <c:v>0.82236739765544964</c:v>
                </c:pt>
                <c:pt idx="7">
                  <c:v>0.80780704334674602</c:v>
                </c:pt>
                <c:pt idx="8">
                  <c:v>0.79580536017325088</c:v>
                </c:pt>
                <c:pt idx="9">
                  <c:v>0.78574864304493874</c:v>
                </c:pt>
                <c:pt idx="10">
                  <c:v>0.77720631171588006</c:v>
                </c:pt>
                <c:pt idx="11">
                  <c:v>0.76986753237772376</c:v>
                </c:pt>
                <c:pt idx="12">
                  <c:v>0.76350220083955944</c:v>
                </c:pt>
                <c:pt idx="13">
                  <c:v>0.75793619075298646</c:v>
                </c:pt>
                <c:pt idx="14">
                  <c:v>0.75303518096049704</c:v>
                </c:pt>
                <c:pt idx="15">
                  <c:v>0.74869379578604955</c:v>
                </c:pt>
                <c:pt idx="16">
                  <c:v>0.74482813025146399</c:v>
                </c:pt>
                <c:pt idx="17">
                  <c:v>0.74137048942186601</c:v>
                </c:pt>
                <c:pt idx="18">
                  <c:v>0.73826561131003876</c:v>
                </c:pt>
                <c:pt idx="19">
                  <c:v>0.73546790577753363</c:v>
                </c:pt>
                <c:pt idx="20">
                  <c:v>0.73293940314614392</c:v>
                </c:pt>
                <c:pt idx="21">
                  <c:v>0.73064820756088433</c:v>
                </c:pt>
                <c:pt idx="22">
                  <c:v>0.72856731525550589</c:v>
                </c:pt>
                <c:pt idx="23">
                  <c:v>0.72667370058395353</c:v>
                </c:pt>
                <c:pt idx="24">
                  <c:v>0.72494760123911151</c:v>
                </c:pt>
                <c:pt idx="25">
                  <c:v>0.72337195351173211</c:v>
                </c:pt>
                <c:pt idx="26">
                  <c:v>0.72193194187933962</c:v>
                </c:pt>
                <c:pt idx="27">
                  <c:v>0.72061463664603098</c:v>
                </c:pt>
                <c:pt idx="28">
                  <c:v>0.71940870006555646</c:v>
                </c:pt>
                <c:pt idx="29">
                  <c:v>0.71830414621761873</c:v>
                </c:pt>
                <c:pt idx="30">
                  <c:v>0.71729214343586312</c:v>
                </c:pt>
                <c:pt idx="31">
                  <c:v>0.71636485068840816</c:v>
                </c:pt>
                <c:pt idx="32">
                  <c:v>0.7155152812510186</c:v>
                </c:pt>
                <c:pt idx="33">
                  <c:v>0.71473718847214762</c:v>
                </c:pt>
                <c:pt idx="34">
                  <c:v>0.71402496953693251</c:v>
                </c:pt>
                <c:pt idx="35">
                  <c:v>0.71337358398556239</c:v>
                </c:pt>
                <c:pt idx="36">
                  <c:v>0.71277848439626001</c:v>
                </c:pt>
                <c:pt idx="37">
                  <c:v>0.7122355571523894</c:v>
                </c:pt>
                <c:pt idx="38">
                  <c:v>0.71174107161210243</c:v>
                </c:pt>
                <c:pt idx="39">
                  <c:v>0.71129163631349479</c:v>
                </c:pt>
                <c:pt idx="40">
                  <c:v>0.71088416109786445</c:v>
                </c:pt>
                <c:pt idx="41">
                  <c:v>0.71051582423296777</c:v>
                </c:pt>
                <c:pt idx="42">
                  <c:v>0.71018404377820188</c:v>
                </c:pt>
                <c:pt idx="43">
                  <c:v>0.70988645256283278</c:v>
                </c:pt>
                <c:pt idx="44">
                  <c:v>0.7096208762532521</c:v>
                </c:pt>
                <c:pt idx="45">
                  <c:v>0.70938531407074468</c:v>
                </c:pt>
                <c:pt idx="46">
                  <c:v>0.70917792179132411</c:v>
                </c:pt>
                <c:pt idx="47">
                  <c:v>0.70899699671686123</c:v>
                </c:pt>
                <c:pt idx="48">
                  <c:v>0.70884096435439825</c:v>
                </c:pt>
                <c:pt idx="49">
                  <c:v>0.70870836658011993</c:v>
                </c:pt>
                <c:pt idx="50">
                  <c:v>0.7085978510974118</c:v>
                </c:pt>
                <c:pt idx="51">
                  <c:v>0.70850816202602585</c:v>
                </c:pt>
                <c:pt idx="52">
                  <c:v>0.70843813148251911</c:v>
                </c:pt>
              </c:numCache>
            </c:numRef>
          </c:val>
        </c:ser>
        <c:ser>
          <c:idx val="10"/>
          <c:order val="10"/>
          <c:tx>
            <c:strRef>
              <c:f>'delta time'!$U$2</c:f>
              <c:strCache>
                <c:ptCount val="1"/>
                <c:pt idx="0">
                  <c:v>42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time'!$U$3:$U$55</c:f>
              <c:numCache>
                <c:formatCode>General</c:formatCode>
                <c:ptCount val="53"/>
                <c:pt idx="0">
                  <c:v>1</c:v>
                </c:pt>
                <c:pt idx="1">
                  <c:v>0.99687219956106232</c:v>
                </c:pt>
                <c:pt idx="2">
                  <c:v>0.97523648535698881</c:v>
                </c:pt>
                <c:pt idx="3">
                  <c:v>0.94804118529714532</c:v>
                </c:pt>
                <c:pt idx="4">
                  <c:v>0.92324446973582797</c:v>
                </c:pt>
                <c:pt idx="5">
                  <c:v>0.90204820593190949</c:v>
                </c:pt>
                <c:pt idx="6">
                  <c:v>0.88411741964540702</c:v>
                </c:pt>
                <c:pt idx="7">
                  <c:v>0.86888596513596017</c:v>
                </c:pt>
                <c:pt idx="8">
                  <c:v>0.85584111305205557</c:v>
                </c:pt>
                <c:pt idx="9">
                  <c:v>0.84456892353306567</c:v>
                </c:pt>
                <c:pt idx="10">
                  <c:v>0.8347450265592431</c:v>
                </c:pt>
                <c:pt idx="11">
                  <c:v>0.82611621839287674</c:v>
                </c:pt>
                <c:pt idx="12">
                  <c:v>0.81848373303975464</c:v>
                </c:pt>
                <c:pt idx="13">
                  <c:v>0.81169009872771425</c:v>
                </c:pt>
                <c:pt idx="14">
                  <c:v>0.80560926421784096</c:v>
                </c:pt>
                <c:pt idx="15">
                  <c:v>0.80013927359250281</c:v>
                </c:pt>
                <c:pt idx="16">
                  <c:v>0.79519682896123078</c:v>
                </c:pt>
                <c:pt idx="17">
                  <c:v>0.79071322928003585</c:v>
                </c:pt>
                <c:pt idx="18">
                  <c:v>0.7866313102971797</c:v>
                </c:pt>
                <c:pt idx="19">
                  <c:v>0.78290311618459485</c:v>
                </c:pt>
                <c:pt idx="20">
                  <c:v>0.77948811006241148</c:v>
                </c:pt>
                <c:pt idx="21">
                  <c:v>0.77635178505076741</c:v>
                </c:pt>
                <c:pt idx="22">
                  <c:v>0.77346457588869177</c:v>
                </c:pt>
                <c:pt idx="23">
                  <c:v>0.77080099830125792</c:v>
                </c:pt>
                <c:pt idx="24">
                  <c:v>0.76833896258253853</c:v>
                </c:pt>
                <c:pt idx="25">
                  <c:v>0.76605922167008189</c:v>
                </c:pt>
                <c:pt idx="26">
                  <c:v>0.76394492395745517</c:v>
                </c:pt>
                <c:pt idx="27">
                  <c:v>0.76198124835608227</c:v>
                </c:pt>
                <c:pt idx="28">
                  <c:v>0.76015510445869827</c:v>
                </c:pt>
                <c:pt idx="29">
                  <c:v>0.75845488461880384</c:v>
                </c:pt>
                <c:pt idx="30">
                  <c:v>0.7568702577252846</c:v>
                </c:pt>
                <c:pt idx="31">
                  <c:v>0.7553919966885938</c:v>
                </c:pt>
                <c:pt idx="32">
                  <c:v>0.75401183335684252</c:v>
                </c:pt>
                <c:pt idx="33">
                  <c:v>0.75272233588492377</c:v>
                </c:pt>
                <c:pt idx="34">
                  <c:v>0.75151680458752468</c:v>
                </c:pt>
                <c:pt idx="35">
                  <c:v>0.75038918309071367</c:v>
                </c:pt>
                <c:pt idx="36">
                  <c:v>0.749333982210584</c:v>
                </c:pt>
                <c:pt idx="37">
                  <c:v>0.7483462144711871</c:v>
                </c:pt>
                <c:pt idx="38">
                  <c:v>0.74742133755759244</c:v>
                </c:pt>
                <c:pt idx="39">
                  <c:v>0.74655520530588304</c:v>
                </c:pt>
                <c:pt idx="40">
                  <c:v>0.74574402507731397</c:v>
                </c:pt>
                <c:pt idx="41">
                  <c:v>0.74498432056177022</c:v>
                </c:pt>
                <c:pt idx="42">
                  <c:v>0.74427289921606155</c:v>
                </c:pt>
                <c:pt idx="43">
                  <c:v>0.74360682367323117</c:v>
                </c:pt>
                <c:pt idx="44">
                  <c:v>0.74298338656596563</c:v>
                </c:pt>
                <c:pt idx="45">
                  <c:v>0.74240008829504944</c:v>
                </c:pt>
                <c:pt idx="46">
                  <c:v>0.74185461734634894</c:v>
                </c:pt>
                <c:pt idx="47">
                  <c:v>0.74134483281991603</c:v>
                </c:pt>
                <c:pt idx="48">
                  <c:v>0.7408687488848319</c:v>
                </c:pt>
                <c:pt idx="49">
                  <c:v>0.74042452091519462</c:v>
                </c:pt>
                <c:pt idx="50">
                  <c:v>0.74001043309767489</c:v>
                </c:pt>
                <c:pt idx="51">
                  <c:v>0.73962488733053589</c:v>
                </c:pt>
                <c:pt idx="52">
                  <c:v>0.73926639325888099</c:v>
                </c:pt>
              </c:numCache>
            </c:numRef>
          </c:val>
        </c:ser>
        <c:ser>
          <c:idx val="11"/>
          <c:order val="11"/>
          <c:tx>
            <c:strRef>
              <c:f>'delta time'!$V$2</c:f>
              <c:strCache>
                <c:ptCount val="1"/>
                <c:pt idx="0">
                  <c:v>42,5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time'!$V$3:$V$55</c:f>
              <c:numCache>
                <c:formatCode>General</c:formatCode>
                <c:ptCount val="53"/>
                <c:pt idx="0">
                  <c:v>1</c:v>
                </c:pt>
                <c:pt idx="1">
                  <c:v>0.99964833894821503</c:v>
                </c:pt>
                <c:pt idx="2">
                  <c:v>0.9924040108191603</c:v>
                </c:pt>
                <c:pt idx="3">
                  <c:v>0.97752435022730433</c:v>
                </c:pt>
                <c:pt idx="4">
                  <c:v>0.9604185267301697</c:v>
                </c:pt>
                <c:pt idx="5">
                  <c:v>0.94374896266473629</c:v>
                </c:pt>
                <c:pt idx="6">
                  <c:v>0.92840463480497526</c:v>
                </c:pt>
                <c:pt idx="7">
                  <c:v>0.91457276972116597</c:v>
                </c:pt>
                <c:pt idx="8">
                  <c:v>0.90218883329552557</c:v>
                </c:pt>
                <c:pt idx="9">
                  <c:v>0.89110940939685701</c:v>
                </c:pt>
                <c:pt idx="10">
                  <c:v>0.8811775004630561</c:v>
                </c:pt>
                <c:pt idx="11">
                  <c:v>0.87224608768207923</c:v>
                </c:pt>
                <c:pt idx="12">
                  <c:v>0.86418530805358995</c:v>
                </c:pt>
                <c:pt idx="13">
                  <c:v>0.85688326733879272</c:v>
                </c:pt>
                <c:pt idx="14">
                  <c:v>0.85024453890009011</c:v>
                </c:pt>
                <c:pt idx="15">
                  <c:v>0.84418799553573898</c:v>
                </c:pt>
                <c:pt idx="16">
                  <c:v>0.83864462727265066</c:v>
                </c:pt>
                <c:pt idx="17">
                  <c:v>0.8335555808604258</c:v>
                </c:pt>
                <c:pt idx="18">
                  <c:v>0.82887048268962626</c:v>
                </c:pt>
                <c:pt idx="19">
                  <c:v>0.8245460372730653</c:v>
                </c:pt>
                <c:pt idx="20">
                  <c:v>0.8205448688768604</c:v>
                </c:pt>
                <c:pt idx="21">
                  <c:v>0.81683456840749158</c:v>
                </c:pt>
                <c:pt idx="22">
                  <c:v>0.81338690979374928</c:v>
                </c:pt>
                <c:pt idx="23">
                  <c:v>0.81017720481603439</c:v>
                </c:pt>
                <c:pt idx="24">
                  <c:v>0.80718377048343504</c:v>
                </c:pt>
                <c:pt idx="25">
                  <c:v>0.80438748779382063</c:v>
                </c:pt>
                <c:pt idx="26">
                  <c:v>0.80177143476343482</c:v>
                </c:pt>
                <c:pt idx="27">
                  <c:v>0.7993205799560088</c:v>
                </c:pt>
                <c:pt idx="28">
                  <c:v>0.79702152544843652</c:v>
                </c:pt>
                <c:pt idx="29">
                  <c:v>0.79486229033957578</c:v>
                </c:pt>
                <c:pt idx="30">
                  <c:v>0.79283212763891542</c:v>
                </c:pt>
                <c:pt idx="31">
                  <c:v>0.79092136874929952</c:v>
                </c:pt>
                <c:pt idx="32">
                  <c:v>0.78912129085487059</c:v>
                </c:pt>
                <c:pt idx="33">
                  <c:v>0.78742400340043162</c:v>
                </c:pt>
                <c:pt idx="34">
                  <c:v>0.78582235054817606</c:v>
                </c:pt>
                <c:pt idx="35">
                  <c:v>0.78430982705903618</c:v>
                </c:pt>
                <c:pt idx="36">
                  <c:v>0.78288050549768151</c:v>
                </c:pt>
                <c:pt idx="37">
                  <c:v>0.78152897302516267</c:v>
                </c:pt>
                <c:pt idx="38">
                  <c:v>0.78025027633914334</c:v>
                </c:pt>
                <c:pt idx="39">
                  <c:v>0.77903987356255877</c:v>
                </c:pt>
                <c:pt idx="40">
                  <c:v>0.77789359207838837</c:v>
                </c:pt>
                <c:pt idx="41">
                  <c:v>0.77680759146968614</c:v>
                </c:pt>
                <c:pt idx="42">
                  <c:v>0.77577833085695747</c:v>
                </c:pt>
                <c:pt idx="43">
                  <c:v>0.77480254003482762</c:v>
                </c:pt>
                <c:pt idx="44">
                  <c:v>0.77387719390106047</c:v>
                </c:pt>
                <c:pt idx="45">
                  <c:v>0.77299948974683219</c:v>
                </c:pt>
                <c:pt idx="46">
                  <c:v>0.77216682704049588</c:v>
                </c:pt>
                <c:pt idx="47">
                  <c:v>0.77137678939015841</c:v>
                </c:pt>
                <c:pt idx="48">
                  <c:v>0.77062712841501047</c:v>
                </c:pt>
                <c:pt idx="49">
                  <c:v>0.769915749292992</c:v>
                </c:pt>
                <c:pt idx="50">
                  <c:v>0.76924069778421189</c:v>
                </c:pt>
                <c:pt idx="51">
                  <c:v>0.76860014855655867</c:v>
                </c:pt>
                <c:pt idx="52">
                  <c:v>0.76799239466292901</c:v>
                </c:pt>
              </c:numCache>
            </c:numRef>
          </c:val>
        </c:ser>
        <c:ser>
          <c:idx val="12"/>
          <c:order val="12"/>
          <c:tx>
            <c:strRef>
              <c:f>'delta time'!$W$2</c:f>
              <c:strCache>
                <c:ptCount val="1"/>
                <c:pt idx="0">
                  <c:v>43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time'!$W$3:$W$55</c:f>
              <c:numCache>
                <c:formatCode>General</c:formatCode>
                <c:ptCount val="53"/>
                <c:pt idx="0">
                  <c:v>1</c:v>
                </c:pt>
                <c:pt idx="1">
                  <c:v>0.99997267978649285</c:v>
                </c:pt>
                <c:pt idx="2">
                  <c:v>0.99804969307571612</c:v>
                </c:pt>
                <c:pt idx="3">
                  <c:v>0.99133514668025779</c:v>
                </c:pt>
                <c:pt idx="4">
                  <c:v>0.98123944731543422</c:v>
                </c:pt>
                <c:pt idx="5">
                  <c:v>0.96976472204753716</c:v>
                </c:pt>
                <c:pt idx="6">
                  <c:v>0.95810105071777274</c:v>
                </c:pt>
                <c:pt idx="7">
                  <c:v>0.94683186775459216</c:v>
                </c:pt>
                <c:pt idx="8">
                  <c:v>0.9362098172825547</c:v>
                </c:pt>
                <c:pt idx="9">
                  <c:v>0.92632041491960815</c:v>
                </c:pt>
                <c:pt idx="10">
                  <c:v>0.91716767135067878</c:v>
                </c:pt>
                <c:pt idx="11">
                  <c:v>0.90871767469197906</c:v>
                </c:pt>
                <c:pt idx="12">
                  <c:v>0.90092064915329573</c:v>
                </c:pt>
                <c:pt idx="13">
                  <c:v>0.89372204119685161</c:v>
                </c:pt>
                <c:pt idx="14">
                  <c:v>0.88706796942071287</c:v>
                </c:pt>
                <c:pt idx="15">
                  <c:v>0.88090775768406693</c:v>
                </c:pt>
                <c:pt idx="16">
                  <c:v>0.87519495723227037</c:v>
                </c:pt>
                <c:pt idx="17">
                  <c:v>0.86988759465158039</c:v>
                </c:pt>
                <c:pt idx="18">
                  <c:v>0.86494803583401048</c:v>
                </c:pt>
                <c:pt idx="19">
                  <c:v>0.86034267340236636</c:v>
                </c:pt>
                <c:pt idx="20">
                  <c:v>0.85604154731843962</c:v>
                </c:pt>
                <c:pt idx="21">
                  <c:v>0.8520179555779106</c:v>
                </c:pt>
                <c:pt idx="22">
                  <c:v>0.84824808319668343</c:v>
                </c:pt>
                <c:pt idx="23">
                  <c:v>0.8447106621286693</c:v>
                </c:pt>
                <c:pt idx="24">
                  <c:v>0.84138666641504656</c:v>
                </c:pt>
                <c:pt idx="25">
                  <c:v>0.83825904252241024</c:v>
                </c:pt>
                <c:pt idx="26">
                  <c:v>0.83531247269685782</c:v>
                </c:pt>
                <c:pt idx="27">
                  <c:v>0.83253316824614099</c:v>
                </c:pt>
                <c:pt idx="28">
                  <c:v>0.82990868940246787</c:v>
                </c:pt>
                <c:pt idx="29">
                  <c:v>0.82742778849922138</c:v>
                </c:pt>
                <c:pt idx="30">
                  <c:v>0.8250802734391619</c:v>
                </c:pt>
                <c:pt idx="31">
                  <c:v>0.82285688874182883</c:v>
                </c:pt>
                <c:pt idx="32">
                  <c:v>0.82074921178112248</c:v>
                </c:pt>
                <c:pt idx="33">
                  <c:v>0.81874956213327155</c:v>
                </c:pt>
                <c:pt idx="34">
                  <c:v>0.81685092223794742</c:v>
                </c:pt>
                <c:pt idx="35">
                  <c:v>0.81504686782653402</c:v>
                </c:pt>
                <c:pt idx="36">
                  <c:v>0.81333150679122002</c:v>
                </c:pt>
                <c:pt idx="37">
                  <c:v>0.81169942535852979</c:v>
                </c:pt>
                <c:pt idx="38">
                  <c:v>0.81014564059401339</c:v>
                </c:pt>
                <c:pt idx="39">
                  <c:v>0.80866555840425325</c:v>
                </c:pt>
                <c:pt idx="40">
                  <c:v>0.80725493632122713</c:v>
                </c:pt>
                <c:pt idx="41">
                  <c:v>0.80590985045527974</c:v>
                </c:pt>
                <c:pt idx="42">
                  <c:v>0.80462666608908362</c:v>
                </c:pt>
                <c:pt idx="43">
                  <c:v>0.80340201145827717</c:v>
                </c:pt>
                <c:pt idx="44">
                  <c:v>0.80223275432689156</c:v>
                </c:pt>
                <c:pt idx="45">
                  <c:v>0.80111598101890857</c:v>
                </c:pt>
                <c:pt idx="46">
                  <c:v>0.80004897761271476</c:v>
                </c:pt>
                <c:pt idx="47">
                  <c:v>0.79902921304406282</c:v>
                </c:pt>
                <c:pt idx="48">
                  <c:v>0.79805432389640663</c:v>
                </c:pt>
                <c:pt idx="49">
                  <c:v>0.79712210068600042</c:v>
                </c:pt>
                <c:pt idx="50">
                  <c:v>0.7962304754736742</c:v>
                </c:pt>
                <c:pt idx="51">
                  <c:v>0.79537751065629558</c:v>
                </c:pt>
                <c:pt idx="52">
                  <c:v>0.79456138880914029</c:v>
                </c:pt>
              </c:numCache>
            </c:numRef>
          </c:val>
        </c:ser>
        <c:ser>
          <c:idx val="13"/>
          <c:order val="13"/>
          <c:tx>
            <c:strRef>
              <c:f>'delta time'!$X$2</c:f>
              <c:strCache>
                <c:ptCount val="1"/>
                <c:pt idx="0">
                  <c:v>43,5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time'!$X$3:$X$55</c:f>
              <c:numCache>
                <c:formatCode>General</c:formatCode>
                <c:ptCount val="53"/>
                <c:pt idx="0">
                  <c:v>1</c:v>
                </c:pt>
                <c:pt idx="1">
                  <c:v>0.99999852245278009</c:v>
                </c:pt>
                <c:pt idx="2">
                  <c:v>0.99957976395434311</c:v>
                </c:pt>
                <c:pt idx="3">
                  <c:v>0.99701872621342513</c:v>
                </c:pt>
                <c:pt idx="4">
                  <c:v>0.99181995039242055</c:v>
                </c:pt>
                <c:pt idx="5">
                  <c:v>0.98477899236981692</c:v>
                </c:pt>
                <c:pt idx="6">
                  <c:v>0.97676225568970743</c:v>
                </c:pt>
                <c:pt idx="7">
                  <c:v>0.96837735749912501</c:v>
                </c:pt>
                <c:pt idx="8">
                  <c:v>0.95999666991281929</c:v>
                </c:pt>
                <c:pt idx="9">
                  <c:v>0.9518330888220089</c:v>
                </c:pt>
                <c:pt idx="10">
                  <c:v>0.9440003738453171</c:v>
                </c:pt>
                <c:pt idx="11">
                  <c:v>0.93655270245894007</c:v>
                </c:pt>
                <c:pt idx="12">
                  <c:v>0.92950910848626811</c:v>
                </c:pt>
                <c:pt idx="13">
                  <c:v>0.92286829289676997</c:v>
                </c:pt>
                <c:pt idx="14">
                  <c:v>0.91661755074324558</c:v>
                </c:pt>
                <c:pt idx="15">
                  <c:v>0.91073814226357974</c:v>
                </c:pt>
                <c:pt idx="16">
                  <c:v>0.90520851431202065</c:v>
                </c:pt>
                <c:pt idx="17">
                  <c:v>0.90000621641562528</c:v>
                </c:pt>
                <c:pt idx="18">
                  <c:v>0.89510902018011806</c:v>
                </c:pt>
                <c:pt idx="19">
                  <c:v>0.89049555081958609</c:v>
                </c:pt>
                <c:pt idx="20">
                  <c:v>0.8861456197914821</c:v>
                </c:pt>
                <c:pt idx="21">
                  <c:v>0.88204037511485534</c:v>
                </c:pt>
                <c:pt idx="22">
                  <c:v>0.87816234175267061</c:v>
                </c:pt>
                <c:pt idx="23">
                  <c:v>0.87449539719308955</c:v>
                </c:pt>
                <c:pt idx="24">
                  <c:v>0.87102471041516516</c:v>
                </c:pt>
                <c:pt idx="25">
                  <c:v>0.86773666179732345</c:v>
                </c:pt>
                <c:pt idx="26">
                  <c:v>0.86461875482227246</c:v>
                </c:pt>
                <c:pt idx="27">
                  <c:v>0.86165952618388819</c:v>
                </c:pt>
                <c:pt idx="28">
                  <c:v>0.8588484582051874</c:v>
                </c:pt>
                <c:pt idx="29">
                  <c:v>0.85617589576716158</c:v>
                </c:pt>
                <c:pt idx="30">
                  <c:v>0.85363296887042361</c:v>
                </c:pt>
                <c:pt idx="31">
                  <c:v>0.851211521279439</c:v>
                </c:pt>
                <c:pt idx="32">
                  <c:v>0.84890404528799923</c:v>
                </c:pt>
                <c:pt idx="33">
                  <c:v>0.84670362240139707</c:v>
                </c:pt>
                <c:pt idx="34">
                  <c:v>0.84460386959517941</c:v>
                </c:pt>
                <c:pt idx="35">
                  <c:v>0.84259889074318362</c:v>
                </c:pt>
                <c:pt idx="36">
                  <c:v>0.84068323278330004</c:v>
                </c:pt>
                <c:pt idx="37">
                  <c:v>0.83885184619139797</c:v>
                </c:pt>
                <c:pt idx="38">
                  <c:v>0.83710004935133919</c:v>
                </c:pt>
                <c:pt idx="39">
                  <c:v>0.83542349643499048</c:v>
                </c:pt>
                <c:pt idx="40">
                  <c:v>0.83381814843618929</c:v>
                </c:pt>
                <c:pt idx="41">
                  <c:v>0.83228024703390346</c:v>
                </c:pt>
                <c:pt idx="42">
                  <c:v>0.83080629099066083</c:v>
                </c:pt>
                <c:pt idx="43">
                  <c:v>0.82939301482168115</c:v>
                </c:pt>
                <c:pt idx="44">
                  <c:v>0.82803736949750761</c:v>
                </c:pt>
                <c:pt idx="45">
                  <c:v>0.82673650496804052</c:v>
                </c:pt>
                <c:pt idx="46">
                  <c:v>0.82548775431868371</c:v>
                </c:pt>
                <c:pt idx="47">
                  <c:v>0.82428861938986286</c:v>
                </c:pt>
                <c:pt idx="48">
                  <c:v>0.82313675770959882</c:v>
                </c:pt>
                <c:pt idx="49">
                  <c:v>0.82202997060527061</c:v>
                </c:pt>
                <c:pt idx="50">
                  <c:v>0.82096619237533974</c:v>
                </c:pt>
                <c:pt idx="51">
                  <c:v>0.81994348041483112</c:v>
                </c:pt>
                <c:pt idx="52">
                  <c:v>0.81896000619990383</c:v>
                </c:pt>
              </c:numCache>
            </c:numRef>
          </c:val>
        </c:ser>
        <c:ser>
          <c:idx val="14"/>
          <c:order val="14"/>
          <c:tx>
            <c:strRef>
              <c:f>'delta time'!$Y$2</c:f>
              <c:strCache>
                <c:ptCount val="1"/>
                <c:pt idx="0">
                  <c:v>44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time'!$Y$3:$Y$55</c:f>
              <c:numCache>
                <c:formatCode>General</c:formatCode>
                <c:ptCount val="53"/>
                <c:pt idx="0">
                  <c:v>1</c:v>
                </c:pt>
                <c:pt idx="1">
                  <c:v>0.99999994387715507</c:v>
                </c:pt>
                <c:pt idx="2">
                  <c:v>0.99992374721165489</c:v>
                </c:pt>
                <c:pt idx="3">
                  <c:v>0.99908276702192422</c:v>
                </c:pt>
                <c:pt idx="4">
                  <c:v>0.99671461157727403</c:v>
                </c:pt>
                <c:pt idx="5">
                  <c:v>0.99281653623181465</c:v>
                </c:pt>
                <c:pt idx="6">
                  <c:v>0.98777684308882763</c:v>
                </c:pt>
                <c:pt idx="7">
                  <c:v>0.98201524816646113</c:v>
                </c:pt>
                <c:pt idx="8">
                  <c:v>0.97586524771107708</c:v>
                </c:pt>
                <c:pt idx="9">
                  <c:v>0.96956359663441927</c:v>
                </c:pt>
                <c:pt idx="10">
                  <c:v>0.96326920791606119</c:v>
                </c:pt>
                <c:pt idx="11">
                  <c:v>0.95708471851115107</c:v>
                </c:pt>
                <c:pt idx="12">
                  <c:v>0.95107387359699425</c:v>
                </c:pt>
                <c:pt idx="13">
                  <c:v>0.94527411960196295</c:v>
                </c:pt>
                <c:pt idx="14">
                  <c:v>0.93970534342936529</c:v>
                </c:pt>
                <c:pt idx="15">
                  <c:v>0.93437582765234839</c:v>
                </c:pt>
                <c:pt idx="16">
                  <c:v>0.92928627868302816</c:v>
                </c:pt>
                <c:pt idx="17">
                  <c:v>0.92443254430958266</c:v>
                </c:pt>
                <c:pt idx="18">
                  <c:v>0.91980744520681046</c:v>
                </c:pt>
                <c:pt idx="19">
                  <c:v>0.91540200776756098</c:v>
                </c:pt>
                <c:pt idx="20">
                  <c:v>0.91120629156888111</c:v>
                </c:pt>
                <c:pt idx="21">
                  <c:v>0.90720994152980827</c:v>
                </c:pt>
                <c:pt idx="22">
                  <c:v>0.90340255252806545</c:v>
                </c:pt>
                <c:pt idx="23">
                  <c:v>0.89977390597144846</c:v>
                </c:pt>
                <c:pt idx="24">
                  <c:v>0.89631411885796708</c:v>
                </c:pt>
                <c:pt idx="25">
                  <c:v>0.89301373307772414</c:v>
                </c:pt>
                <c:pt idx="26">
                  <c:v>0.88986376404454692</c:v>
                </c:pt>
                <c:pt idx="27">
                  <c:v>0.88685572183540007</c:v>
                </c:pt>
                <c:pt idx="28">
                  <c:v>0.88398161396072406</c:v>
                </c:pt>
                <c:pt idx="29">
                  <c:v>0.88123393609116396</c:v>
                </c:pt>
                <c:pt idx="30">
                  <c:v>0.87860565512609334</c:v>
                </c:pt>
                <c:pt idx="31">
                  <c:v>0.87609018763804969</c:v>
                </c:pt>
                <c:pt idx="32">
                  <c:v>0.87368137578260496</c:v>
                </c:pt>
                <c:pt idx="33">
                  <c:v>0.87137346210110489</c:v>
                </c:pt>
                <c:pt idx="34">
                  <c:v>0.86916106417891004</c:v>
                </c:pt>
                <c:pt idx="35">
                  <c:v>0.86703914979535801</c:v>
                </c:pt>
                <c:pt idx="36">
                  <c:v>0.86500301297274473</c:v>
                </c:pt>
                <c:pt idx="37">
                  <c:v>0.86304825117157302</c:v>
                </c:pt>
                <c:pt idx="38">
                  <c:v>0.86117074376808045</c:v>
                </c:pt>
                <c:pt idx="39">
                  <c:v>0.8593666318734382</c:v>
                </c:pt>
                <c:pt idx="40">
                  <c:v>0.85763229950197517</c:v>
                </c:pt>
                <c:pt idx="41">
                  <c:v>0.85596435606118404</c:v>
                </c:pt>
                <c:pt idx="42">
                  <c:v>0.85435962011400535</c:v>
                </c:pt>
                <c:pt idx="43">
                  <c:v>0.85281510435032482</c:v>
                </c:pt>
                <c:pt idx="44">
                  <c:v>0.85132800169714851</c:v>
                </c:pt>
                <c:pt idx="45">
                  <c:v>0.84989567249367015</c:v>
                </c:pt>
                <c:pt idx="46">
                  <c:v>0.84851563265707908</c:v>
                </c:pt>
                <c:pt idx="47">
                  <c:v>0.84718554276651092</c:v>
                </c:pt>
                <c:pt idx="48">
                  <c:v>0.84590319799534952</c:v>
                </c:pt>
                <c:pt idx="49">
                  <c:v>0.84466651882564325</c:v>
                </c:pt>
                <c:pt idx="50">
                  <c:v>0.84347354248238127</c:v>
                </c:pt>
                <c:pt idx="51">
                  <c:v>0.84232241502953065</c:v>
                </c:pt>
                <c:pt idx="52">
                  <c:v>0.84121138407391327</c:v>
                </c:pt>
              </c:numCache>
            </c:numRef>
          </c:val>
        </c:ser>
        <c:ser>
          <c:idx val="15"/>
          <c:order val="15"/>
          <c:tx>
            <c:strRef>
              <c:f>'delta time'!$Z$2</c:f>
              <c:strCache>
                <c:ptCount val="1"/>
                <c:pt idx="0">
                  <c:v>44,5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time'!$Z$3:$Z$55</c:f>
              <c:numCache>
                <c:formatCode>General</c:formatCode>
                <c:ptCount val="53"/>
                <c:pt idx="0">
                  <c:v>1</c:v>
                </c:pt>
                <c:pt idx="1">
                  <c:v>0.9999999984883744</c:v>
                </c:pt>
                <c:pt idx="2">
                  <c:v>0.99998830173786679</c:v>
                </c:pt>
                <c:pt idx="3">
                  <c:v>0.99974706704031102</c:v>
                </c:pt>
                <c:pt idx="4">
                  <c:v>0.99878262190419753</c:v>
                </c:pt>
                <c:pt idx="5">
                  <c:v>0.99681802745272319</c:v>
                </c:pt>
                <c:pt idx="6">
                  <c:v>0.99389657106943785</c:v>
                </c:pt>
                <c:pt idx="7">
                  <c:v>0.99021184976361531</c:v>
                </c:pt>
                <c:pt idx="8">
                  <c:v>0.98598240793210035</c:v>
                </c:pt>
                <c:pt idx="9">
                  <c:v>0.98139958022934115</c:v>
                </c:pt>
                <c:pt idx="10">
                  <c:v>0.97661438924304089</c:v>
                </c:pt>
                <c:pt idx="11">
                  <c:v>0.97173987522463678</c:v>
                </c:pt>
                <c:pt idx="12">
                  <c:v>0.96685794446477891</c:v>
                </c:pt>
                <c:pt idx="13">
                  <c:v>0.96202650003115386</c:v>
                </c:pt>
                <c:pt idx="14">
                  <c:v>0.95728550280225877</c:v>
                </c:pt>
                <c:pt idx="15">
                  <c:v>0.95266172780284886</c:v>
                </c:pt>
                <c:pt idx="16">
                  <c:v>0.94817235863428329</c:v>
                </c:pt>
                <c:pt idx="17">
                  <c:v>0.94382765283999226</c:v>
                </c:pt>
                <c:pt idx="18">
                  <c:v>0.93963289953018492</c:v>
                </c:pt>
                <c:pt idx="19">
                  <c:v>0.93558985056469568</c:v>
                </c:pt>
                <c:pt idx="20">
                  <c:v>0.93169776471952503</c:v>
                </c:pt>
                <c:pt idx="21">
                  <c:v>0.92795416882610626</c:v>
                </c:pt>
                <c:pt idx="22">
                  <c:v>0.92435541226739981</c:v>
                </c:pt>
                <c:pt idx="23">
                  <c:v>0.92089707054020653</c:v>
                </c:pt>
                <c:pt idx="24">
                  <c:v>0.91757423841277319</c:v>
                </c:pt>
                <c:pt idx="25">
                  <c:v>0.91438174216848944</c:v>
                </c:pt>
                <c:pt idx="26">
                  <c:v>0.91131429243234308</c:v>
                </c:pt>
                <c:pt idx="27">
                  <c:v>0.90836659329114167</c:v>
                </c:pt>
                <c:pt idx="28">
                  <c:v>0.90553341922549335</c:v>
                </c:pt>
                <c:pt idx="29">
                  <c:v>0.90280966832486709</c:v>
                </c:pt>
                <c:pt idx="30">
                  <c:v>0.90019039803598988</c:v>
                </c:pt>
                <c:pt idx="31">
                  <c:v>0.89767084806966624</c:v>
                </c:pt>
                <c:pt idx="32">
                  <c:v>0.89524645389737778</c:v>
                </c:pt>
                <c:pt idx="33">
                  <c:v>0.89291285338882376</c:v>
                </c:pt>
                <c:pt idx="34">
                  <c:v>0.8906658884901244</c:v>
                </c:pt>
                <c:pt idx="35">
                  <c:v>0.88850160335857975</c:v>
                </c:pt>
                <c:pt idx="36">
                  <c:v>0.88641624000936492</c:v>
                </c:pt>
                <c:pt idx="37">
                  <c:v>0.88440623226012582</c:v>
                </c:pt>
                <c:pt idx="38">
                  <c:v>0.88246819855759906</c:v>
                </c:pt>
                <c:pt idx="39">
                  <c:v>0.88059893411884282</c:v>
                </c:pt>
                <c:pt idx="40">
                  <c:v>0.87879540270571654</c:v>
                </c:pt>
                <c:pt idx="41">
                  <c:v>0.87705472826547837</c:v>
                </c:pt>
                <c:pt idx="42">
                  <c:v>0.87537418660577848</c:v>
                </c:pt>
                <c:pt idx="43">
                  <c:v>0.87375119722371752</c:v>
                </c:pt>
                <c:pt idx="44">
                  <c:v>0.87218331537209082</c:v>
                </c:pt>
                <c:pt idx="45">
                  <c:v>0.87066822441853442</c:v>
                </c:pt>
                <c:pt idx="46">
                  <c:v>0.86920372853281169</c:v>
                </c:pt>
                <c:pt idx="47">
                  <c:v>0.86778774572226014</c:v>
                </c:pt>
                <c:pt idx="48">
                  <c:v>0.86641830122419805</c:v>
                </c:pt>
                <c:pt idx="49">
                  <c:v>0.86509352125590144</c:v>
                </c:pt>
                <c:pt idx="50">
                  <c:v>0.86381162711687431</c:v>
                </c:pt>
                <c:pt idx="51">
                  <c:v>0.8625709296339934</c:v>
                </c:pt>
                <c:pt idx="52">
                  <c:v>0.86136982393728612</c:v>
                </c:pt>
              </c:numCache>
            </c:numRef>
          </c:val>
        </c:ser>
        <c:ser>
          <c:idx val="16"/>
          <c:order val="16"/>
          <c:tx>
            <c:strRef>
              <c:f>'delta time'!$AA$2</c:f>
              <c:strCache>
                <c:ptCount val="1"/>
                <c:pt idx="0">
                  <c:v>45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time'!$AA$3:$AA$55</c:f>
              <c:numCache>
                <c:formatCode>General</c:formatCode>
                <c:ptCount val="53"/>
                <c:pt idx="0">
                  <c:v>1</c:v>
                </c:pt>
                <c:pt idx="1">
                  <c:v>0.99999999997084155</c:v>
                </c:pt>
                <c:pt idx="2">
                  <c:v>0.99999847609970405</c:v>
                </c:pt>
                <c:pt idx="3">
                  <c:v>0.99993732476761055</c:v>
                </c:pt>
                <c:pt idx="4">
                  <c:v>0.99958308927883266</c:v>
                </c:pt>
                <c:pt idx="5">
                  <c:v>0.99867532676236914</c:v>
                </c:pt>
                <c:pt idx="6">
                  <c:v>0.99710383944535819</c:v>
                </c:pt>
                <c:pt idx="7">
                  <c:v>0.99489774119602226</c:v>
                </c:pt>
                <c:pt idx="8">
                  <c:v>0.99215657629036569</c:v>
                </c:pt>
                <c:pt idx="9">
                  <c:v>0.9889995166721659</c:v>
                </c:pt>
                <c:pt idx="10">
                  <c:v>0.9855395428948952</c:v>
                </c:pt>
                <c:pt idx="11">
                  <c:v>0.98187345801191728</c:v>
                </c:pt>
                <c:pt idx="12">
                  <c:v>0.97807986337738206</c:v>
                </c:pt>
                <c:pt idx="13">
                  <c:v>0.97422054907199829</c:v>
                </c:pt>
                <c:pt idx="14">
                  <c:v>0.97034303469443428</c:v>
                </c:pt>
                <c:pt idx="15">
                  <c:v>0.96648324167778177</c:v>
                </c:pt>
                <c:pt idx="16">
                  <c:v>0.96266789396241847</c:v>
                </c:pt>
                <c:pt idx="17">
                  <c:v>0.95891652839335217</c:v>
                </c:pt>
                <c:pt idx="18">
                  <c:v>0.95524311786266902</c:v>
                </c:pt>
                <c:pt idx="19">
                  <c:v>0.9516573553313753</c:v>
                </c:pt>
                <c:pt idx="20">
                  <c:v>0.9481656577717229</c:v>
                </c:pt>
                <c:pt idx="21">
                  <c:v>0.94477194588549018</c:v>
                </c:pt>
                <c:pt idx="22">
                  <c:v>0.94147824742117203</c:v>
                </c:pt>
                <c:pt idx="23">
                  <c:v>0.93828516307380849</c:v>
                </c:pt>
                <c:pt idx="24">
                  <c:v>0.93519222590682327</c:v>
                </c:pt>
                <c:pt idx="25">
                  <c:v>0.9321981784816944</c:v>
                </c:pt>
                <c:pt idx="26">
                  <c:v>0.92930118644166493</c:v>
                </c:pt>
                <c:pt idx="27">
                  <c:v>0.92649900301452881</c:v>
                </c:pt>
                <c:pt idx="28">
                  <c:v>0.92378909557443412</c:v>
                </c:pt>
                <c:pt idx="29">
                  <c:v>0.92116874283928452</c:v>
                </c:pt>
                <c:pt idx="30">
                  <c:v>0.91863510931176429</c:v>
                </c:pt>
                <c:pt idx="31">
                  <c:v>0.91618530206255833</c:v>
                </c:pt>
                <c:pt idx="32">
                  <c:v>0.9138164137969097</c:v>
                </c:pt>
                <c:pt idx="33">
                  <c:v>0.91152555525726087</c:v>
                </c:pt>
                <c:pt idx="34">
                  <c:v>0.9093098793316795</c:v>
                </c:pt>
                <c:pt idx="35">
                  <c:v>0.90716659871148919</c:v>
                </c:pt>
                <c:pt idx="36">
                  <c:v>0.90509299853507952</c:v>
                </c:pt>
                <c:pt idx="37">
                  <c:v>0.90308644514016101</c:v>
                </c:pt>
                <c:pt idx="38">
                  <c:v>0.90114439180243411</c:v>
                </c:pt>
                <c:pt idx="39">
                  <c:v>0.89926438214851245</c:v>
                </c:pt>
                <c:pt idx="40">
                  <c:v>0.89744405178259357</c:v>
                </c:pt>
                <c:pt idx="41">
                  <c:v>0.89568112855034987</c:v>
                </c:pt>
                <c:pt idx="42">
                  <c:v>0.89397343177256083</c:v>
                </c:pt>
                <c:pt idx="43">
                  <c:v>0.89231887070956661</c:v>
                </c:pt>
                <c:pt idx="44">
                  <c:v>0.89071544246139067</c:v>
                </c:pt>
                <c:pt idx="45">
                  <c:v>0.88916122946404874</c:v>
                </c:pt>
                <c:pt idx="46">
                  <c:v>0.88765439670756052</c:v>
                </c:pt>
                <c:pt idx="47">
                  <c:v>0.88619318877351283</c:v>
                </c:pt>
                <c:pt idx="48">
                  <c:v>0.8847759267681331</c:v>
                </c:pt>
                <c:pt idx="49">
                  <c:v>0.8834010052095026</c:v>
                </c:pt>
                <c:pt idx="50">
                  <c:v>0.88206688891381879</c:v>
                </c:pt>
                <c:pt idx="51">
                  <c:v>0.88077210991475674</c:v>
                </c:pt>
                <c:pt idx="52">
                  <c:v>0.87951526444138417</c:v>
                </c:pt>
              </c:numCache>
            </c:numRef>
          </c:val>
        </c:ser>
        <c:ser>
          <c:idx val="17"/>
          <c:order val="17"/>
          <c:tx>
            <c:strRef>
              <c:f>'delta time'!$AB$2</c:f>
              <c:strCache>
                <c:ptCount val="1"/>
                <c:pt idx="0">
                  <c:v>45,5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time'!$AB$3:$AB$55</c:f>
              <c:numCache>
                <c:formatCode>General</c:formatCode>
                <c:ptCount val="53"/>
                <c:pt idx="0">
                  <c:v>1</c:v>
                </c:pt>
                <c:pt idx="1">
                  <c:v>0.9999999999995931</c:v>
                </c:pt>
                <c:pt idx="2">
                  <c:v>0.99999983068336473</c:v>
                </c:pt>
                <c:pt idx="3">
                  <c:v>0.99998600630868018</c:v>
                </c:pt>
                <c:pt idx="4">
                  <c:v>0.99986779003344506</c:v>
                </c:pt>
                <c:pt idx="5">
                  <c:v>0.99948096853673229</c:v>
                </c:pt>
                <c:pt idx="6">
                  <c:v>0.99869255148364411</c:v>
                </c:pt>
                <c:pt idx="7">
                  <c:v>0.99745024798225224</c:v>
                </c:pt>
                <c:pt idx="8">
                  <c:v>0.99576859110392002</c:v>
                </c:pt>
                <c:pt idx="9">
                  <c:v>0.9936997327948377</c:v>
                </c:pt>
                <c:pt idx="10">
                  <c:v>0.99131054301574495</c:v>
                </c:pt>
                <c:pt idx="11">
                  <c:v>0.98866899549114784</c:v>
                </c:pt>
                <c:pt idx="12">
                  <c:v>0.98583740344044068</c:v>
                </c:pt>
                <c:pt idx="13">
                  <c:v>0.98286976340800858</c:v>
                </c:pt>
                <c:pt idx="14">
                  <c:v>0.97981129009743761</c:v>
                </c:pt>
                <c:pt idx="15">
                  <c:v>0.97669899723601261</c:v>
                </c:pt>
                <c:pt idx="16">
                  <c:v>0.97356269611020652</c:v>
                </c:pt>
                <c:pt idx="17">
                  <c:v>0.97042608941799069</c:v>
                </c:pt>
                <c:pt idx="18">
                  <c:v>0.96730780811640515</c:v>
                </c:pt>
                <c:pt idx="19">
                  <c:v>0.96422232918500661</c:v>
                </c:pt>
                <c:pt idx="20">
                  <c:v>0.96118075791091939</c:v>
                </c:pt>
                <c:pt idx="21">
                  <c:v>0.95819147991356823</c:v>
                </c:pt>
                <c:pt idx="22">
                  <c:v>0.95526069711954786</c:v>
                </c:pt>
                <c:pt idx="23">
                  <c:v>0.95239286451821148</c:v>
                </c:pt>
                <c:pt idx="24">
                  <c:v>0.94959104411644613</c:v>
                </c:pt>
                <c:pt idx="25">
                  <c:v>0.94685719081227104</c:v>
                </c:pt>
                <c:pt idx="26">
                  <c:v>0.94419238280464468</c:v>
                </c:pt>
                <c:pt idx="27">
                  <c:v>0.94159700707480165</c:v>
                </c:pt>
                <c:pt idx="28">
                  <c:v>0.93907090859562836</c:v>
                </c:pt>
                <c:pt idx="29">
                  <c:v>0.93661351031086482</c:v>
                </c:pt>
                <c:pt idx="30">
                  <c:v>0.93422390957697021</c:v>
                </c:pt>
                <c:pt idx="31">
                  <c:v>0.93190095565304532</c:v>
                </c:pt>
                <c:pt idx="32">
                  <c:v>0.92964331192488958</c:v>
                </c:pt>
                <c:pt idx="33">
                  <c:v>0.92744950582397689</c:v>
                </c:pt>
                <c:pt idx="34">
                  <c:v>0.92531796881957717</c:v>
                </c:pt>
                <c:pt idx="35">
                  <c:v>0.92324706839543103</c:v>
                </c:pt>
                <c:pt idx="36">
                  <c:v>0.92123513354868636</c:v>
                </c:pt>
                <c:pt idx="37">
                  <c:v>0.91928047504967669</c:v>
                </c:pt>
                <c:pt idx="38">
                  <c:v>0.91738140146157199</c:v>
                </c:pt>
                <c:pt idx="39">
                  <c:v>0.91553623172688592</c:v>
                </c:pt>
                <c:pt idx="40">
                  <c:v>0.91374330497368295</c:v>
                </c:pt>
                <c:pt idx="41">
                  <c:v>0.9120009880703982</c:v>
                </c:pt>
                <c:pt idx="42">
                  <c:v>0.91030768135839901</c:v>
                </c:pt>
                <c:pt idx="43">
                  <c:v>0.90866182291091646</c:v>
                </c:pt>
                <c:pt idx="44">
                  <c:v>0.90706189160192285</c:v>
                </c:pt>
                <c:pt idx="45">
                  <c:v>0.90550640921587067</c:v>
                </c:pt>
                <c:pt idx="46">
                  <c:v>0.90399394178649051</c:v>
                </c:pt>
                <c:pt idx="47">
                  <c:v>0.90252310031815386</c:v>
                </c:pt>
                <c:pt idx="48">
                  <c:v>0.90109254101506153</c:v>
                </c:pt>
                <c:pt idx="49">
                  <c:v>0.89970096512050846</c:v>
                </c:pt>
                <c:pt idx="50">
                  <c:v>0.89834711844968529</c:v>
                </c:pt>
                <c:pt idx="51">
                  <c:v>0.89702979068412192</c:v>
                </c:pt>
                <c:pt idx="52">
                  <c:v>0.89574781448330776</c:v>
                </c:pt>
              </c:numCache>
            </c:numRef>
          </c:val>
        </c:ser>
        <c:ser>
          <c:idx val="18"/>
          <c:order val="18"/>
          <c:tx>
            <c:strRef>
              <c:f>'delta time'!$AC$2</c:f>
              <c:strCache>
                <c:ptCount val="1"/>
                <c:pt idx="0">
                  <c:v>46</c:v>
                </c:pt>
              </c:strCache>
            </c:strRef>
          </c:tx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time'!$AC$3:$AC$55</c:f>
              <c:numCache>
                <c:formatCode>General</c:formatCode>
                <c:ptCount val="53"/>
                <c:pt idx="0">
                  <c:v>1</c:v>
                </c:pt>
                <c:pt idx="1">
                  <c:v>0.99999999999999589</c:v>
                </c:pt>
                <c:pt idx="2">
                  <c:v>0.9999999838817325</c:v>
                </c:pt>
                <c:pt idx="3">
                  <c:v>0.99999717687338485</c:v>
                </c:pt>
                <c:pt idx="4">
                  <c:v>0.99996110032111019</c:v>
                </c:pt>
                <c:pt idx="5">
                  <c:v>0.99980830861111591</c:v>
                </c:pt>
                <c:pt idx="6">
                  <c:v>0.99943778847414944</c:v>
                </c:pt>
                <c:pt idx="7">
                  <c:v>0.99877725269217399</c:v>
                </c:pt>
                <c:pt idx="8">
                  <c:v>0.99779719628842323</c:v>
                </c:pt>
                <c:pt idx="9">
                  <c:v>0.99650312849926648</c:v>
                </c:pt>
                <c:pt idx="10">
                  <c:v>0.99492240811736132</c:v>
                </c:pt>
                <c:pt idx="11">
                  <c:v>0.99309312889506918</c:v>
                </c:pt>
                <c:pt idx="12">
                  <c:v>0.99105664147833172</c:v>
                </c:pt>
                <c:pt idx="13">
                  <c:v>0.98885316138083657</c:v>
                </c:pt>
                <c:pt idx="14">
                  <c:v>0.98651950549657386</c:v>
                </c:pt>
                <c:pt idx="15">
                  <c:v>0.98408814944648915</c:v>
                </c:pt>
                <c:pt idx="16">
                  <c:v>0.98158704405157815</c:v>
                </c:pt>
                <c:pt idx="17">
                  <c:v>0.97903983435785835</c:v>
                </c:pt>
                <c:pt idx="18">
                  <c:v>0.97646626743708098</c:v>
                </c:pt>
                <c:pt idx="19">
                  <c:v>0.97388266674452939</c:v>
                </c:pt>
                <c:pt idx="20">
                  <c:v>0.97130240679695434</c:v>
                </c:pt>
                <c:pt idx="21">
                  <c:v>0.96873635501750333</c:v>
                </c:pt>
                <c:pt idx="22">
                  <c:v>0.96619326654200544</c:v>
                </c:pt>
                <c:pt idx="23">
                  <c:v>0.96368012823465254</c:v>
                </c:pt>
                <c:pt idx="24">
                  <c:v>0.96120245362009227</c:v>
                </c:pt>
                <c:pt idx="25">
                  <c:v>0.95876453302379649</c:v>
                </c:pt>
                <c:pt idx="26">
                  <c:v>0.95636964418765247</c:v>
                </c:pt>
                <c:pt idx="27">
                  <c:v>0.95402022873627446</c:v>
                </c:pt>
                <c:pt idx="28">
                  <c:v>0.95171803954177503</c:v>
                </c:pt>
                <c:pt idx="29">
                  <c:v>0.94946426351475943</c:v>
                </c:pt>
                <c:pt idx="30">
                  <c:v>0.94725962377157491</c:v>
                </c:pt>
                <c:pt idx="31">
                  <c:v>0.94510446456294728</c:v>
                </c:pt>
                <c:pt idx="32">
                  <c:v>0.94299882183104267</c:v>
                </c:pt>
                <c:pt idx="33">
                  <c:v>0.94094248180409912</c:v>
                </c:pt>
                <c:pt idx="34">
                  <c:v>0.93893502964236242</c:v>
                </c:pt>
                <c:pt idx="35">
                  <c:v>0.93697588981274915</c:v>
                </c:pt>
                <c:pt idx="36">
                  <c:v>0.93506435958650314</c:v>
                </c:pt>
                <c:pt idx="37">
                  <c:v>0.93319963681734075</c:v>
                </c:pt>
                <c:pt idx="38">
                  <c:v>0.9313808429604995</c:v>
                </c:pt>
                <c:pt idx="39">
                  <c:v>0.92960704212954959</c:v>
                </c:pt>
                <c:pt idx="40">
                  <c:v>0.92787725685234812</c:v>
                </c:pt>
                <c:pt idx="41">
                  <c:v>0.92619048107539581</c:v>
                </c:pt>
                <c:pt idx="42">
                  <c:v>0.92454569087310245</c:v>
                </c:pt>
                <c:pt idx="43">
                  <c:v>0.92294185324172739</c:v>
                </c:pt>
                <c:pt idx="44">
                  <c:v>0.92137793329424156</c:v>
                </c:pt>
                <c:pt idx="45">
                  <c:v>0.91985290011973053</c:v>
                </c:pt>
                <c:pt idx="46">
                  <c:v>0.91836573152733669</c:v>
                </c:pt>
                <c:pt idx="47">
                  <c:v>0.91691541785851749</c:v>
                </c:pt>
                <c:pt idx="48">
                  <c:v>0.91550096502130884</c:v>
                </c:pt>
                <c:pt idx="49">
                  <c:v>0.91412139687523997</c:v>
                </c:pt>
                <c:pt idx="50">
                  <c:v>0.91277575707468828</c:v>
                </c:pt>
                <c:pt idx="51">
                  <c:v>0.9114631104610641</c:v>
                </c:pt>
                <c:pt idx="52">
                  <c:v>0.9101825440796778</c:v>
                </c:pt>
              </c:numCache>
            </c:numRef>
          </c:val>
        </c:ser>
        <c:ser>
          <c:idx val="19"/>
          <c:order val="19"/>
          <c:tx>
            <c:strRef>
              <c:f>'delta time'!$AD$2</c:f>
              <c:strCache>
                <c:ptCount val="1"/>
                <c:pt idx="0">
                  <c:v>46,5</c:v>
                </c:pt>
              </c:strCache>
            </c:strRef>
          </c:tx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time'!$AD$3:$AD$55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0.99999999867936884</c:v>
                </c:pt>
                <c:pt idx="3">
                  <c:v>0.99999948391620153</c:v>
                </c:pt>
                <c:pt idx="4">
                  <c:v>0.99998935949087164</c:v>
                </c:pt>
                <c:pt idx="5">
                  <c:v>0.99993316509536123</c:v>
                </c:pt>
                <c:pt idx="6">
                  <c:v>0.9997694403844557</c:v>
                </c:pt>
                <c:pt idx="7">
                  <c:v>0.99943672265529893</c:v>
                </c:pt>
                <c:pt idx="8">
                  <c:v>0.99889247148663163</c:v>
                </c:pt>
                <c:pt idx="9">
                  <c:v>0.99811765020567966</c:v>
                </c:pt>
                <c:pt idx="10">
                  <c:v>0.99711288091024408</c:v>
                </c:pt>
                <c:pt idx="11">
                  <c:v>0.99589219625808889</c:v>
                </c:pt>
                <c:pt idx="12">
                  <c:v>0.99447735732658915</c:v>
                </c:pt>
                <c:pt idx="13">
                  <c:v>0.99289362653722046</c:v>
                </c:pt>
                <c:pt idx="14">
                  <c:v>0.99116696295665963</c:v>
                </c:pt>
                <c:pt idx="15">
                  <c:v>0.98932232398840869</c:v>
                </c:pt>
                <c:pt idx="16">
                  <c:v>0.98738273955972755</c:v>
                </c:pt>
                <c:pt idx="17">
                  <c:v>0.9853688902669403</c:v>
                </c:pt>
                <c:pt idx="18">
                  <c:v>0.98329899667135534</c:v>
                </c:pt>
                <c:pt idx="19">
                  <c:v>0.9811888897372083</c:v>
                </c:pt>
                <c:pt idx="20">
                  <c:v>0.979052178385038</c:v>
                </c:pt>
                <c:pt idx="21">
                  <c:v>0.97690046172656642</c:v>
                </c:pt>
                <c:pt idx="22">
                  <c:v>0.97474355443031746</c:v>
                </c:pt>
                <c:pt idx="23">
                  <c:v>0.97258970709824211</c:v>
                </c:pt>
                <c:pt idx="24">
                  <c:v>0.97044581197422197</c:v>
                </c:pt>
                <c:pt idx="25">
                  <c:v>0.96831758948549096</c:v>
                </c:pt>
                <c:pt idx="26">
                  <c:v>0.9662097542061826</c:v>
                </c:pt>
                <c:pt idx="27">
                  <c:v>0.96412616059874345</c:v>
                </c:pt>
                <c:pt idx="28">
                  <c:v>0.96206992983366768</c:v>
                </c:pt>
                <c:pt idx="29">
                  <c:v>0.96004355943132424</c:v>
                </c:pt>
                <c:pt idx="30">
                  <c:v>0.95804901761484418</c:v>
                </c:pt>
                <c:pt idx="31">
                  <c:v>0.9560878242376839</c:v>
                </c:pt>
                <c:pt idx="32">
                  <c:v>0.95416112003267017</c:v>
                </c:pt>
                <c:pt idx="33">
                  <c:v>0.95226972576922453</c:v>
                </c:pt>
                <c:pt idx="34">
                  <c:v>0.95041419273072125</c:v>
                </c:pt>
                <c:pt idx="35">
                  <c:v>0.94859484575097519</c:v>
                </c:pt>
                <c:pt idx="36">
                  <c:v>0.9468118198865112</c:v>
                </c:pt>
                <c:pt idx="37">
                  <c:v>0.9450650916537694</c:v>
                </c:pt>
                <c:pt idx="38">
                  <c:v>0.94335450562918299</c:v>
                </c:pt>
                <c:pt idx="39">
                  <c:v>0.9416797970950388</c:v>
                </c:pt>
                <c:pt idx="40">
                  <c:v>0.94004061131418792</c:v>
                </c:pt>
                <c:pt idx="41">
                  <c:v>0.93843651993065247</c:v>
                </c:pt>
                <c:pt idx="42">
                  <c:v>0.93686703491943046</c:v>
                </c:pt>
                <c:pt idx="43">
                  <c:v>0.93533162044581319</c:v>
                </c:pt>
                <c:pt idx="44">
                  <c:v>0.93382970294086642</c:v>
                </c:pt>
                <c:pt idx="45">
                  <c:v>0.9323606796540852</c:v>
                </c:pt>
                <c:pt idx="46">
                  <c:v>0.93092392590545536</c:v>
                </c:pt>
                <c:pt idx="47">
                  <c:v>0.92951880122622477</c:v>
                </c:pt>
                <c:pt idx="48">
                  <c:v>0.92814465454973671</c:v>
                </c:pt>
                <c:pt idx="49">
                  <c:v>0.92680082858994195</c:v>
                </c:pt>
                <c:pt idx="50">
                  <c:v>0.92548666352505082</c:v>
                </c:pt>
                <c:pt idx="51">
                  <c:v>0.92420150008665636</c:v>
                </c:pt>
                <c:pt idx="52">
                  <c:v>0.92294468214009895</c:v>
                </c:pt>
              </c:numCache>
            </c:numRef>
          </c:val>
        </c:ser>
        <c:ser>
          <c:idx val="20"/>
          <c:order val="20"/>
          <c:tx>
            <c:strRef>
              <c:f>'delta time'!$AE$2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time'!$AE$3:$AE$55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0.99999999990645083</c:v>
                </c:pt>
                <c:pt idx="3">
                  <c:v>0.99999991427026091</c:v>
                </c:pt>
                <c:pt idx="4">
                  <c:v>0.99999728860623405</c:v>
                </c:pt>
                <c:pt idx="5">
                  <c:v>0.99997796713479725</c:v>
                </c:pt>
                <c:pt idx="6">
                  <c:v>0.99990971450167687</c:v>
                </c:pt>
                <c:pt idx="7">
                  <c:v>0.99975047978047182</c:v>
                </c:pt>
                <c:pt idx="8">
                  <c:v>0.99946172232808539</c:v>
                </c:pt>
                <c:pt idx="9">
                  <c:v>0.9990165459312017</c:v>
                </c:pt>
                <c:pt idx="10">
                  <c:v>0.99840152171511376</c:v>
                </c:pt>
                <c:pt idx="11">
                  <c:v>0.99761485394485738</c:v>
                </c:pt>
                <c:pt idx="12">
                  <c:v>0.99666329829774469</c:v>
                </c:pt>
                <c:pt idx="13">
                  <c:v>0.99555914759575792</c:v>
                </c:pt>
                <c:pt idx="14">
                  <c:v>0.99431779170057277</c:v>
                </c:pt>
                <c:pt idx="15">
                  <c:v>0.99295593748587641</c:v>
                </c:pt>
                <c:pt idx="16">
                  <c:v>0.99149040351558448</c:v>
                </c:pt>
                <c:pt idx="17">
                  <c:v>0.98993735830169571</c:v>
                </c:pt>
                <c:pt idx="18">
                  <c:v>0.98831187794743469</c:v>
                </c:pt>
                <c:pt idx="19">
                  <c:v>0.98662772282332323</c:v>
                </c:pt>
                <c:pt idx="20">
                  <c:v>0.98489725836207953</c:v>
                </c:pt>
                <c:pt idx="21">
                  <c:v>0.98313146666022844</c:v>
                </c:pt>
                <c:pt idx="22">
                  <c:v>0.98134001219648526</c:v>
                </c:pt>
                <c:pt idx="23">
                  <c:v>0.97953133709619689</c:v>
                </c:pt>
                <c:pt idx="24">
                  <c:v>0.97771276991388134</c:v>
                </c:pt>
                <c:pt idx="25">
                  <c:v>0.97589063778657115</c:v>
                </c:pt>
                <c:pt idx="26">
                  <c:v>0.97407037578328748</c:v>
                </c:pt>
                <c:pt idx="27">
                  <c:v>0.97225662991383988</c:v>
                </c:pt>
                <c:pt idx="28">
                  <c:v>0.97045335198012594</c:v>
                </c:pt>
                <c:pt idx="29">
                  <c:v>0.96866388555019567</c:v>
                </c:pt>
                <c:pt idx="30">
                  <c:v>0.96689104301467432</c:v>
                </c:pt>
                <c:pt idx="31">
                  <c:v>0.96513717408754329</c:v>
                </c:pt>
                <c:pt idx="32">
                  <c:v>0.96340422633456391</c:v>
                </c:pt>
                <c:pt idx="33">
                  <c:v>0.9616937984174514</c:v>
                </c:pt>
                <c:pt idx="34">
                  <c:v>0.96000718677351415</c:v>
                </c:pt>
                <c:pt idx="35">
                  <c:v>0.958345426437621</c:v>
                </c:pt>
                <c:pt idx="36">
                  <c:v>0.95670932667490116</c:v>
                </c:pt>
                <c:pt idx="37">
                  <c:v>0.95509950204076111</c:v>
                </c:pt>
                <c:pt idx="38">
                  <c:v>0.95351639942741151</c:v>
                </c:pt>
                <c:pt idx="39">
                  <c:v>0.95196032159795652</c:v>
                </c:pt>
                <c:pt idx="40">
                  <c:v>0.95043144765308152</c:v>
                </c:pt>
                <c:pt idx="41">
                  <c:v>0.94892985082308612</c:v>
                </c:pt>
                <c:pt idx="42">
                  <c:v>0.94745551393020377</c:v>
                </c:pt>
                <c:pt idx="43">
                  <c:v>0.94600834282310298</c:v>
                </c:pt>
                <c:pt idx="44">
                  <c:v>0.94458817804709527</c:v>
                </c:pt>
                <c:pt idx="45">
                  <c:v>0.94319480497965458</c:v>
                </c:pt>
                <c:pt idx="46">
                  <c:v>0.94182796263103219</c:v>
                </c:pt>
                <c:pt idx="47">
                  <c:v>0.94048735128364558</c:v>
                </c:pt>
                <c:pt idx="48">
                  <c:v>0.93917263912114324</c:v>
                </c:pt>
                <c:pt idx="49">
                  <c:v>0.93788346797822453</c:v>
                </c:pt>
                <c:pt idx="50">
                  <c:v>0.93661945832505955</c:v>
                </c:pt>
                <c:pt idx="51">
                  <c:v>0.93538021358520429</c:v>
                </c:pt>
                <c:pt idx="52">
                  <c:v>0.93416532387293405</c:v>
                </c:pt>
              </c:numCache>
            </c:numRef>
          </c:val>
        </c:ser>
        <c:ser>
          <c:idx val="21"/>
          <c:order val="21"/>
          <c:tx>
            <c:strRef>
              <c:f>'delta time'!$AF$2</c:f>
              <c:strCache>
                <c:ptCount val="1"/>
                <c:pt idx="0">
                  <c:v>47,5</c:v>
                </c:pt>
              </c:strCache>
            </c:strRef>
          </c:tx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time'!$AF$3:$AF$55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0.99999999999424538</c:v>
                </c:pt>
                <c:pt idx="3">
                  <c:v>0.99999998702273951</c:v>
                </c:pt>
                <c:pt idx="4">
                  <c:v>0.99999935506961657</c:v>
                </c:pt>
                <c:pt idx="5">
                  <c:v>0.99999312169933374</c:v>
                </c:pt>
                <c:pt idx="6">
                  <c:v>0.99996619748054261</c:v>
                </c:pt>
                <c:pt idx="7">
                  <c:v>0.99989360014146489</c:v>
                </c:pt>
                <c:pt idx="8">
                  <c:v>0.9997468853280147</c:v>
                </c:pt>
                <c:pt idx="9">
                  <c:v>0.9995009118373076</c:v>
                </c:pt>
                <c:pt idx="10">
                  <c:v>0.99913765622935102</c:v>
                </c:pt>
                <c:pt idx="11">
                  <c:v>0.9986471121972027</c:v>
                </c:pt>
                <c:pt idx="12">
                  <c:v>0.9980264398498383</c:v>
                </c:pt>
                <c:pt idx="13">
                  <c:v>0.99727840609346952</c:v>
                </c:pt>
                <c:pt idx="14">
                  <c:v>0.9964097435639655</c:v>
                </c:pt>
                <c:pt idx="15">
                  <c:v>0.99542972012520126</c:v>
                </c:pt>
                <c:pt idx="16">
                  <c:v>0.99434901112156171</c:v>
                </c:pt>
                <c:pt idx="17">
                  <c:v>0.99317886804076472</c:v>
                </c:pt>
                <c:pt idx="18">
                  <c:v>0.99193053813774323</c:v>
                </c:pt>
                <c:pt idx="19">
                  <c:v>0.99061488061443304</c:v>
                </c:pt>
                <c:pt idx="20">
                  <c:v>0.98924212922828958</c:v>
                </c:pt>
                <c:pt idx="21">
                  <c:v>0.98782176000091626</c:v>
                </c:pt>
                <c:pt idx="22">
                  <c:v>0.98636243197733553</c:v>
                </c:pt>
                <c:pt idx="23">
                  <c:v>0.98487197713347063</c:v>
                </c:pt>
                <c:pt idx="24">
                  <c:v>0.98335742209515886</c:v>
                </c:pt>
                <c:pt idx="25">
                  <c:v>0.98182502937145288</c:v>
                </c:pt>
                <c:pt idx="26">
                  <c:v>0.98028034955416854</c:v>
                </c:pt>
                <c:pt idx="27">
                  <c:v>0.97872827866482415</c:v>
                </c:pt>
                <c:pt idx="28">
                  <c:v>0.97717311678396113</c:v>
                </c:pt>
                <c:pt idx="29">
                  <c:v>0.97561862547708578</c:v>
                </c:pt>
                <c:pt idx="30">
                  <c:v>0.97406808249225163</c:v>
                </c:pt>
                <c:pt idx="31">
                  <c:v>0.97252433286425577</c:v>
                </c:pt>
                <c:pt idx="32">
                  <c:v>0.97098983600635991</c:v>
                </c:pt>
                <c:pt idx="33">
                  <c:v>0.96946670866550022</c:v>
                </c:pt>
                <c:pt idx="34">
                  <c:v>0.96795676380660001</c:v>
                </c:pt>
                <c:pt idx="35">
                  <c:v>0.96646154560829922</c:v>
                </c:pt>
                <c:pt idx="36">
                  <c:v>0.96498236081921496</c:v>
                </c:pt>
                <c:pt idx="37">
                  <c:v>0.96352030675699474</c:v>
                </c:pt>
                <c:pt idx="38">
                  <c:v>0.96207629624330582</c:v>
                </c:pt>
                <c:pt idx="39">
                  <c:v>0.96065107976444963</c:v>
                </c:pt>
                <c:pt idx="40">
                  <c:v>0.9592452651349801</c:v>
                </c:pt>
                <c:pt idx="41">
                  <c:v>0.95785933492428266</c:v>
                </c:pt>
                <c:pt idx="42">
                  <c:v>0.95649366188605611</c:v>
                </c:pt>
                <c:pt idx="43">
                  <c:v>0.95514852260972449</c:v>
                </c:pt>
                <c:pt idx="44">
                  <c:v>0.95382410959204256</c:v>
                </c:pt>
                <c:pt idx="45">
                  <c:v>0.95252054190725488</c:v>
                </c:pt>
                <c:pt idx="46">
                  <c:v>0.95123787463547327</c:v>
                </c:pt>
                <c:pt idx="47">
                  <c:v>0.94997610719169001</c:v>
                </c:pt>
                <c:pt idx="48">
                  <c:v>0.94873519068208834</c:v>
                </c:pt>
                <c:pt idx="49">
                  <c:v>0.94751503440006202</c:v>
                </c:pt>
                <c:pt idx="50">
                  <c:v>0.94631551156154214</c:v>
                </c:pt>
                <c:pt idx="51">
                  <c:v>0.94513646436776921</c:v>
                </c:pt>
                <c:pt idx="52">
                  <c:v>0.94397770847343865</c:v>
                </c:pt>
              </c:numCache>
            </c:numRef>
          </c:val>
        </c:ser>
        <c:ser>
          <c:idx val="22"/>
          <c:order val="22"/>
          <c:tx>
            <c:strRef>
              <c:f>'delta time'!$AG$2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time'!$AG$3:$AG$55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0.99999999999969125</c:v>
                </c:pt>
                <c:pt idx="3">
                  <c:v>0.99999999820495378</c:v>
                </c:pt>
                <c:pt idx="4">
                  <c:v>0.99999985652030232</c:v>
                </c:pt>
                <c:pt idx="5">
                  <c:v>0.99999796340359648</c:v>
                </c:pt>
                <c:pt idx="6">
                  <c:v>0.99998788511268888</c:v>
                </c:pt>
                <c:pt idx="7">
                  <c:v>0.99995627987543401</c:v>
                </c:pt>
                <c:pt idx="8">
                  <c:v>0.99988474096771029</c:v>
                </c:pt>
                <c:pt idx="9">
                  <c:v>0.99975378941864934</c:v>
                </c:pt>
                <c:pt idx="10">
                  <c:v>0.99954638958783271</c:v>
                </c:pt>
                <c:pt idx="11">
                  <c:v>0.99924990629003707</c:v>
                </c:pt>
                <c:pt idx="12">
                  <c:v>0.99885663407145386</c:v>
                </c:pt>
                <c:pt idx="13">
                  <c:v>0.99836342237713427</c:v>
                </c:pt>
                <c:pt idx="14">
                  <c:v>0.99777087564366762</c:v>
                </c:pt>
                <c:pt idx="15">
                  <c:v>0.99708244438975069</c:v>
                </c:pt>
                <c:pt idx="16">
                  <c:v>0.99630357736148845</c:v>
                </c:pt>
                <c:pt idx="17">
                  <c:v>0.99544100712778383</c:v>
                </c:pt>
                <c:pt idx="18">
                  <c:v>0.99450218594249518</c:v>
                </c:pt>
                <c:pt idx="19">
                  <c:v>0.99349486131003817</c:v>
                </c:pt>
                <c:pt idx="20">
                  <c:v>0.99242676980851019</c:v>
                </c:pt>
                <c:pt idx="21">
                  <c:v>0.99130542552852263</c:v>
                </c:pt>
                <c:pt idx="22">
                  <c:v>0.99013798134101105</c:v>
                </c:pt>
                <c:pt idx="23">
                  <c:v>0.98893114458279341</c:v>
                </c:pt>
                <c:pt idx="24">
                  <c:v>0.98769113237255668</c:v>
                </c:pt>
                <c:pt idx="25">
                  <c:v>0.98642365507210716</c:v>
                </c:pt>
                <c:pt idx="26">
                  <c:v>0.98513391918579774</c:v>
                </c:pt>
                <c:pt idx="27">
                  <c:v>0.98382664322194713</c:v>
                </c:pt>
                <c:pt idx="28">
                  <c:v>0.98250608177842025</c:v>
                </c:pt>
                <c:pt idx="29">
                  <c:v>0.9811760544409025</c:v>
                </c:pt>
                <c:pt idx="30">
                  <c:v>0.97983997707863979</c:v>
                </c:pt>
                <c:pt idx="31">
                  <c:v>0.97850089386128947</c:v>
                </c:pt>
                <c:pt idx="32">
                  <c:v>0.97716150886253628</c:v>
                </c:pt>
                <c:pt idx="33">
                  <c:v>0.97582421650957751</c:v>
                </c:pt>
                <c:pt idx="34">
                  <c:v>0.97449113042010127</c:v>
                </c:pt>
                <c:pt idx="35">
                  <c:v>0.97316411036876516</c:v>
                </c:pt>
                <c:pt idx="36">
                  <c:v>0.97184478726520585</c:v>
                </c:pt>
                <c:pt idx="37">
                  <c:v>0.97053458612157661</c:v>
                </c:pt>
                <c:pt idx="38">
                  <c:v>0.96923474705166801</c:v>
                </c:pt>
                <c:pt idx="39">
                  <c:v>0.96794634438477811</c:v>
                </c:pt>
                <c:pt idx="40">
                  <c:v>0.96667030400227771</c:v>
                </c:pt>
                <c:pt idx="41">
                  <c:v>0.965407419018108</c:v>
                </c:pt>
                <c:pt idx="42">
                  <c:v>0.9641583639297604</c:v>
                </c:pt>
                <c:pt idx="43">
                  <c:v>0.96292370736620647</c:v>
                </c:pt>
                <c:pt idx="44">
                  <c:v>0.96170392355558521</c:v>
                </c:pt>
                <c:pt idx="45">
                  <c:v>0.96049940262955924</c:v>
                </c:pt>
                <c:pt idx="46">
                  <c:v>0.95931045987403385</c:v>
                </c:pt>
                <c:pt idx="47">
                  <c:v>0.95813734402806228</c:v>
                </c:pt>
                <c:pt idx="48">
                  <c:v>0.95698024472467924</c:v>
                </c:pt>
                <c:pt idx="49">
                  <c:v>0.95583929915941968</c:v>
                </c:pt>
                <c:pt idx="50">
                  <c:v>0.95471459806458125</c:v>
                </c:pt>
                <c:pt idx="51">
                  <c:v>0.95360619106001177</c:v>
                </c:pt>
                <c:pt idx="52">
                  <c:v>0.95251409144439647</c:v>
                </c:pt>
              </c:numCache>
            </c:numRef>
          </c:val>
        </c:ser>
        <c:ser>
          <c:idx val="23"/>
          <c:order val="23"/>
          <c:tx>
            <c:strRef>
              <c:f>'delta time'!$AH$2</c:f>
              <c:strCache>
                <c:ptCount val="1"/>
                <c:pt idx="0">
                  <c:v>48,5</c:v>
                </c:pt>
              </c:strCache>
            </c:strRef>
          </c:tx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time'!$AH$3:$AH$55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0.99999999999998546</c:v>
                </c:pt>
                <c:pt idx="3">
                  <c:v>0.99999999977249698</c:v>
                </c:pt>
                <c:pt idx="4">
                  <c:v>0.99999997008565622</c:v>
                </c:pt>
                <c:pt idx="5">
                  <c:v>0.999999427196956</c:v>
                </c:pt>
                <c:pt idx="6">
                  <c:v>0.99999583834060002</c:v>
                </c:pt>
                <c:pt idx="7">
                  <c:v>0.99998267088372517</c:v>
                </c:pt>
                <c:pt idx="8">
                  <c:v>0.99994912972312189</c:v>
                </c:pt>
                <c:pt idx="9">
                  <c:v>0.99988183806832287</c:v>
                </c:pt>
                <c:pt idx="10">
                  <c:v>0.99976718519439034</c:v>
                </c:pt>
                <c:pt idx="11">
                  <c:v>0.99959323757011487</c:v>
                </c:pt>
                <c:pt idx="12">
                  <c:v>0.9993508264653157</c:v>
                </c:pt>
                <c:pt idx="13">
                  <c:v>0.99903389701612999</c:v>
                </c:pt>
                <c:pt idx="14">
                  <c:v>0.99863936187050695</c:v>
                </c:pt>
                <c:pt idx="15">
                  <c:v>0.99816669106814759</c:v>
                </c:pt>
                <c:pt idx="16">
                  <c:v>0.99761740396301779</c:v>
                </c:pt>
                <c:pt idx="17">
                  <c:v>0.99699456325514668</c:v>
                </c:pt>
                <c:pt idx="18">
                  <c:v>0.99630232244427741</c:v>
                </c:pt>
                <c:pt idx="19">
                  <c:v>0.99554554690305397</c:v>
                </c:pt>
                <c:pt idx="20">
                  <c:v>0.9947295110360187</c:v>
                </c:pt>
                <c:pt idx="21">
                  <c:v>0.99385966506933365</c:v>
                </c:pt>
                <c:pt idx="22">
                  <c:v>0.99294146137809003</c:v>
                </c:pt>
                <c:pt idx="23">
                  <c:v>0.9919802295364798</c:v>
                </c:pt>
                <c:pt idx="24">
                  <c:v>0.99098109000952961</c:v>
                </c:pt>
                <c:pt idx="25">
                  <c:v>0.98994889774776218</c:v>
                </c:pt>
                <c:pt idx="26">
                  <c:v>0.9888882084394166</c:v>
                </c:pt>
                <c:pt idx="27">
                  <c:v>0.9878032615904877</c:v>
                </c:pt>
                <c:pt idx="28">
                  <c:v>0.98669797584316621</c:v>
                </c:pt>
                <c:pt idx="29">
                  <c:v>0.98557595298070821</c:v>
                </c:pt>
                <c:pt idx="30">
                  <c:v>0.98444048790870076</c:v>
                </c:pt>
                <c:pt idx="31">
                  <c:v>0.98329458257170443</c:v>
                </c:pt>
                <c:pt idx="32">
                  <c:v>0.98214096228764458</c:v>
                </c:pt>
                <c:pt idx="33">
                  <c:v>0.98098209338684139</c:v>
                </c:pt>
                <c:pt idx="34">
                  <c:v>0.9798202013520817</c:v>
                </c:pt>
                <c:pt idx="35">
                  <c:v>0.97865728889085979</c:v>
                </c:pt>
                <c:pt idx="36">
                  <c:v>0.97749515354743644</c:v>
                </c:pt>
                <c:pt idx="37">
                  <c:v>0.97633540459397672</c:v>
                </c:pt>
                <c:pt idx="38">
                  <c:v>0.97517947903724833</c:v>
                </c:pt>
                <c:pt idx="39">
                  <c:v>0.97402865664840277</c:v>
                </c:pt>
                <c:pt idx="40">
                  <c:v>0.9728840739745922</c:v>
                </c:pt>
                <c:pt idx="41">
                  <c:v>0.97174673732749861</c:v>
                </c:pt>
                <c:pt idx="42">
                  <c:v>0.97061753476901913</c:v>
                </c:pt>
                <c:pt idx="43">
                  <c:v>0.9694972471312362</c:v>
                </c:pt>
                <c:pt idx="44">
                  <c:v>0.96838655811856778</c:v>
                </c:pt>
                <c:pt idx="45">
                  <c:v>0.96728606354629709</c:v>
                </c:pt>
                <c:pt idx="46">
                  <c:v>0.96619627977275702</c:v>
                </c:pt>
                <c:pt idx="47">
                  <c:v>0.96511765138322592</c:v>
                </c:pt>
                <c:pt idx="48">
                  <c:v>0.96405055818277707</c:v>
                </c:pt>
                <c:pt idx="49">
                  <c:v>0.96299532155342271</c:v>
                </c:pt>
                <c:pt idx="50">
                  <c:v>0.96195221022829747</c:v>
                </c:pt>
                <c:pt idx="51">
                  <c:v>0.96092144553260606</c:v>
                </c:pt>
                <c:pt idx="52">
                  <c:v>0.95990320613782132</c:v>
                </c:pt>
              </c:numCache>
            </c:numRef>
          </c:val>
        </c:ser>
        <c:ser>
          <c:idx val="24"/>
          <c:order val="24"/>
          <c:tx>
            <c:strRef>
              <c:f>'delta time'!$AI$2</c:f>
              <c:strCache>
                <c:ptCount val="1"/>
                <c:pt idx="0">
                  <c:v>49</c:v>
                </c:pt>
              </c:strCache>
            </c:strRef>
          </c:tx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time'!$AI$3:$AI$55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0.99999999999999944</c:v>
                </c:pt>
                <c:pt idx="3">
                  <c:v>0.99999999997351074</c:v>
                </c:pt>
                <c:pt idx="4">
                  <c:v>0.9999999941437766</c:v>
                </c:pt>
                <c:pt idx="5">
                  <c:v>0.99999984673811382</c:v>
                </c:pt>
                <c:pt idx="6">
                  <c:v>0.99999862810629514</c:v>
                </c:pt>
                <c:pt idx="7">
                  <c:v>0.99999336760853785</c:v>
                </c:pt>
                <c:pt idx="8">
                  <c:v>0.99997821962975664</c:v>
                </c:pt>
                <c:pt idx="9">
                  <c:v>0.99994478949134669</c:v>
                </c:pt>
                <c:pt idx="10">
                  <c:v>0.99988333068201085</c:v>
                </c:pt>
                <c:pt idx="11">
                  <c:v>0.9997841260598298</c:v>
                </c:pt>
                <c:pt idx="12">
                  <c:v>0.99963857841810255</c:v>
                </c:pt>
                <c:pt idx="13">
                  <c:v>0.99943985621145093</c:v>
                </c:pt>
                <c:pt idx="14">
                  <c:v>0.99918313886916277</c:v>
                </c:pt>
                <c:pt idx="15">
                  <c:v>0.99886557798456088</c:v>
                </c:pt>
                <c:pt idx="16">
                  <c:v>0.9984860908822627</c:v>
                </c:pt>
                <c:pt idx="17">
                  <c:v>0.99804507629124839</c:v>
                </c:pt>
                <c:pt idx="18">
                  <c:v>0.99754411159816192</c:v>
                </c:pt>
                <c:pt idx="19">
                  <c:v>0.99698566644529663</c:v>
                </c:pt>
                <c:pt idx="20">
                  <c:v>0.99637285006360865</c:v>
                </c:pt>
                <c:pt idx="21">
                  <c:v>0.99570919867911933</c:v>
                </c:pt>
                <c:pt idx="22">
                  <c:v>0.99499850290602088</c:v>
                </c:pt>
                <c:pt idx="23">
                  <c:v>0.99424467169592168</c:v>
                </c:pt>
                <c:pt idx="24">
                  <c:v>0.99345162798095377</c:v>
                </c:pt>
                <c:pt idx="25">
                  <c:v>0.99262323082633752</c:v>
                </c:pt>
                <c:pt idx="26">
                  <c:v>0.99176321917856902</c:v>
                </c:pt>
                <c:pt idx="27">
                  <c:v>0.99087517284259907</c:v>
                </c:pt>
                <c:pt idx="28">
                  <c:v>0.98996248696168976</c:v>
                </c:pt>
                <c:pt idx="29">
                  <c:v>0.98902835690714264</c:v>
                </c:pt>
                <c:pt idx="30">
                  <c:v>0.98807577106252142</c:v>
                </c:pt>
                <c:pt idx="31">
                  <c:v>0.98710750948857839</c:v>
                </c:pt>
                <c:pt idx="32">
                  <c:v>0.98612614687734768</c:v>
                </c:pt>
                <c:pt idx="33">
                  <c:v>0.98513405855167691</c:v>
                </c:pt>
                <c:pt idx="34">
                  <c:v>0.98413342854838959</c:v>
                </c:pt>
                <c:pt idx="35">
                  <c:v>0.98312625904901341</c:v>
                </c:pt>
                <c:pt idx="36">
                  <c:v>0.98211438060097855</c:v>
                </c:pt>
                <c:pt idx="37">
                  <c:v>0.98109946271291448</c:v>
                </c:pt>
                <c:pt idx="38">
                  <c:v>0.98008302451751272</c:v>
                </c:pt>
                <c:pt idx="39">
                  <c:v>0.97906644528055919</c:v>
                </c:pt>
                <c:pt idx="40">
                  <c:v>0.97805097460028845</c:v>
                </c:pt>
                <c:pt idx="41">
                  <c:v>0.97703774219130213</c:v>
                </c:pt>
                <c:pt idx="42">
                  <c:v>0.97602776718527717</c:v>
                </c:pt>
                <c:pt idx="43">
                  <c:v>0.97502196690921372</c:v>
                </c:pt>
                <c:pt idx="44">
                  <c:v>0.97402116512315684</c:v>
                </c:pt>
                <c:pt idx="45">
                  <c:v>0.97302609971483633</c:v>
                </c:pt>
                <c:pt idx="46">
                  <c:v>0.97203742985980723</c:v>
                </c:pt>
                <c:pt idx="47">
                  <c:v>0.97105574266347428</c:v>
                </c:pt>
                <c:pt idx="48">
                  <c:v>0.9700815593066372</c:v>
                </c:pt>
                <c:pt idx="49">
                  <c:v>0.96911534071953598</c:v>
                </c:pt>
                <c:pt idx="50">
                  <c:v>0.96815749281126839</c:v>
                </c:pt>
                <c:pt idx="51">
                  <c:v>0.96720837128229553</c:v>
                </c:pt>
                <c:pt idx="52">
                  <c:v>0.96626828604780879</c:v>
                </c:pt>
              </c:numCache>
            </c:numRef>
          </c:val>
        </c:ser>
        <c:ser>
          <c:idx val="25"/>
          <c:order val="25"/>
          <c:tx>
            <c:strRef>
              <c:f>'delta time'!$AJ$2</c:f>
              <c:strCache>
                <c:ptCount val="1"/>
                <c:pt idx="0">
                  <c:v>49,5</c:v>
                </c:pt>
              </c:strCache>
            </c:strRef>
          </c:tx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time'!$AJ$3:$AJ$55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0.99999999999715916</c:v>
                </c:pt>
                <c:pt idx="4">
                  <c:v>0.99999999892149005</c:v>
                </c:pt>
                <c:pt idx="5">
                  <c:v>0.99999996093114885</c:v>
                </c:pt>
                <c:pt idx="6">
                  <c:v>0.9999995654881102</c:v>
                </c:pt>
                <c:pt idx="7">
                  <c:v>0.99999754642446059</c:v>
                </c:pt>
                <c:pt idx="8">
                  <c:v>0.99999094573238034</c:v>
                </c:pt>
                <c:pt idx="9">
                  <c:v>0.99997486571534144</c:v>
                </c:pt>
                <c:pt idx="10">
                  <c:v>0.99994287700879725</c:v>
                </c:pt>
                <c:pt idx="11">
                  <c:v>0.99988781028609719</c:v>
                </c:pt>
                <c:pt idx="12">
                  <c:v>0.99980258532886968</c:v>
                </c:pt>
                <c:pt idx="13">
                  <c:v>0.99968086212919249</c:v>
                </c:pt>
                <c:pt idx="14">
                  <c:v>0.99951744504210149</c:v>
                </c:pt>
                <c:pt idx="15">
                  <c:v>0.99930846108830096</c:v>
                </c:pt>
                <c:pt idx="16">
                  <c:v>0.99905136938880612</c:v>
                </c:pt>
                <c:pt idx="17">
                  <c:v>0.99874486213888836</c:v>
                </c:pt>
                <c:pt idx="18">
                  <c:v>0.99838870686838233</c:v>
                </c:pt>
                <c:pt idx="19">
                  <c:v>0.99798356566713609</c:v>
                </c:pt>
                <c:pt idx="20">
                  <c:v>0.99753081441127811</c:v>
                </c:pt>
                <c:pt idx="21">
                  <c:v>0.99703237533512412</c:v>
                </c:pt>
                <c:pt idx="22">
                  <c:v>0.99649056955074145</c:v>
                </c:pt>
                <c:pt idx="23">
                  <c:v>0.99590799176732792</c:v>
                </c:pt>
                <c:pt idx="24">
                  <c:v>0.99528740686012263</c:v>
                </c:pt>
                <c:pt idx="25">
                  <c:v>0.99463166652626067</c:v>
                </c:pt>
                <c:pt idx="26">
                  <c:v>0.99394364361905729</c:v>
                </c:pt>
                <c:pt idx="27">
                  <c:v>0.99322618157333498</c:v>
                </c:pt>
                <c:pt idx="28">
                  <c:v>0.99248205642174536</c:v>
                </c:pt>
                <c:pt idx="29">
                  <c:v>0.99171394912647159</c:v>
                </c:pt>
                <c:pt idx="30">
                  <c:v>0.99092442623258836</c:v>
                </c:pt>
                <c:pt idx="31">
                  <c:v>0.99011592714192165</c:v>
                </c:pt>
                <c:pt idx="32">
                  <c:v>0.98929075658381427</c:v>
                </c:pt>
                <c:pt idx="33">
                  <c:v>0.98845108110920765</c:v>
                </c:pt>
                <c:pt idx="34">
                  <c:v>0.98759892865220655</c:v>
                </c:pt>
                <c:pt idx="35">
                  <c:v>0.98673619038859994</c:v>
                </c:pt>
                <c:pt idx="36">
                  <c:v>0.98586462427587074</c:v>
                </c:pt>
                <c:pt idx="37">
                  <c:v>0.98498585978729425</c:v>
                </c:pt>
                <c:pt idx="38">
                  <c:v>0.984101403457456</c:v>
                </c:pt>
                <c:pt idx="39">
                  <c:v>0.98321264494144367</c:v>
                </c:pt>
                <c:pt idx="40">
                  <c:v>0.98232086335835278</c:v>
                </c:pt>
                <c:pt idx="41">
                  <c:v>0.98142723374447005</c:v>
                </c:pt>
                <c:pt idx="42">
                  <c:v>0.9805328334850405</c:v>
                </c:pt>
                <c:pt idx="43">
                  <c:v>0.97963864862796457</c:v>
                </c:pt>
                <c:pt idx="44">
                  <c:v>0.97874558000986911</c:v>
                </c:pt>
                <c:pt idx="45">
                  <c:v>0.97785444914617692</c:v>
                </c:pt>
                <c:pt idx="46">
                  <c:v>0.97696600385324062</c:v>
                </c:pt>
                <c:pt idx="47">
                  <c:v>0.9760809235832768</c:v>
                </c:pt>
                <c:pt idx="48">
                  <c:v>0.97519982446249676</c:v>
                </c:pt>
                <c:pt idx="49">
                  <c:v>0.97432326403012126</c:v>
                </c:pt>
                <c:pt idx="50">
                  <c:v>0.97345174568137172</c:v>
                </c:pt>
                <c:pt idx="51">
                  <c:v>0.97258572282147893</c:v>
                </c:pt>
                <c:pt idx="52">
                  <c:v>0.97172560274053388</c:v>
                </c:pt>
              </c:numCache>
            </c:numRef>
          </c:val>
        </c:ser>
        <c:ser>
          <c:idx val="26"/>
          <c:order val="26"/>
          <c:tx>
            <c:strRef>
              <c:f>'delta time'!$AK$2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'delta time'!$AK$3:$AK$55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0.99999999999971867</c:v>
                </c:pt>
                <c:pt idx="4">
                  <c:v>0.99999999981280319</c:v>
                </c:pt>
                <c:pt idx="5">
                  <c:v>0.99999999049789889</c:v>
                </c:pt>
                <c:pt idx="6">
                  <c:v>0.99999986762074144</c:v>
                </c:pt>
                <c:pt idx="7">
                  <c:v>0.99999912180137607</c:v>
                </c:pt>
                <c:pt idx="8">
                  <c:v>0.99999634239760637</c:v>
                </c:pt>
                <c:pt idx="9">
                  <c:v>0.99998884335204274</c:v>
                </c:pt>
                <c:pt idx="10">
                  <c:v>0.99997265621999287</c:v>
                </c:pt>
                <c:pt idx="11">
                  <c:v>0.99994287125072534</c:v>
                </c:pt>
                <c:pt idx="12">
                  <c:v>0.99989415075372057</c:v>
                </c:pt>
                <c:pt idx="13">
                  <c:v>0.99982124001095973</c:v>
                </c:pt>
                <c:pt idx="14">
                  <c:v>0.99971937178169057</c:v>
                </c:pt>
                <c:pt idx="15">
                  <c:v>0.99958452996180347</c:v>
                </c:pt>
                <c:pt idx="16">
                  <c:v>0.99941358158156768</c:v>
                </c:pt>
                <c:pt idx="17">
                  <c:v>0.99920430553758233</c:v>
                </c:pt>
                <c:pt idx="18">
                  <c:v>0.99895535012018555</c:v>
                </c:pt>
                <c:pt idx="19">
                  <c:v>0.99866614744444304</c:v>
                </c:pt>
                <c:pt idx="20">
                  <c:v>0.99833680636780153</c:v>
                </c:pt>
                <c:pt idx="21">
                  <c:v>0.99796799898554212</c:v>
                </c:pt>
                <c:pt idx="22">
                  <c:v>0.99756085039852593</c:v>
                </c:pt>
                <c:pt idx="23">
                  <c:v>0.99711683738949253</c:v>
                </c:pt>
                <c:pt idx="24">
                  <c:v>0.99663769880078201</c:v>
                </c:pt>
                <c:pt idx="25">
                  <c:v>0.99612535853173112</c:v>
                </c:pt>
                <c:pt idx="26">
                  <c:v>0.99558186091489165</c:v>
                </c:pt>
                <c:pt idx="27">
                  <c:v>0.99500931757149746</c:v>
                </c:pt>
                <c:pt idx="28">
                  <c:v>0.99440986452207647</c:v>
                </c:pt>
                <c:pt idx="29">
                  <c:v>0.99378562821686656</c:v>
                </c:pt>
                <c:pt idx="30">
                  <c:v>0.99313869916845998</c:v>
                </c:pt>
                <c:pt idx="31">
                  <c:v>0.99247111195916682</c:v>
                </c:pt>
                <c:pt idx="32">
                  <c:v>0.99178483052113031</c:v>
                </c:pt>
                <c:pt idx="33">
                  <c:v>0.99108173772514696</c:v>
                </c:pt>
                <c:pt idx="34">
                  <c:v>0.99036362845069803</c:v>
                </c:pt>
                <c:pt idx="35">
                  <c:v>0.98963220543722874</c:v>
                </c:pt>
                <c:pt idx="36">
                  <c:v>0.98888907733148335</c:v>
                </c:pt>
                <c:pt idx="37">
                  <c:v>0.98813575844640311</c:v>
                </c:pt>
                <c:pt idx="38">
                  <c:v>0.98737366983384378</c:v>
                </c:pt>
                <c:pt idx="39">
                  <c:v>0.98660414134706276</c:v>
                </c:pt>
                <c:pt idx="40">
                  <c:v>0.98582841443086977</c:v>
                </c:pt>
                <c:pt idx="41">
                  <c:v>0.98504764542894574</c:v>
                </c:pt>
                <c:pt idx="42">
                  <c:v>0.9842629092405315</c:v>
                </c:pt>
                <c:pt idx="43">
                  <c:v>0.983475203193795</c:v>
                </c:pt>
                <c:pt idx="44">
                  <c:v>0.98268545103189608</c:v>
                </c:pt>
                <c:pt idx="45">
                  <c:v>0.98189450693112912</c:v>
                </c:pt>
                <c:pt idx="46">
                  <c:v>0.98110315948944549</c:v>
                </c:pt>
                <c:pt idx="47">
                  <c:v>0.98031213563890629</c:v>
                </c:pt>
                <c:pt idx="48">
                  <c:v>0.97952210444785204</c:v>
                </c:pt>
                <c:pt idx="49">
                  <c:v>0.97873368078833356</c:v>
                </c:pt>
                <c:pt idx="50">
                  <c:v>0.97794742885209485</c:v>
                </c:pt>
                <c:pt idx="51">
                  <c:v>0.97716386550449974</c:v>
                </c:pt>
                <c:pt idx="52">
                  <c:v>0.9763834634705636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106800560"/>
        <c:axId val="-1106809264"/>
        <c:axId val="-1201493184"/>
      </c:surface3DChart>
      <c:catAx>
        <c:axId val="-110680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6809264"/>
        <c:crosses val="autoZero"/>
        <c:auto val="1"/>
        <c:lblAlgn val="ctr"/>
        <c:lblOffset val="100"/>
        <c:noMultiLvlLbl val="0"/>
      </c:catAx>
      <c:valAx>
        <c:axId val="-11068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6800560"/>
        <c:crosses val="autoZero"/>
        <c:crossBetween val="midCat"/>
      </c:valAx>
      <c:serAx>
        <c:axId val="-1201493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68092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701662292205E-2"/>
          <c:y val="6.6512000232872931E-2"/>
          <c:w val="0.88630074365704292"/>
          <c:h val="0.84981738984754562"/>
        </c:manualLayout>
      </c:layout>
      <c:scatterChart>
        <c:scatterStyle val="smoothMarker"/>
        <c:varyColors val="0"/>
        <c:ser>
          <c:idx val="0"/>
          <c:order val="0"/>
          <c:tx>
            <c:v>47  OTM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theta!$J$3:$J$55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theta!$K$3:$K$55</c:f>
              <c:numCache>
                <c:formatCode>General</c:formatCode>
                <c:ptCount val="53"/>
                <c:pt idx="0">
                  <c:v>-1.1591854802098871</c:v>
                </c:pt>
                <c:pt idx="1">
                  <c:v>-3.8079636237421934</c:v>
                </c:pt>
                <c:pt idx="2">
                  <c:v>-5.2007219469343786</c:v>
                </c:pt>
                <c:pt idx="3">
                  <c:v>-5.8343369925091499</c:v>
                </c:pt>
                <c:pt idx="4">
                  <c:v>-6.101902227584401</c:v>
                </c:pt>
                <c:pt idx="5">
                  <c:v>-6.1877266791489385</c:v>
                </c:pt>
                <c:pt idx="6">
                  <c:v>-6.1796174429074799</c:v>
                </c:pt>
                <c:pt idx="7">
                  <c:v>-6.1218233609000405</c:v>
                </c:pt>
                <c:pt idx="8">
                  <c:v>-6.0378223443084549</c:v>
                </c:pt>
                <c:pt idx="9">
                  <c:v>-5.9405873782211369</c:v>
                </c:pt>
                <c:pt idx="10">
                  <c:v>-5.8374990769332733</c:v>
                </c:pt>
                <c:pt idx="11">
                  <c:v>-5.7328318580153059</c:v>
                </c:pt>
                <c:pt idx="12">
                  <c:v>-5.6290746560728557</c:v>
                </c:pt>
                <c:pt idx="13">
                  <c:v>-5.5276619717087092</c:v>
                </c:pt>
                <c:pt idx="14">
                  <c:v>-5.4293927829765529</c:v>
                </c:pt>
                <c:pt idx="15">
                  <c:v>-5.3346776544053531</c:v>
                </c:pt>
                <c:pt idx="16">
                  <c:v>-5.2436880524355116</c:v>
                </c:pt>
                <c:pt idx="17">
                  <c:v>-5.1564483591056733</c:v>
                </c:pt>
                <c:pt idx="18">
                  <c:v>-5.0728934625289046</c:v>
                </c:pt>
                <c:pt idx="19">
                  <c:v>-4.9929052209677653</c:v>
                </c:pt>
                <c:pt idx="20">
                  <c:v>-4.9163357225216933</c:v>
                </c:pt>
                <c:pt idx="21">
                  <c:v>-4.8430221642461104</c:v>
                </c:pt>
                <c:pt idx="22">
                  <c:v>-4.7727963447809785</c:v>
                </c:pt>
                <c:pt idx="23">
                  <c:v>-4.705490660305415</c:v>
                </c:pt>
                <c:pt idx="24">
                  <c:v>-4.6409418141912706</c:v>
                </c:pt>
                <c:pt idx="25">
                  <c:v>-4.5789930253828341</c:v>
                </c:pt>
                <c:pt idx="26">
                  <c:v>-4.5194952501141419</c:v>
                </c:pt>
                <c:pt idx="27">
                  <c:v>-4.4623077572789036</c:v>
                </c:pt>
                <c:pt idx="28">
                  <c:v>-4.4072982840501895</c:v>
                </c:pt>
                <c:pt idx="29">
                  <c:v>-4.3543429233556035</c:v>
                </c:pt>
                <c:pt idx="30">
                  <c:v>-4.3033258449002485</c:v>
                </c:pt>
                <c:pt idx="31">
                  <c:v>-4.2541389179457383</c:v>
                </c:pt>
                <c:pt idx="32">
                  <c:v>-4.2066812814455767</c:v>
                </c:pt>
                <c:pt idx="33">
                  <c:v>-4.1608588917967904</c:v>
                </c:pt>
                <c:pt idx="34">
                  <c:v>-4.1165840680231813</c:v>
                </c:pt>
                <c:pt idx="35">
                  <c:v>-4.0737750470831653</c:v>
                </c:pt>
                <c:pt idx="36">
                  <c:v>-4.0323555571407139</c:v>
                </c:pt>
                <c:pt idx="37">
                  <c:v>-3.9922544133391415</c:v>
                </c:pt>
                <c:pt idx="38">
                  <c:v>-3.95340513839029</c:v>
                </c:pt>
                <c:pt idx="39">
                  <c:v>-3.9157456088039839</c:v>
                </c:pt>
                <c:pt idx="40">
                  <c:v>-3.8792177266061416</c:v>
                </c:pt>
                <c:pt idx="41">
                  <c:v>-3.843767115770329</c:v>
                </c:pt>
                <c:pt idx="42">
                  <c:v>-3.8093428422071263</c:v>
                </c:pt>
                <c:pt idx="43">
                  <c:v>-3.7758971559416072</c:v>
                </c:pt>
                <c:pt idx="44">
                  <c:v>-3.7433852540082588</c:v>
                </c:pt>
                <c:pt idx="45">
                  <c:v>-3.7117650625673408</c:v>
                </c:pt>
                <c:pt idx="46">
                  <c:v>-3.6809970367708567</c:v>
                </c:pt>
                <c:pt idx="47">
                  <c:v>-3.6510439769619718</c:v>
                </c:pt>
                <c:pt idx="48">
                  <c:v>-3.6218708598661116</c:v>
                </c:pt>
                <c:pt idx="49">
                  <c:v>-3.593444683516561</c:v>
                </c:pt>
                <c:pt idx="50">
                  <c:v>-3.5657343247462117</c:v>
                </c:pt>
                <c:pt idx="51">
                  <c:v>-3.5387104081662479</c:v>
                </c:pt>
                <c:pt idx="52">
                  <c:v>-3.5123451856394214</c:v>
                </c:pt>
              </c:numCache>
            </c:numRef>
          </c:yVal>
          <c:smooth val="1"/>
        </c:ser>
        <c:ser>
          <c:idx val="1"/>
          <c:order val="1"/>
          <c:tx>
            <c:v>50  ATM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theta!$J$3:$J$55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theta!$Q$3:$Q$55</c:f>
              <c:numCache>
                <c:formatCode>General</c:formatCode>
                <c:ptCount val="53"/>
                <c:pt idx="0">
                  <c:v>-25.426758976138576</c:v>
                </c:pt>
                <c:pt idx="1">
                  <c:v>-18.120778865870637</c:v>
                </c:pt>
                <c:pt idx="2">
                  <c:v>-14.883110340351314</c:v>
                </c:pt>
                <c:pt idx="3">
                  <c:v>-12.952484795655582</c:v>
                </c:pt>
                <c:pt idx="4">
                  <c:v>-11.634556644838412</c:v>
                </c:pt>
                <c:pt idx="5">
                  <c:v>-10.661401934043921</c:v>
                </c:pt>
                <c:pt idx="6">
                  <c:v>-9.9048315146328854</c:v>
                </c:pt>
                <c:pt idx="7">
                  <c:v>-9.2947870872383316</c:v>
                </c:pt>
                <c:pt idx="8">
                  <c:v>-8.7893195961676813</c:v>
                </c:pt>
                <c:pt idx="9">
                  <c:v>-8.3615740977497683</c:v>
                </c:pt>
                <c:pt idx="10">
                  <c:v>-7.99345532931933</c:v>
                </c:pt>
                <c:pt idx="11">
                  <c:v>-7.6722661064089372</c:v>
                </c:pt>
                <c:pt idx="12">
                  <c:v>-7.3887989363674009</c:v>
                </c:pt>
                <c:pt idx="13">
                  <c:v>-7.1361923511219825</c:v>
                </c:pt>
                <c:pt idx="14">
                  <c:v>-6.9092143354780911</c:v>
                </c:pt>
                <c:pt idx="15">
                  <c:v>-6.7037963088557495</c:v>
                </c:pt>
                <c:pt idx="16">
                  <c:v>-6.5167202974425615</c:v>
                </c:pt>
                <c:pt idx="17">
                  <c:v>-6.3454031319851119</c:v>
                </c:pt>
                <c:pt idx="18">
                  <c:v>-6.1877440005456554</c:v>
                </c:pt>
                <c:pt idx="19">
                  <c:v>-6.0420144860397063</c:v>
                </c:pt>
                <c:pt idx="20">
                  <c:v>-5.9067777692244601</c:v>
                </c:pt>
                <c:pt idx="21">
                  <c:v>-5.7808282747087238</c:v>
                </c:pt>
                <c:pt idx="22">
                  <c:v>-5.6631459153419428</c:v>
                </c:pt>
                <c:pt idx="23">
                  <c:v>-5.5528609373223619</c:v>
                </c:pt>
                <c:pt idx="24">
                  <c:v>-5.4492265805502784</c:v>
                </c:pt>
                <c:pt idx="25">
                  <c:v>-5.3515975805247189</c:v>
                </c:pt>
                <c:pt idx="26">
                  <c:v>-5.2594130917466844</c:v>
                </c:pt>
                <c:pt idx="27">
                  <c:v>-5.1721829965690249</c:v>
                </c:pt>
                <c:pt idx="28">
                  <c:v>-5.0894768338270095</c:v>
                </c:pt>
                <c:pt idx="29">
                  <c:v>-5.0109147746852356</c:v>
                </c:pt>
                <c:pt idx="30">
                  <c:v>-4.9361602128368531</c:v>
                </c:pt>
                <c:pt idx="31">
                  <c:v>-4.864913638476188</c:v>
                </c:pt>
                <c:pt idx="32">
                  <c:v>-4.7969075411938285</c:v>
                </c:pt>
                <c:pt idx="33">
                  <c:v>-4.731902143592313</c:v>
                </c:pt>
                <c:pt idx="34">
                  <c:v>-4.6696818102087088</c:v>
                </c:pt>
                <c:pt idx="35">
                  <c:v>-4.6100520089421115</c:v>
                </c:pt>
                <c:pt idx="36">
                  <c:v>-4.5528367272509396</c:v>
                </c:pt>
                <c:pt idx="37">
                  <c:v>-4.4978762648061394</c:v>
                </c:pt>
                <c:pt idx="38">
                  <c:v>-4.4450253394465316</c:v>
                </c:pt>
                <c:pt idx="39">
                  <c:v>-4.394151455200201</c:v>
                </c:pt>
                <c:pt idx="40">
                  <c:v>-4.3451334905670915</c:v>
                </c:pt>
                <c:pt idx="41">
                  <c:v>-4.2978604727687237</c:v>
                </c:pt>
                <c:pt idx="42">
                  <c:v>-4.2522305096881814</c:v>
                </c:pt>
                <c:pt idx="43">
                  <c:v>-4.2081498560713921</c:v>
                </c:pt>
                <c:pt idx="44">
                  <c:v>-4.1655320944877339</c:v>
                </c:pt>
                <c:pt idx="45">
                  <c:v>-4.1242974147452882</c:v>
                </c:pt>
                <c:pt idx="46">
                  <c:v>-4.0843719780719114</c:v>
                </c:pt>
                <c:pt idx="47">
                  <c:v>-4.0456873545235235</c:v>
                </c:pt>
                <c:pt idx="48">
                  <c:v>-4.0081800238562408</c:v>
                </c:pt>
                <c:pt idx="49">
                  <c:v>-3.9717909315708804</c:v>
                </c:pt>
                <c:pt idx="50">
                  <c:v>-3.9364650930637648</c:v>
                </c:pt>
                <c:pt idx="51">
                  <c:v>-3.9021512398418108</c:v>
                </c:pt>
                <c:pt idx="52">
                  <c:v>-3.8688015026189411</c:v>
                </c:pt>
              </c:numCache>
            </c:numRef>
          </c:yVal>
          <c:smooth val="1"/>
        </c:ser>
        <c:ser>
          <c:idx val="2"/>
          <c:order val="2"/>
          <c:tx>
            <c:v>53  ITM</c:v>
          </c:tx>
          <c:spPr>
            <a:ln w="19050" cap="rnd">
              <a:solidFill>
                <a:srgbClr val="42AC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AC8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theta!$J$3:$J$55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theta!$W$3:$W$55</c:f>
              <c:numCache>
                <c:formatCode>General</c:formatCode>
                <c:ptCount val="53"/>
                <c:pt idx="0">
                  <c:v>-2.6555800741646687</c:v>
                </c:pt>
                <c:pt idx="1">
                  <c:v>-5.5289185556129992</c:v>
                </c:pt>
                <c:pt idx="2">
                  <c:v>-6.7879204501206676</c:v>
                </c:pt>
                <c:pt idx="3">
                  <c:v>-7.2587748245021002</c:v>
                </c:pt>
                <c:pt idx="4">
                  <c:v>-7.3866592618800464</c:v>
                </c:pt>
                <c:pt idx="5">
                  <c:v>-7.3585790163584441</c:v>
                </c:pt>
                <c:pt idx="6">
                  <c:v>-7.2576177947617024</c:v>
                </c:pt>
                <c:pt idx="7">
                  <c:v>-7.1232323461165912</c:v>
                </c:pt>
                <c:pt idx="8">
                  <c:v>-6.9751416113643323</c:v>
                </c:pt>
                <c:pt idx="9">
                  <c:v>-6.8235249264384157</c:v>
                </c:pt>
                <c:pt idx="10">
                  <c:v>-6.673700979859583</c:v>
                </c:pt>
                <c:pt idx="11">
                  <c:v>-6.528409969769573</c:v>
                </c:pt>
                <c:pt idx="12">
                  <c:v>-6.388984160657813</c:v>
                </c:pt>
                <c:pt idx="13">
                  <c:v>-6.2559732832164299</c:v>
                </c:pt>
                <c:pt idx="14">
                  <c:v>-6.1294897258838548</c:v>
                </c:pt>
                <c:pt idx="15">
                  <c:v>-6.0094039237677235</c:v>
                </c:pt>
                <c:pt idx="16">
                  <c:v>-5.8954569889628345</c:v>
                </c:pt>
                <c:pt idx="17">
                  <c:v>-5.7873263613580797</c:v>
                </c:pt>
                <c:pt idx="18">
                  <c:v>-5.6846641943336866</c:v>
                </c:pt>
                <c:pt idx="19">
                  <c:v>-5.5871196393347446</c:v>
                </c:pt>
                <c:pt idx="20">
                  <c:v>-5.4943515003521224</c:v>
                </c:pt>
                <c:pt idx="21">
                  <c:v>-5.4060350835246167</c:v>
                </c:pt>
                <c:pt idx="22">
                  <c:v>-5.3218655400480008</c:v>
                </c:pt>
                <c:pt idx="23">
                  <c:v>-5.2415591011021014</c:v>
                </c:pt>
                <c:pt idx="24">
                  <c:v>-5.1648530642609733</c:v>
                </c:pt>
                <c:pt idx="25">
                  <c:v>-5.0915050626618585</c:v>
                </c:pt>
                <c:pt idx="26">
                  <c:v>-5.0212919459380174</c:v>
                </c:pt>
                <c:pt idx="27">
                  <c:v>-4.9540084759850336</c:v>
                </c:pt>
                <c:pt idx="28">
                  <c:v>-4.8894659616219629</c:v>
                </c:pt>
                <c:pt idx="29">
                  <c:v>-4.8274909063993245</c:v>
                </c:pt>
                <c:pt idx="30">
                  <c:v>-4.7679237123507594</c:v>
                </c:pt>
                <c:pt idx="31">
                  <c:v>-4.710617462663552</c:v>
                </c:pt>
                <c:pt idx="32">
                  <c:v>-4.655436793842008</c:v>
                </c:pt>
                <c:pt idx="33">
                  <c:v>-4.6022568602895069</c:v>
                </c:pt>
                <c:pt idx="34">
                  <c:v>-4.5509623896363935</c:v>
                </c:pt>
                <c:pt idx="35">
                  <c:v>-4.5014468244962478</c:v>
                </c:pt>
                <c:pt idx="36">
                  <c:v>-4.4536115449343603</c:v>
                </c:pt>
                <c:pt idx="37">
                  <c:v>-4.407365165319499</c:v>
                </c:pt>
                <c:pt idx="38">
                  <c:v>-4.3626228991047205</c:v>
                </c:pt>
                <c:pt idx="39">
                  <c:v>-4.3193059852508506</c:v>
                </c:pt>
                <c:pt idx="40">
                  <c:v>-4.2773411703414794</c:v>
                </c:pt>
                <c:pt idx="41">
                  <c:v>-4.236660240860509</c:v>
                </c:pt>
                <c:pt idx="42">
                  <c:v>-4.1971996005607837</c:v>
                </c:pt>
                <c:pt idx="43">
                  <c:v>-4.1588998883137558</c:v>
                </c:pt>
                <c:pt idx="44">
                  <c:v>-4.1217056322760071</c:v>
                </c:pt>
                <c:pt idx="45">
                  <c:v>-4.0855649366282396</c:v>
                </c:pt>
                <c:pt idx="46">
                  <c:v>-4.0504291975305318</c:v>
                </c:pt>
                <c:pt idx="47">
                  <c:v>-4.0162528452920547</c:v>
                </c:pt>
                <c:pt idx="48">
                  <c:v>-3.9829931100744993</c:v>
                </c:pt>
                <c:pt idx="49">
                  <c:v>-3.95060980873706</c:v>
                </c:pt>
                <c:pt idx="50">
                  <c:v>-3.9190651506894469</c:v>
                </c:pt>
                <c:pt idx="51">
                  <c:v>-3.8883235608501256</c:v>
                </c:pt>
                <c:pt idx="52">
                  <c:v>-3.8583515180124963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050144"/>
        <c:axId val="-1098055040"/>
      </c:scatterChart>
      <c:valAx>
        <c:axId val="-109805014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</a:t>
                </a:r>
              </a:p>
            </c:rich>
          </c:tx>
          <c:layout>
            <c:manualLayout>
              <c:xMode val="edge"/>
              <c:yMode val="edge"/>
              <c:x val="0.45144685039370075"/>
              <c:y val="0.94138036420495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55040"/>
        <c:crosses val="autoZero"/>
        <c:crossBetween val="midCat"/>
      </c:valAx>
      <c:valAx>
        <c:axId val="-10980550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1.6666666666666666E-2"/>
              <c:y val="2.518908796289558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91622922134738"/>
          <c:y val="0.62245787668408359"/>
          <c:w val="0.17008377077865267"/>
          <c:h val="0.12476981966902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7697977146796"/>
          <c:y val="8.0570000692359492E-2"/>
          <c:w val="0.81739006866565922"/>
          <c:h val="0.84059417033302508"/>
        </c:manualLayout>
      </c:layout>
      <c:scatterChart>
        <c:scatterStyle val="smoothMarker"/>
        <c:varyColors val="0"/>
        <c:ser>
          <c:idx val="0"/>
          <c:order val="0"/>
          <c:tx>
            <c:v>47  OTM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theta!$T$97:$T$149</c:f>
              <c:numCache>
                <c:formatCode>General</c:formatCode>
                <c:ptCount val="5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9.0000000000000011E-2</c:v>
                </c:pt>
                <c:pt idx="5">
                  <c:v>0.11000000000000001</c:v>
                </c:pt>
                <c:pt idx="6">
                  <c:v>0.13</c:v>
                </c:pt>
                <c:pt idx="7">
                  <c:v>0.15</c:v>
                </c:pt>
                <c:pt idx="8">
                  <c:v>0.16999999999999998</c:v>
                </c:pt>
                <c:pt idx="9">
                  <c:v>0.18999999999999997</c:v>
                </c:pt>
                <c:pt idx="10">
                  <c:v>0.20999999999999996</c:v>
                </c:pt>
                <c:pt idx="11">
                  <c:v>0.22999999999999995</c:v>
                </c:pt>
                <c:pt idx="12">
                  <c:v>0.24999999999999994</c:v>
                </c:pt>
                <c:pt idx="13">
                  <c:v>0.26999999999999996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0.35000000000000003</c:v>
                </c:pt>
                <c:pt idx="18">
                  <c:v>0.37000000000000005</c:v>
                </c:pt>
                <c:pt idx="19">
                  <c:v>0.39000000000000007</c:v>
                </c:pt>
                <c:pt idx="20">
                  <c:v>0.41000000000000009</c:v>
                </c:pt>
                <c:pt idx="21">
                  <c:v>0.4300000000000001</c:v>
                </c:pt>
                <c:pt idx="22">
                  <c:v>0.45000000000000012</c:v>
                </c:pt>
                <c:pt idx="23">
                  <c:v>0.47000000000000014</c:v>
                </c:pt>
                <c:pt idx="24">
                  <c:v>0.49000000000000016</c:v>
                </c:pt>
                <c:pt idx="25">
                  <c:v>0.51000000000000012</c:v>
                </c:pt>
                <c:pt idx="26">
                  <c:v>0.53000000000000014</c:v>
                </c:pt>
                <c:pt idx="27">
                  <c:v>0.55000000000000016</c:v>
                </c:pt>
                <c:pt idx="28">
                  <c:v>0.57000000000000017</c:v>
                </c:pt>
                <c:pt idx="29">
                  <c:v>0.59000000000000019</c:v>
                </c:pt>
                <c:pt idx="30">
                  <c:v>0.61000000000000021</c:v>
                </c:pt>
                <c:pt idx="31">
                  <c:v>0.63000000000000023</c:v>
                </c:pt>
                <c:pt idx="32">
                  <c:v>0.65000000000000024</c:v>
                </c:pt>
                <c:pt idx="33">
                  <c:v>0.67000000000000026</c:v>
                </c:pt>
                <c:pt idx="34">
                  <c:v>0.69000000000000028</c:v>
                </c:pt>
                <c:pt idx="35">
                  <c:v>0.7100000000000003</c:v>
                </c:pt>
                <c:pt idx="36">
                  <c:v>0.73000000000000032</c:v>
                </c:pt>
                <c:pt idx="37">
                  <c:v>0.75000000000000033</c:v>
                </c:pt>
                <c:pt idx="38">
                  <c:v>0.77000000000000035</c:v>
                </c:pt>
                <c:pt idx="39">
                  <c:v>0.79000000000000037</c:v>
                </c:pt>
                <c:pt idx="40">
                  <c:v>0.81000000000000039</c:v>
                </c:pt>
                <c:pt idx="41">
                  <c:v>0.8300000000000004</c:v>
                </c:pt>
                <c:pt idx="42">
                  <c:v>0.85000000000000042</c:v>
                </c:pt>
                <c:pt idx="43">
                  <c:v>0.87000000000000044</c:v>
                </c:pt>
                <c:pt idx="44">
                  <c:v>0.89000000000000046</c:v>
                </c:pt>
                <c:pt idx="45">
                  <c:v>0.91000000000000048</c:v>
                </c:pt>
                <c:pt idx="46">
                  <c:v>0.93000000000000049</c:v>
                </c:pt>
                <c:pt idx="47">
                  <c:v>0.95000000000000051</c:v>
                </c:pt>
                <c:pt idx="48">
                  <c:v>0.97000000000000053</c:v>
                </c:pt>
                <c:pt idx="49">
                  <c:v>0.99000000000000055</c:v>
                </c:pt>
                <c:pt idx="50">
                  <c:v>1.0100000000000005</c:v>
                </c:pt>
                <c:pt idx="51">
                  <c:v>1.0300000000000005</c:v>
                </c:pt>
                <c:pt idx="52">
                  <c:v>1.0500000000000005</c:v>
                </c:pt>
              </c:numCache>
            </c:numRef>
          </c:xVal>
          <c:yVal>
            <c:numRef>
              <c:f>theta!$U$97:$U$149</c:f>
              <c:numCache>
                <c:formatCode>0.00</c:formatCode>
                <c:ptCount val="53"/>
                <c:pt idx="0">
                  <c:v>-1.0532437363883587E-37</c:v>
                </c:pt>
                <c:pt idx="1">
                  <c:v>-6.6680774424176674E-5</c:v>
                </c:pt>
                <c:pt idx="2">
                  <c:v>-4.2518455040147209E-2</c:v>
                </c:pt>
                <c:pt idx="3">
                  <c:v>-0.3044607977911552</c:v>
                </c:pt>
                <c:pt idx="4">
                  <c:v>-0.76268927587840207</c:v>
                </c:pt>
                <c:pt idx="5">
                  <c:v>-1.302177418785488</c:v>
                </c:pt>
                <c:pt idx="6">
                  <c:v>-1.8606115592832604</c:v>
                </c:pt>
                <c:pt idx="7">
                  <c:v>-2.4139982624430911</c:v>
                </c:pt>
                <c:pt idx="8">
                  <c:v>-2.9548586367854757</c:v>
                </c:pt>
                <c:pt idx="9">
                  <c:v>-3.4819803991782505</c:v>
                </c:pt>
                <c:pt idx="10">
                  <c:v>-3.9963203456147287</c:v>
                </c:pt>
                <c:pt idx="11">
                  <c:v>-4.4994354315846437</c:v>
                </c:pt>
                <c:pt idx="12">
                  <c:v>-4.9929052209677645</c:v>
                </c:pt>
                <c:pt idx="13">
                  <c:v>-5.4781400306848616</c:v>
                </c:pt>
                <c:pt idx="14">
                  <c:v>-5.9563371289399987</c:v>
                </c:pt>
                <c:pt idx="15">
                  <c:v>-6.4284909317587466</c:v>
                </c:pt>
                <c:pt idx="16">
                  <c:v>-6.8954199574115407</c:v>
                </c:pt>
                <c:pt idx="17">
                  <c:v>-7.3577961555731228</c:v>
                </c:pt>
                <c:pt idx="18">
                  <c:v>-7.8161714991871349</c:v>
                </c:pt>
                <c:pt idx="19">
                  <c:v>-8.271000450009458</c:v>
                </c:pt>
                <c:pt idx="20">
                  <c:v>-8.7226583372974567</c:v>
                </c:pt>
                <c:pt idx="21">
                  <c:v>-9.1714561697059107</c:v>
                </c:pt>
                <c:pt idx="22">
                  <c:v>-9.6176524990573462</c:v>
                </c:pt>
                <c:pt idx="23">
                  <c:v>-10.061462910171381</c:v>
                </c:pt>
                <c:pt idx="24">
                  <c:v>-10.503067622968111</c:v>
                </c:pt>
                <c:pt idx="25">
                  <c:v>-10.942617601392712</c:v>
                </c:pt>
                <c:pt idx="26">
                  <c:v>-11.380239482563201</c:v>
                </c:pt>
                <c:pt idx="27">
                  <c:v>-11.816039572483716</c:v>
                </c:pt>
                <c:pt idx="28">
                  <c:v>-12.25010710109413</c:v>
                </c:pt>
                <c:pt idx="29">
                  <c:v>-12.682516887374744</c:v>
                </c:pt>
                <c:pt idx="30">
                  <c:v>-13.113331532504057</c:v>
                </c:pt>
                <c:pt idx="31">
                  <c:v>-13.542603233701836</c:v>
                </c:pt>
                <c:pt idx="32">
                  <c:v>-13.970375291737836</c:v>
                </c:pt>
                <c:pt idx="33">
                  <c:v>-14.396683369840886</c:v>
                </c:pt>
                <c:pt idx="34">
                  <c:v>-14.821556549884974</c:v>
                </c:pt>
                <c:pt idx="35">
                  <c:v>-15.245018222474547</c:v>
                </c:pt>
                <c:pt idx="36">
                  <c:v>-15.667086840300387</c:v>
                </c:pt>
                <c:pt idx="37">
                  <c:v>-16.087776558432299</c:v>
                </c:pt>
                <c:pt idx="38">
                  <c:v>-16.507097780706296</c:v>
                </c:pt>
                <c:pt idx="39">
                  <c:v>-16.925057627784881</c:v>
                </c:pt>
                <c:pt idx="40">
                  <c:v>-17.341660339614961</c:v>
                </c:pt>
                <c:pt idx="41">
                  <c:v>-17.756907622721947</c:v>
                </c:pt>
                <c:pt idx="42">
                  <c:v>-18.170798950939481</c:v>
                </c:pt>
                <c:pt idx="43">
                  <c:v>-18.583331826687619</c:v>
                </c:pt>
                <c:pt idx="44">
                  <c:v>-18.994502008706988</c:v>
                </c:pt>
                <c:pt idx="45">
                  <c:v>-19.404303711172986</c:v>
                </c:pt>
                <c:pt idx="46">
                  <c:v>-19.812729778310725</c:v>
                </c:pt>
                <c:pt idx="47">
                  <c:v>-20.219771837970558</c:v>
                </c:pt>
                <c:pt idx="48">
                  <c:v>-20.625420437079899</c:v>
                </c:pt>
                <c:pt idx="49">
                  <c:v>-21.029665161436299</c:v>
                </c:pt>
                <c:pt idx="50">
                  <c:v>-21.432494741932572</c:v>
                </c:pt>
                <c:pt idx="51">
                  <c:v>-21.833897148993</c:v>
                </c:pt>
                <c:pt idx="52">
                  <c:v>-22.233859676738739</c:v>
                </c:pt>
              </c:numCache>
            </c:numRef>
          </c:yVal>
          <c:smooth val="1"/>
        </c:ser>
        <c:ser>
          <c:idx val="1"/>
          <c:order val="1"/>
          <c:tx>
            <c:v>51  ATM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theta!$T$97:$T$149</c:f>
              <c:numCache>
                <c:formatCode>General</c:formatCode>
                <c:ptCount val="5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9.0000000000000011E-2</c:v>
                </c:pt>
                <c:pt idx="5">
                  <c:v>0.11000000000000001</c:v>
                </c:pt>
                <c:pt idx="6">
                  <c:v>0.13</c:v>
                </c:pt>
                <c:pt idx="7">
                  <c:v>0.15</c:v>
                </c:pt>
                <c:pt idx="8">
                  <c:v>0.16999999999999998</c:v>
                </c:pt>
                <c:pt idx="9">
                  <c:v>0.18999999999999997</c:v>
                </c:pt>
                <c:pt idx="10">
                  <c:v>0.20999999999999996</c:v>
                </c:pt>
                <c:pt idx="11">
                  <c:v>0.22999999999999995</c:v>
                </c:pt>
                <c:pt idx="12">
                  <c:v>0.24999999999999994</c:v>
                </c:pt>
                <c:pt idx="13">
                  <c:v>0.26999999999999996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0.35000000000000003</c:v>
                </c:pt>
                <c:pt idx="18">
                  <c:v>0.37000000000000005</c:v>
                </c:pt>
                <c:pt idx="19">
                  <c:v>0.39000000000000007</c:v>
                </c:pt>
                <c:pt idx="20">
                  <c:v>0.41000000000000009</c:v>
                </c:pt>
                <c:pt idx="21">
                  <c:v>0.4300000000000001</c:v>
                </c:pt>
                <c:pt idx="22">
                  <c:v>0.45000000000000012</c:v>
                </c:pt>
                <c:pt idx="23">
                  <c:v>0.47000000000000014</c:v>
                </c:pt>
                <c:pt idx="24">
                  <c:v>0.49000000000000016</c:v>
                </c:pt>
                <c:pt idx="25">
                  <c:v>0.51000000000000012</c:v>
                </c:pt>
                <c:pt idx="26">
                  <c:v>0.53000000000000014</c:v>
                </c:pt>
                <c:pt idx="27">
                  <c:v>0.55000000000000016</c:v>
                </c:pt>
                <c:pt idx="28">
                  <c:v>0.57000000000000017</c:v>
                </c:pt>
                <c:pt idx="29">
                  <c:v>0.59000000000000019</c:v>
                </c:pt>
                <c:pt idx="30">
                  <c:v>0.61000000000000021</c:v>
                </c:pt>
                <c:pt idx="31">
                  <c:v>0.63000000000000023</c:v>
                </c:pt>
                <c:pt idx="32">
                  <c:v>0.65000000000000024</c:v>
                </c:pt>
                <c:pt idx="33">
                  <c:v>0.67000000000000026</c:v>
                </c:pt>
                <c:pt idx="34">
                  <c:v>0.69000000000000028</c:v>
                </c:pt>
                <c:pt idx="35">
                  <c:v>0.7100000000000003</c:v>
                </c:pt>
                <c:pt idx="36">
                  <c:v>0.73000000000000032</c:v>
                </c:pt>
                <c:pt idx="37">
                  <c:v>0.75000000000000033</c:v>
                </c:pt>
                <c:pt idx="38">
                  <c:v>0.77000000000000035</c:v>
                </c:pt>
                <c:pt idx="39">
                  <c:v>0.79000000000000037</c:v>
                </c:pt>
                <c:pt idx="40">
                  <c:v>0.81000000000000039</c:v>
                </c:pt>
                <c:pt idx="41">
                  <c:v>0.8300000000000004</c:v>
                </c:pt>
                <c:pt idx="42">
                  <c:v>0.85000000000000042</c:v>
                </c:pt>
                <c:pt idx="43">
                  <c:v>0.87000000000000044</c:v>
                </c:pt>
                <c:pt idx="44">
                  <c:v>0.89000000000000046</c:v>
                </c:pt>
                <c:pt idx="45">
                  <c:v>0.91000000000000048</c:v>
                </c:pt>
                <c:pt idx="46">
                  <c:v>0.93000000000000049</c:v>
                </c:pt>
                <c:pt idx="47">
                  <c:v>0.95000000000000051</c:v>
                </c:pt>
                <c:pt idx="48">
                  <c:v>0.97000000000000053</c:v>
                </c:pt>
                <c:pt idx="49">
                  <c:v>0.99000000000000055</c:v>
                </c:pt>
                <c:pt idx="50">
                  <c:v>1.0100000000000005</c:v>
                </c:pt>
                <c:pt idx="51">
                  <c:v>1.0300000000000005</c:v>
                </c:pt>
                <c:pt idx="52">
                  <c:v>1.0500000000000005</c:v>
                </c:pt>
              </c:numCache>
            </c:numRef>
          </c:xVal>
          <c:yVal>
            <c:numRef>
              <c:f>theta!$V$97:$V$149</c:f>
              <c:numCache>
                <c:formatCode>0.00</c:formatCode>
                <c:ptCount val="53"/>
                <c:pt idx="0">
                  <c:v>-0.9960080963443414</c:v>
                </c:pt>
                <c:pt idx="1">
                  <c:v>-1.0973462259423299</c:v>
                </c:pt>
                <c:pt idx="2">
                  <c:v>-1.4882449647729241</c:v>
                </c:pt>
                <c:pt idx="3">
                  <c:v>-1.9470362430222419</c:v>
                </c:pt>
                <c:pt idx="4">
                  <c:v>-2.4113857014848752</c:v>
                </c:pt>
                <c:pt idx="5">
                  <c:v>-2.8730948072985885</c:v>
                </c:pt>
                <c:pt idx="6">
                  <c:v>-3.3317028664439401</c:v>
                </c:pt>
                <c:pt idx="7">
                  <c:v>-3.7877779911313354</c:v>
                </c:pt>
                <c:pt idx="8">
                  <c:v>-4.2418795117402173</c:v>
                </c:pt>
                <c:pt idx="9">
                  <c:v>-4.6944253020586251</c:v>
                </c:pt>
                <c:pt idx="10">
                  <c:v>-5.1457094413435156</c:v>
                </c:pt>
                <c:pt idx="11">
                  <c:v>-5.5959359609137644</c:v>
                </c:pt>
                <c:pt idx="12">
                  <c:v>-6.0452459895595378</c:v>
                </c:pt>
                <c:pt idx="13">
                  <c:v>-6.4937368281528114</c:v>
                </c:pt>
                <c:pt idx="14">
                  <c:v>-6.9414749270204243</c:v>
                </c:pt>
                <c:pt idx="15">
                  <c:v>-7.3885047016992242</c:v>
                </c:pt>
                <c:pt idx="16">
                  <c:v>-7.8348545803971934</c:v>
                </c:pt>
                <c:pt idx="17">
                  <c:v>-8.2805412110600916</c:v>
                </c:pt>
                <c:pt idx="18">
                  <c:v>-8.7255724335044249</c:v>
                </c:pt>
                <c:pt idx="19">
                  <c:v>-9.1699494118206637</c:v>
                </c:pt>
                <c:pt idx="20">
                  <c:v>-9.6136681873332748</c:v>
                </c:pt>
                <c:pt idx="21">
                  <c:v>-10.056720825727883</c:v>
                </c:pt>
                <c:pt idx="22">
                  <c:v>-10.499096275782657</c:v>
                </c:pt>
                <c:pt idx="23">
                  <c:v>-10.940781020293528</c:v>
                </c:pt>
                <c:pt idx="24">
                  <c:v>-11.381759575283523</c:v>
                </c:pt>
                <c:pt idx="25">
                  <c:v>-11.822014877070304</c:v>
                </c:pt>
                <c:pt idx="26">
                  <c:v>-12.261528585477526</c:v>
                </c:pt>
                <c:pt idx="27">
                  <c:v>-12.700281323656936</c:v>
                </c:pt>
                <c:pt idx="28">
                  <c:v>-13.138252869503344</c:v>
                </c:pt>
                <c:pt idx="29">
                  <c:v>-13.57542230974971</c:v>
                </c:pt>
                <c:pt idx="30">
                  <c:v>-14.011768165032183</c:v>
                </c:pt>
                <c:pt idx="31">
                  <c:v>-14.447268492183165</c:v>
                </c:pt>
                <c:pt idx="32">
                  <c:v>-14.881900968520169</c:v>
                </c:pt>
                <c:pt idx="33">
                  <c:v>-15.31564296179382</c:v>
                </c:pt>
                <c:pt idx="34">
                  <c:v>-15.748471588632647</c:v>
                </c:pt>
                <c:pt idx="35">
                  <c:v>-16.180363763699706</c:v>
                </c:pt>
                <c:pt idx="36">
                  <c:v>-16.61129624130227</c:v>
                </c:pt>
                <c:pt idx="37">
                  <c:v>-17.04124565083298</c:v>
                </c:pt>
                <c:pt idx="38">
                  <c:v>-17.470188527140589</c:v>
                </c:pt>
                <c:pt idx="39">
                  <c:v>-17.8981013367104</c:v>
                </c:pt>
                <c:pt idx="40">
                  <c:v>-18.324960500364107</c:v>
                </c:pt>
                <c:pt idx="41">
                  <c:v>-18.750742413054166</c:v>
                </c:pt>
                <c:pt idx="42">
                  <c:v>-19.175423461221719</c:v>
                </c:pt>
                <c:pt idx="43">
                  <c:v>-19.598980038101782</c:v>
                </c:pt>
                <c:pt idx="44">
                  <c:v>-20.02138855729174</c:v>
                </c:pt>
                <c:pt idx="45">
                  <c:v>-20.44262546484439</c:v>
                </c:pt>
                <c:pt idx="46">
                  <c:v>-20.862667250102163</c:v>
                </c:pt>
                <c:pt idx="47">
                  <c:v>-21.28149045545349</c:v>
                </c:pt>
                <c:pt idx="48">
                  <c:v>-21.699071685162394</c:v>
                </c:pt>
                <c:pt idx="49">
                  <c:v>-22.115387613398525</c:v>
                </c:pt>
                <c:pt idx="50">
                  <c:v>-22.530414991574638</c:v>
                </c:pt>
                <c:pt idx="51">
                  <c:v>-22.944130655082322</c:v>
                </c:pt>
                <c:pt idx="52">
                  <c:v>-23.356511529502786</c:v>
                </c:pt>
              </c:numCache>
            </c:numRef>
          </c:yVal>
          <c:smooth val="1"/>
        </c:ser>
        <c:ser>
          <c:idx val="2"/>
          <c:order val="2"/>
          <c:tx>
            <c:v>54  ITM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theta!$T$97:$T$149</c:f>
              <c:numCache>
                <c:formatCode>General</c:formatCode>
                <c:ptCount val="5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9.0000000000000011E-2</c:v>
                </c:pt>
                <c:pt idx="5">
                  <c:v>0.11000000000000001</c:v>
                </c:pt>
                <c:pt idx="6">
                  <c:v>0.13</c:v>
                </c:pt>
                <c:pt idx="7">
                  <c:v>0.15</c:v>
                </c:pt>
                <c:pt idx="8">
                  <c:v>0.16999999999999998</c:v>
                </c:pt>
                <c:pt idx="9">
                  <c:v>0.18999999999999997</c:v>
                </c:pt>
                <c:pt idx="10">
                  <c:v>0.20999999999999996</c:v>
                </c:pt>
                <c:pt idx="11">
                  <c:v>0.22999999999999995</c:v>
                </c:pt>
                <c:pt idx="12">
                  <c:v>0.24999999999999994</c:v>
                </c:pt>
                <c:pt idx="13">
                  <c:v>0.26999999999999996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0.35000000000000003</c:v>
                </c:pt>
                <c:pt idx="18">
                  <c:v>0.37000000000000005</c:v>
                </c:pt>
                <c:pt idx="19">
                  <c:v>0.39000000000000007</c:v>
                </c:pt>
                <c:pt idx="20">
                  <c:v>0.41000000000000009</c:v>
                </c:pt>
                <c:pt idx="21">
                  <c:v>0.4300000000000001</c:v>
                </c:pt>
                <c:pt idx="22">
                  <c:v>0.45000000000000012</c:v>
                </c:pt>
                <c:pt idx="23">
                  <c:v>0.47000000000000014</c:v>
                </c:pt>
                <c:pt idx="24">
                  <c:v>0.49000000000000016</c:v>
                </c:pt>
                <c:pt idx="25">
                  <c:v>0.51000000000000012</c:v>
                </c:pt>
                <c:pt idx="26">
                  <c:v>0.53000000000000014</c:v>
                </c:pt>
                <c:pt idx="27">
                  <c:v>0.55000000000000016</c:v>
                </c:pt>
                <c:pt idx="28">
                  <c:v>0.57000000000000017</c:v>
                </c:pt>
                <c:pt idx="29">
                  <c:v>0.59000000000000019</c:v>
                </c:pt>
                <c:pt idx="30">
                  <c:v>0.61000000000000021</c:v>
                </c:pt>
                <c:pt idx="31">
                  <c:v>0.63000000000000023</c:v>
                </c:pt>
                <c:pt idx="32">
                  <c:v>0.65000000000000024</c:v>
                </c:pt>
                <c:pt idx="33">
                  <c:v>0.67000000000000026</c:v>
                </c:pt>
                <c:pt idx="34">
                  <c:v>0.69000000000000028</c:v>
                </c:pt>
                <c:pt idx="35">
                  <c:v>0.7100000000000003</c:v>
                </c:pt>
                <c:pt idx="36">
                  <c:v>0.73000000000000032</c:v>
                </c:pt>
                <c:pt idx="37">
                  <c:v>0.75000000000000033</c:v>
                </c:pt>
                <c:pt idx="38">
                  <c:v>0.77000000000000035</c:v>
                </c:pt>
                <c:pt idx="39">
                  <c:v>0.79000000000000037</c:v>
                </c:pt>
                <c:pt idx="40">
                  <c:v>0.81000000000000039</c:v>
                </c:pt>
                <c:pt idx="41">
                  <c:v>0.8300000000000004</c:v>
                </c:pt>
                <c:pt idx="42">
                  <c:v>0.85000000000000042</c:v>
                </c:pt>
                <c:pt idx="43">
                  <c:v>0.87000000000000044</c:v>
                </c:pt>
                <c:pt idx="44">
                  <c:v>0.89000000000000046</c:v>
                </c:pt>
                <c:pt idx="45">
                  <c:v>0.91000000000000048</c:v>
                </c:pt>
                <c:pt idx="46">
                  <c:v>0.93000000000000049</c:v>
                </c:pt>
                <c:pt idx="47">
                  <c:v>0.95000000000000051</c:v>
                </c:pt>
                <c:pt idx="48">
                  <c:v>0.97000000000000053</c:v>
                </c:pt>
                <c:pt idx="49">
                  <c:v>0.99000000000000055</c:v>
                </c:pt>
                <c:pt idx="50">
                  <c:v>1.0100000000000005</c:v>
                </c:pt>
                <c:pt idx="51">
                  <c:v>1.0300000000000005</c:v>
                </c:pt>
                <c:pt idx="52">
                  <c:v>1.0500000000000005</c:v>
                </c:pt>
              </c:numCache>
            </c:numRef>
          </c:xVal>
          <c:yVal>
            <c:numRef>
              <c:f>theta!$W$97:$W$149</c:f>
              <c:numCache>
                <c:formatCode>0.00</c:formatCode>
                <c:ptCount val="53"/>
                <c:pt idx="0">
                  <c:v>-0.99600798934399148</c:v>
                </c:pt>
                <c:pt idx="1">
                  <c:v>-0.99600799710398968</c:v>
                </c:pt>
                <c:pt idx="2">
                  <c:v>-0.99750130931841086</c:v>
                </c:pt>
                <c:pt idx="3">
                  <c:v>-1.0480786127670498</c:v>
                </c:pt>
                <c:pt idx="4">
                  <c:v>-1.2481337000846446</c:v>
                </c:pt>
                <c:pt idx="5">
                  <c:v>-1.6003038746819389</c:v>
                </c:pt>
                <c:pt idx="6">
                  <c:v>-2.049804354858801</c:v>
                </c:pt>
                <c:pt idx="7">
                  <c:v>-2.5500601449694988</c:v>
                </c:pt>
                <c:pt idx="8">
                  <c:v>-3.0731348099343849</c:v>
                </c:pt>
                <c:pt idx="9">
                  <c:v>-3.6041113701766685</c:v>
                </c:pt>
                <c:pt idx="10">
                  <c:v>-4.1354653031960709</c:v>
                </c:pt>
                <c:pt idx="11">
                  <c:v>-4.6636026496644112</c:v>
                </c:pt>
                <c:pt idx="12">
                  <c:v>-5.186967226750915</c:v>
                </c:pt>
                <c:pt idx="13">
                  <c:v>-5.7050415236934144</c:v>
                </c:pt>
                <c:pt idx="14">
                  <c:v>-6.2178238439138305</c:v>
                </c:pt>
                <c:pt idx="15">
                  <c:v>-6.7255550583793973</c:v>
                </c:pt>
                <c:pt idx="16">
                  <c:v>-7.2285763091412898</c:v>
                </c:pt>
                <c:pt idx="17">
                  <c:v>-7.727255848042117</c:v>
                </c:pt>
                <c:pt idx="18">
                  <c:v>-8.2219525913538067</c:v>
                </c:pt>
                <c:pt idx="19">
                  <c:v>-8.7129992070604647</c:v>
                </c:pt>
                <c:pt idx="20">
                  <c:v>-9.200695530442637</c:v>
                </c:pt>
                <c:pt idx="21">
                  <c:v>-9.6853073369357858</c:v>
                </c:pt>
                <c:pt idx="22">
                  <c:v>-10.167067776747354</c:v>
                </c:pt>
                <c:pt idx="23">
                  <c:v>-10.646180012990737</c:v>
                </c:pt>
                <c:pt idx="24">
                  <c:v>-11.122820283797367</c:v>
                </c:pt>
                <c:pt idx="25">
                  <c:v>-11.597140983056851</c:v>
                </c:pt>
                <c:pt idx="26">
                  <c:v>-12.069273560724286</c:v>
                </c:pt>
                <c:pt idx="27">
                  <c:v>-12.539331156531309</c:v>
                </c:pt>
                <c:pt idx="28">
                  <c:v>-13.007410941600043</c:v>
                </c:pt>
                <c:pt idx="29">
                  <c:v>-13.473596173864845</c:v>
                </c:pt>
                <c:pt idx="30">
                  <c:v>-13.937957988296526</c:v>
                </c:pt>
                <c:pt idx="31">
                  <c:v>-14.400556949025257</c:v>
                </c:pt>
                <c:pt idx="32">
                  <c:v>-14.861444391732258</c:v>
                </c:pt>
                <c:pt idx="33">
                  <c:v>-15.320663583482659</c:v>
                </c:pt>
                <c:pt idx="34">
                  <c:v>-15.778250724826535</c:v>
                </c:pt>
                <c:pt idx="35">
                  <c:v>-16.234235816232331</c:v>
                </c:pt>
                <c:pt idx="36">
                  <c:v>-16.688643408127572</c:v>
                </c:pt>
                <c:pt idx="37">
                  <c:v>-17.141493251201556</c:v>
                </c:pt>
                <c:pt idx="38">
                  <c:v>-17.592800861260514</c:v>
                </c:pt>
                <c:pt idx="39">
                  <c:v>-18.042578010843847</c:v>
                </c:pt>
                <c:pt idx="40">
                  <c:v>-18.490833158005017</c:v>
                </c:pt>
                <c:pt idx="41">
                  <c:v>-18.937571821110996</c:v>
                </c:pt>
                <c:pt idx="42">
                  <c:v>-19.38279690719305</c:v>
                </c:pt>
                <c:pt idx="43">
                  <c:v>-19.826509000259254</c:v>
                </c:pt>
                <c:pt idx="44">
                  <c:v>-20.268706615028545</c:v>
                </c:pt>
                <c:pt idx="45">
                  <c:v>-20.709386420741936</c:v>
                </c:pt>
                <c:pt idx="46">
                  <c:v>-21.14854343902628</c:v>
                </c:pt>
                <c:pt idx="47">
                  <c:v>-21.586171219210847</c:v>
                </c:pt>
                <c:pt idx="48">
                  <c:v>-22.02226199400997</c:v>
                </c:pt>
                <c:pt idx="49">
                  <c:v>-22.45680681807255</c:v>
                </c:pt>
                <c:pt idx="50">
                  <c:v>-22.889795691549299</c:v>
                </c:pt>
                <c:pt idx="51">
                  <c:v>-23.321217670531272</c:v>
                </c:pt>
                <c:pt idx="52">
                  <c:v>-23.751060965959997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053952"/>
        <c:axId val="-1098046880"/>
      </c:scatterChart>
      <c:valAx>
        <c:axId val="-109805395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Волатильность, %</a:t>
                </a:r>
                <a:endParaRPr lang="ru-RU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2511351706036749"/>
              <c:y val="0.93308685335196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6880"/>
        <c:crosses val="autoZero"/>
        <c:crossBetween val="midCat"/>
        <c:majorUnit val="0.1"/>
        <c:minorUnit val="5.000000000000001E-2"/>
      </c:valAx>
      <c:valAx>
        <c:axId val="-1098046880"/>
        <c:scaling>
          <c:orientation val="minMax"/>
          <c:max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Тета</a:t>
                </a:r>
              </a:p>
            </c:rich>
          </c:tx>
          <c:layout>
            <c:manualLayout>
              <c:xMode val="edge"/>
              <c:yMode val="edge"/>
              <c:x val="8.7718126143322989E-3"/>
              <c:y val="0.4240447641886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5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010102070574513"/>
          <c:y val="0.34277711688916584"/>
          <c:w val="0.1649297171186935"/>
          <c:h val="0.1618716365490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1159230096239"/>
          <c:y val="0.11075828449967379"/>
          <c:w val="0.835321741032371"/>
          <c:h val="0.82126393346095317"/>
        </c:manualLayout>
      </c:layout>
      <c:scatterChart>
        <c:scatterStyle val="smoothMarker"/>
        <c:varyColors val="0"/>
        <c:ser>
          <c:idx val="0"/>
          <c:order val="0"/>
          <c:tx>
            <c:v> t 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theta!$K$2:$AI$2</c:f>
              <c:numCache>
                <c:formatCode>General</c:formatCode>
                <c:ptCount val="25"/>
                <c:pt idx="0">
                  <c:v>47</c:v>
                </c:pt>
                <c:pt idx="1">
                  <c:v>47.5</c:v>
                </c:pt>
                <c:pt idx="2">
                  <c:v>48</c:v>
                </c:pt>
                <c:pt idx="3">
                  <c:v>48.5</c:v>
                </c:pt>
                <c:pt idx="4">
                  <c:v>49</c:v>
                </c:pt>
                <c:pt idx="5">
                  <c:v>49.5</c:v>
                </c:pt>
                <c:pt idx="6">
                  <c:v>50</c:v>
                </c:pt>
                <c:pt idx="7">
                  <c:v>50.5</c:v>
                </c:pt>
                <c:pt idx="8">
                  <c:v>51</c:v>
                </c:pt>
                <c:pt idx="9">
                  <c:v>51.5</c:v>
                </c:pt>
                <c:pt idx="10">
                  <c:v>52</c:v>
                </c:pt>
                <c:pt idx="11">
                  <c:v>52.5</c:v>
                </c:pt>
                <c:pt idx="12">
                  <c:v>53</c:v>
                </c:pt>
                <c:pt idx="13">
                  <c:v>53.5</c:v>
                </c:pt>
                <c:pt idx="14">
                  <c:v>54</c:v>
                </c:pt>
                <c:pt idx="15">
                  <c:v>54.5</c:v>
                </c:pt>
                <c:pt idx="16">
                  <c:v>55</c:v>
                </c:pt>
                <c:pt idx="17">
                  <c:v>55.5</c:v>
                </c:pt>
                <c:pt idx="18">
                  <c:v>56</c:v>
                </c:pt>
                <c:pt idx="19">
                  <c:v>56.5</c:v>
                </c:pt>
                <c:pt idx="20">
                  <c:v>57</c:v>
                </c:pt>
                <c:pt idx="21">
                  <c:v>57.5</c:v>
                </c:pt>
                <c:pt idx="22">
                  <c:v>58</c:v>
                </c:pt>
                <c:pt idx="23">
                  <c:v>58.5</c:v>
                </c:pt>
                <c:pt idx="24">
                  <c:v>59</c:v>
                </c:pt>
              </c:numCache>
            </c:numRef>
          </c:xVal>
          <c:yVal>
            <c:numRef>
              <c:f>theta!$K$3:$AI$3</c:f>
              <c:numCache>
                <c:formatCode>General</c:formatCode>
                <c:ptCount val="25"/>
                <c:pt idx="0">
                  <c:v>-1.1591854802098871</c:v>
                </c:pt>
                <c:pt idx="1">
                  <c:v>-3.0300067139567557</c:v>
                </c:pt>
                <c:pt idx="2">
                  <c:v>-6.5749876629840598</c:v>
                </c:pt>
                <c:pt idx="3">
                  <c:v>-11.913323513162743</c:v>
                </c:pt>
                <c:pt idx="4">
                  <c:v>-18.127185117006348</c:v>
                </c:pt>
                <c:pt idx="5">
                  <c:v>-23.294030691474745</c:v>
                </c:pt>
                <c:pt idx="6">
                  <c:v>-25.426758976138576</c:v>
                </c:pt>
                <c:pt idx="7">
                  <c:v>-23.724482267653496</c:v>
                </c:pt>
                <c:pt idx="8">
                  <c:v>-19.065468160882464</c:v>
                </c:pt>
                <c:pt idx="9">
                  <c:v>-13.338362030903939</c:v>
                </c:pt>
                <c:pt idx="10">
                  <c:v>-8.2745388395759516</c:v>
                </c:pt>
                <c:pt idx="11">
                  <c:v>-4.7190232773670751</c:v>
                </c:pt>
                <c:pt idx="12">
                  <c:v>-2.6555800741646687</c:v>
                </c:pt>
                <c:pt idx="13">
                  <c:v>-1.6442925770127559</c:v>
                </c:pt>
                <c:pt idx="14">
                  <c:v>-1.2199787999936813</c:v>
                </c:pt>
                <c:pt idx="15">
                  <c:v>-1.0660656945047953</c:v>
                </c:pt>
                <c:pt idx="16">
                  <c:v>-1.0174324395154735</c:v>
                </c:pt>
                <c:pt idx="17">
                  <c:v>-1.0039624316329916</c:v>
                </c:pt>
                <c:pt idx="18">
                  <c:v>-1.0006746735144727</c:v>
                </c:pt>
                <c:pt idx="19">
                  <c:v>-0.99996414853407634</c:v>
                </c:pt>
                <c:pt idx="20">
                  <c:v>-0.99982760936311965</c:v>
                </c:pt>
                <c:pt idx="21">
                  <c:v>-0.99980418693521667</c:v>
                </c:pt>
                <c:pt idx="22">
                  <c:v>-0.9998005871189003</c:v>
                </c:pt>
                <c:pt idx="23">
                  <c:v>-0.99980008974817691</c:v>
                </c:pt>
                <c:pt idx="24">
                  <c:v>-0.99980002777187926</c:v>
                </c:pt>
              </c:numCache>
            </c:numRef>
          </c:yVal>
          <c:smooth val="1"/>
        </c:ser>
        <c:ser>
          <c:idx val="1"/>
          <c:order val="1"/>
          <c:tx>
            <c:v> t  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theta!$K$2:$AI$2</c:f>
              <c:numCache>
                <c:formatCode>General</c:formatCode>
                <c:ptCount val="25"/>
                <c:pt idx="0">
                  <c:v>47</c:v>
                </c:pt>
                <c:pt idx="1">
                  <c:v>47.5</c:v>
                </c:pt>
                <c:pt idx="2">
                  <c:v>48</c:v>
                </c:pt>
                <c:pt idx="3">
                  <c:v>48.5</c:v>
                </c:pt>
                <c:pt idx="4">
                  <c:v>49</c:v>
                </c:pt>
                <c:pt idx="5">
                  <c:v>49.5</c:v>
                </c:pt>
                <c:pt idx="6">
                  <c:v>50</c:v>
                </c:pt>
                <c:pt idx="7">
                  <c:v>50.5</c:v>
                </c:pt>
                <c:pt idx="8">
                  <c:v>51</c:v>
                </c:pt>
                <c:pt idx="9">
                  <c:v>51.5</c:v>
                </c:pt>
                <c:pt idx="10">
                  <c:v>52</c:v>
                </c:pt>
                <c:pt idx="11">
                  <c:v>52.5</c:v>
                </c:pt>
                <c:pt idx="12">
                  <c:v>53</c:v>
                </c:pt>
                <c:pt idx="13">
                  <c:v>53.5</c:v>
                </c:pt>
                <c:pt idx="14">
                  <c:v>54</c:v>
                </c:pt>
                <c:pt idx="15">
                  <c:v>54.5</c:v>
                </c:pt>
                <c:pt idx="16">
                  <c:v>55</c:v>
                </c:pt>
                <c:pt idx="17">
                  <c:v>55.5</c:v>
                </c:pt>
                <c:pt idx="18">
                  <c:v>56</c:v>
                </c:pt>
                <c:pt idx="19">
                  <c:v>56.5</c:v>
                </c:pt>
                <c:pt idx="20">
                  <c:v>57</c:v>
                </c:pt>
                <c:pt idx="21">
                  <c:v>57.5</c:v>
                </c:pt>
                <c:pt idx="22">
                  <c:v>58</c:v>
                </c:pt>
                <c:pt idx="23">
                  <c:v>58.5</c:v>
                </c:pt>
                <c:pt idx="24">
                  <c:v>59</c:v>
                </c:pt>
              </c:numCache>
            </c:numRef>
          </c:xVal>
          <c:yVal>
            <c:numRef>
              <c:f>theta!$K$7:$AI$7</c:f>
              <c:numCache>
                <c:formatCode>General</c:formatCode>
                <c:ptCount val="25"/>
                <c:pt idx="0">
                  <c:v>-6.101902227584401</c:v>
                </c:pt>
                <c:pt idx="1">
                  <c:v>-7.4212893357791314</c:v>
                </c:pt>
                <c:pt idx="2">
                  <c:v>-8.6989063809612865</c:v>
                </c:pt>
                <c:pt idx="3">
                  <c:v>-9.839109227078616</c:v>
                </c:pt>
                <c:pt idx="4">
                  <c:v>-10.751800559724195</c:v>
                </c:pt>
                <c:pt idx="5">
                  <c:v>-11.364968995713062</c:v>
                </c:pt>
                <c:pt idx="6">
                  <c:v>-11.634556644838412</c:v>
                </c:pt>
                <c:pt idx="7">
                  <c:v>-11.549768935896072</c:v>
                </c:pt>
                <c:pt idx="8">
                  <c:v>-11.133007864978225</c:v>
                </c:pt>
                <c:pt idx="9">
                  <c:v>-10.434807880488291</c:v>
                </c:pt>
                <c:pt idx="10">
                  <c:v>-9.5251496525536599</c:v>
                </c:pt>
                <c:pt idx="11">
                  <c:v>-8.48308608682437</c:v>
                </c:pt>
                <c:pt idx="12">
                  <c:v>-7.3866592618800464</c:v>
                </c:pt>
                <c:pt idx="13">
                  <c:v>-6.3046929235025573</c:v>
                </c:pt>
                <c:pt idx="14">
                  <c:v>-5.2913914938014655</c:v>
                </c:pt>
                <c:pt idx="15">
                  <c:v>-4.383971211005246</c:v>
                </c:pt>
                <c:pt idx="16">
                  <c:v>-3.6029642457331894</c:v>
                </c:pt>
                <c:pt idx="17">
                  <c:v>-2.9544711326825772</c:v>
                </c:pt>
                <c:pt idx="18">
                  <c:v>-2.4335096213575786</c:v>
                </c:pt>
                <c:pt idx="19">
                  <c:v>-2.027676652346452</c:v>
                </c:pt>
                <c:pt idx="20">
                  <c:v>-1.7205303597214323</c:v>
                </c:pt>
                <c:pt idx="21">
                  <c:v>-1.4943333497431339</c:v>
                </c:pt>
                <c:pt idx="22">
                  <c:v>-1.3320161394487253</c:v>
                </c:pt>
                <c:pt idx="23">
                  <c:v>-1.2183847368924163</c:v>
                </c:pt>
                <c:pt idx="24">
                  <c:v>-1.1406971912968669</c:v>
                </c:pt>
              </c:numCache>
            </c:numRef>
          </c:yVal>
          <c:smooth val="1"/>
        </c:ser>
        <c:ser>
          <c:idx val="2"/>
          <c:order val="2"/>
          <c:tx>
            <c:v> t  0.03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theta!$K$2:$AI$2</c:f>
              <c:numCache>
                <c:formatCode>General</c:formatCode>
                <c:ptCount val="25"/>
                <c:pt idx="0">
                  <c:v>47</c:v>
                </c:pt>
                <c:pt idx="1">
                  <c:v>47.5</c:v>
                </c:pt>
                <c:pt idx="2">
                  <c:v>48</c:v>
                </c:pt>
                <c:pt idx="3">
                  <c:v>48.5</c:v>
                </c:pt>
                <c:pt idx="4">
                  <c:v>49</c:v>
                </c:pt>
                <c:pt idx="5">
                  <c:v>49.5</c:v>
                </c:pt>
                <c:pt idx="6">
                  <c:v>50</c:v>
                </c:pt>
                <c:pt idx="7">
                  <c:v>50.5</c:v>
                </c:pt>
                <c:pt idx="8">
                  <c:v>51</c:v>
                </c:pt>
                <c:pt idx="9">
                  <c:v>51.5</c:v>
                </c:pt>
                <c:pt idx="10">
                  <c:v>52</c:v>
                </c:pt>
                <c:pt idx="11">
                  <c:v>52.5</c:v>
                </c:pt>
                <c:pt idx="12">
                  <c:v>53</c:v>
                </c:pt>
                <c:pt idx="13">
                  <c:v>53.5</c:v>
                </c:pt>
                <c:pt idx="14">
                  <c:v>54</c:v>
                </c:pt>
                <c:pt idx="15">
                  <c:v>54.5</c:v>
                </c:pt>
                <c:pt idx="16">
                  <c:v>55</c:v>
                </c:pt>
                <c:pt idx="17">
                  <c:v>55.5</c:v>
                </c:pt>
                <c:pt idx="18">
                  <c:v>56</c:v>
                </c:pt>
                <c:pt idx="19">
                  <c:v>56.5</c:v>
                </c:pt>
                <c:pt idx="20">
                  <c:v>57</c:v>
                </c:pt>
                <c:pt idx="21">
                  <c:v>57.5</c:v>
                </c:pt>
                <c:pt idx="22">
                  <c:v>58</c:v>
                </c:pt>
                <c:pt idx="23">
                  <c:v>58.5</c:v>
                </c:pt>
                <c:pt idx="24">
                  <c:v>59</c:v>
                </c:pt>
              </c:numCache>
            </c:numRef>
          </c:xVal>
          <c:yVal>
            <c:numRef>
              <c:f>theta!$K$5:$AI$5</c:f>
              <c:numCache>
                <c:formatCode>General</c:formatCode>
                <c:ptCount val="25"/>
                <c:pt idx="0">
                  <c:v>-5.2007219469343786</c:v>
                </c:pt>
                <c:pt idx="1">
                  <c:v>-7.1836459322856552</c:v>
                </c:pt>
                <c:pt idx="2">
                  <c:v>-9.3282034503181421</c:v>
                </c:pt>
                <c:pt idx="3">
                  <c:v>-11.410271265677492</c:v>
                </c:pt>
                <c:pt idx="4">
                  <c:v>-13.173491131088628</c:v>
                </c:pt>
                <c:pt idx="5">
                  <c:v>-14.383828445551233</c:v>
                </c:pt>
                <c:pt idx="6">
                  <c:v>-14.883110340351314</c:v>
                </c:pt>
                <c:pt idx="7">
                  <c:v>-14.624257559149322</c:v>
                </c:pt>
                <c:pt idx="8">
                  <c:v>-13.677424664047985</c:v>
                </c:pt>
                <c:pt idx="9">
                  <c:v>-12.206871782841301</c:v>
                </c:pt>
                <c:pt idx="10">
                  <c:v>-10.42820853931882</c:v>
                </c:pt>
                <c:pt idx="11">
                  <c:v>-8.5606573035278331</c:v>
                </c:pt>
                <c:pt idx="12">
                  <c:v>-6.7879204501206676</c:v>
                </c:pt>
                <c:pt idx="13">
                  <c:v>-5.235719852755242</c:v>
                </c:pt>
                <c:pt idx="14">
                  <c:v>-3.9672232478764142</c:v>
                </c:pt>
                <c:pt idx="15">
                  <c:v>-2.992226558554115</c:v>
                </c:pt>
                <c:pt idx="16">
                  <c:v>-2.2835443852260342</c:v>
                </c:pt>
                <c:pt idx="17">
                  <c:v>-1.7944249024281329</c:v>
                </c:pt>
                <c:pt idx="18">
                  <c:v>-1.4728351079215394</c:v>
                </c:pt>
                <c:pt idx="19">
                  <c:v>-1.270872276832153</c:v>
                </c:pt>
                <c:pt idx="20">
                  <c:v>-1.1494484580587121</c:v>
                </c:pt>
                <c:pt idx="21">
                  <c:v>-1.0794237026082625</c:v>
                </c:pt>
                <c:pt idx="22">
                  <c:v>-1.0406203852357809</c:v>
                </c:pt>
                <c:pt idx="23">
                  <c:v>-1.0199268886612636</c:v>
                </c:pt>
                <c:pt idx="24">
                  <c:v>-1.0092912331771589</c:v>
                </c:pt>
              </c:numCache>
            </c:numRef>
          </c:yVal>
          <c:smooth val="1"/>
        </c:ser>
        <c:ser>
          <c:idx val="3"/>
          <c:order val="3"/>
          <c:tx>
            <c:v> t  0.3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theta!$K$2:$AI$2</c:f>
              <c:numCache>
                <c:formatCode>General</c:formatCode>
                <c:ptCount val="25"/>
                <c:pt idx="0">
                  <c:v>47</c:v>
                </c:pt>
                <c:pt idx="1">
                  <c:v>47.5</c:v>
                </c:pt>
                <c:pt idx="2">
                  <c:v>48</c:v>
                </c:pt>
                <c:pt idx="3">
                  <c:v>48.5</c:v>
                </c:pt>
                <c:pt idx="4">
                  <c:v>49</c:v>
                </c:pt>
                <c:pt idx="5">
                  <c:v>49.5</c:v>
                </c:pt>
                <c:pt idx="6">
                  <c:v>50</c:v>
                </c:pt>
                <c:pt idx="7">
                  <c:v>50.5</c:v>
                </c:pt>
                <c:pt idx="8">
                  <c:v>51</c:v>
                </c:pt>
                <c:pt idx="9">
                  <c:v>51.5</c:v>
                </c:pt>
                <c:pt idx="10">
                  <c:v>52</c:v>
                </c:pt>
                <c:pt idx="11">
                  <c:v>52.5</c:v>
                </c:pt>
                <c:pt idx="12">
                  <c:v>53</c:v>
                </c:pt>
                <c:pt idx="13">
                  <c:v>53.5</c:v>
                </c:pt>
                <c:pt idx="14">
                  <c:v>54</c:v>
                </c:pt>
                <c:pt idx="15">
                  <c:v>54.5</c:v>
                </c:pt>
                <c:pt idx="16">
                  <c:v>55</c:v>
                </c:pt>
                <c:pt idx="17">
                  <c:v>55.5</c:v>
                </c:pt>
                <c:pt idx="18">
                  <c:v>56</c:v>
                </c:pt>
                <c:pt idx="19">
                  <c:v>56.5</c:v>
                </c:pt>
                <c:pt idx="20">
                  <c:v>57</c:v>
                </c:pt>
                <c:pt idx="21">
                  <c:v>57.5</c:v>
                </c:pt>
                <c:pt idx="22">
                  <c:v>58</c:v>
                </c:pt>
                <c:pt idx="23">
                  <c:v>58.5</c:v>
                </c:pt>
                <c:pt idx="24">
                  <c:v>59</c:v>
                </c:pt>
              </c:numCache>
            </c:numRef>
          </c:xVal>
          <c:yVal>
            <c:numRef>
              <c:f>theta!$K$32:$AI$32</c:f>
              <c:numCache>
                <c:formatCode>General</c:formatCode>
                <c:ptCount val="25"/>
                <c:pt idx="0">
                  <c:v>-4.3543429233556035</c:v>
                </c:pt>
                <c:pt idx="1">
                  <c:v>-4.5212130703742455</c:v>
                </c:pt>
                <c:pt idx="2">
                  <c:v>-4.6665782113888277</c:v>
                </c:pt>
                <c:pt idx="3">
                  <c:v>-4.7890170440925255</c:v>
                </c:pt>
                <c:pt idx="4">
                  <c:v>-4.8875306177097375</c:v>
                </c:pt>
                <c:pt idx="5">
                  <c:v>-4.9615471593111335</c:v>
                </c:pt>
                <c:pt idx="6">
                  <c:v>-5.0109147746852356</c:v>
                </c:pt>
                <c:pt idx="7">
                  <c:v>-5.0358831671341573</c:v>
                </c:pt>
                <c:pt idx="8">
                  <c:v>-5.0370758329493599</c:v>
                </c:pt>
                <c:pt idx="9">
                  <c:v>-5.0154544112818868</c:v>
                </c:pt>
                <c:pt idx="10">
                  <c:v>-4.9722769897925305</c:v>
                </c:pt>
                <c:pt idx="11">
                  <c:v>-4.9090522018908418</c:v>
                </c:pt>
                <c:pt idx="12">
                  <c:v>-4.8274909063993245</c:v>
                </c:pt>
                <c:pt idx="13">
                  <c:v>-4.729457128628634</c:v>
                </c:pt>
                <c:pt idx="14">
                  <c:v>-4.6169197771876371</c:v>
                </c:pt>
                <c:pt idx="15">
                  <c:v>-4.4919064479723465</c:v>
                </c:pt>
                <c:pt idx="16">
                  <c:v>-4.3564603999251164</c:v>
                </c:pt>
                <c:pt idx="17">
                  <c:v>-4.2126015495243418</c:v>
                </c:pt>
                <c:pt idx="18">
                  <c:v>-4.0622920941834995</c:v>
                </c:pt>
                <c:pt idx="19">
                  <c:v>-3.907407148533943</c:v>
                </c:pt>
                <c:pt idx="20">
                  <c:v>-3.7497105695994848</c:v>
                </c:pt>
                <c:pt idx="21">
                  <c:v>-3.590835962714499</c:v>
                </c:pt>
                <c:pt idx="22">
                  <c:v>-3.4322727032699158</c:v>
                </c:pt>
                <c:pt idx="23">
                  <c:v>-3.2753566817637241</c:v>
                </c:pt>
                <c:pt idx="24">
                  <c:v>-3.1212653813891658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043616"/>
        <c:axId val="-1098043072"/>
      </c:scatterChart>
      <c:valAx>
        <c:axId val="-1098043616"/>
        <c:scaling>
          <c:orientation val="minMax"/>
          <c:min val="46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Цена базового актива</a:t>
                </a:r>
                <a:endParaRPr lang="ru-RU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717935258092742"/>
              <c:y val="0.93283836310946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3072"/>
        <c:crosses val="autoZero"/>
        <c:crossBetween val="midCat"/>
        <c:majorUnit val="1"/>
        <c:minorUnit val="0.5"/>
      </c:valAx>
      <c:valAx>
        <c:axId val="-1098043072"/>
        <c:scaling>
          <c:orientation val="minMax"/>
          <c:max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Тета</a:t>
                </a:r>
              </a:p>
            </c:rich>
          </c:tx>
          <c:layout>
            <c:manualLayout>
              <c:xMode val="edge"/>
              <c:yMode val="edge"/>
              <c:x val="2.208223972003499E-3"/>
              <c:y val="0.44664437142980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40"/>
      <c:rAngAx val="0"/>
      <c:perspective val="1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50800" dir="5400000" sx="169000" sy="169000" algn="ctr" rotWithShape="0">
            <a:srgbClr val="000000">
              <a:alpha val="43137"/>
            </a:srgb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50800" dir="5400000" sx="169000" sy="169000" algn="ctr" rotWithShape="0">
            <a:srgbClr val="000000">
              <a:alpha val="43137"/>
            </a:srgbClr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4.8529066393847714E-2"/>
          <c:y val="1.0949812999476592E-2"/>
          <c:w val="0.9422726161756384"/>
          <c:h val="0.95843236312633173"/>
        </c:manualLayout>
      </c:layout>
      <c:surface3DChart>
        <c:wireframe val="0"/>
        <c:ser>
          <c:idx val="0"/>
          <c:order val="0"/>
          <c:tx>
            <c:strRef>
              <c:f>vega!$K$2</c:f>
              <c:strCache>
                <c:ptCount val="1"/>
                <c:pt idx="0">
                  <c:v>37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vega!$K$3:$K$55</c:f>
              <c:numCache>
                <c:formatCode>General</c:formatCode>
                <c:ptCount val="53"/>
                <c:pt idx="0">
                  <c:v>0</c:v>
                </c:pt>
                <c:pt idx="1">
                  <c:v>1.2684636817825181E-38</c:v>
                </c:pt>
                <c:pt idx="2">
                  <c:v>1.7983931587286957E-19</c:v>
                </c:pt>
                <c:pt idx="3">
                  <c:v>5.2317132540420489E-13</c:v>
                </c:pt>
                <c:pt idx="4">
                  <c:v>9.4813079792810029E-10</c:v>
                </c:pt>
                <c:pt idx="5">
                  <c:v>8.8162985475973587E-8</c:v>
                </c:pt>
                <c:pt idx="6">
                  <c:v>1.8445165478934604E-6</c:v>
                </c:pt>
                <c:pt idx="7">
                  <c:v>1.6400324412694217E-5</c:v>
                </c:pt>
                <c:pt idx="8">
                  <c:v>8.525709969556112E-5</c:v>
                </c:pt>
                <c:pt idx="9">
                  <c:v>3.0952434530980304E-4</c:v>
                </c:pt>
                <c:pt idx="10">
                  <c:v>8.7331305403175207E-4</c:v>
                </c:pt>
                <c:pt idx="11">
                  <c:v>2.0500743493829759E-3</c:v>
                </c:pt>
                <c:pt idx="12">
                  <c:v>4.1906484490022737E-3</c:v>
                </c:pt>
                <c:pt idx="13">
                  <c:v>7.6989927771377604E-3</c:v>
                </c:pt>
                <c:pt idx="14">
                  <c:v>1.3003345752804341E-2</c:v>
                </c:pt>
                <c:pt idx="15">
                  <c:v>2.0528946562047779E-2</c:v>
                </c:pt>
                <c:pt idx="16">
                  <c:v>3.067581060049902E-2</c:v>
                </c:pt>
                <c:pt idx="17">
                  <c:v>4.3802817908804449E-2</c:v>
                </c:pt>
                <c:pt idx="18">
                  <c:v>6.0217916038987657E-2</c:v>
                </c:pt>
                <c:pt idx="19">
                  <c:v>8.0173495476232995E-2</c:v>
                </c:pt>
                <c:pt idx="20">
                  <c:v>0.10386574512727555</c:v>
                </c:pt>
                <c:pt idx="21">
                  <c:v>0.13143682872245416</c:v>
                </c:pt>
                <c:pt idx="22">
                  <c:v>0.16297889021982795</c:v>
                </c:pt>
                <c:pt idx="23">
                  <c:v>0.1985391054908566</c:v>
                </c:pt>
                <c:pt idx="24">
                  <c:v>0.23812519964901221</c:v>
                </c:pt>
                <c:pt idx="25">
                  <c:v>0.28171102257968267</c:v>
                </c:pt>
                <c:pt idx="26">
                  <c:v>0.32924191328101943</c:v>
                </c:pt>
                <c:pt idx="27">
                  <c:v>0.38063968811159099</c:v>
                </c:pt>
                <c:pt idx="28">
                  <c:v>0.43580716384929052</c:v>
                </c:pt>
                <c:pt idx="29">
                  <c:v>0.49463217933874304</c:v>
                </c:pt>
                <c:pt idx="30">
                  <c:v>0.55699111484857433</c:v>
                </c:pt>
                <c:pt idx="31">
                  <c:v>0.62275193066969703</c:v>
                </c:pt>
                <c:pt idx="32">
                  <c:v>0.69177675963551</c:v>
                </c:pt>
                <c:pt idx="33">
                  <c:v>0.76392409495562685</c:v>
                </c:pt>
                <c:pt idx="34">
                  <c:v>0.83905061712740259</c:v>
                </c:pt>
                <c:pt idx="35">
                  <c:v>0.91701270324994977</c:v>
                </c:pt>
                <c:pt idx="36">
                  <c:v>0.99766765989764039</c:v>
                </c:pt>
                <c:pt idx="37">
                  <c:v>1.0808747175669078</c:v>
                </c:pt>
                <c:pt idx="38">
                  <c:v>1.1664958211023808</c:v>
                </c:pt>
                <c:pt idx="39">
                  <c:v>1.2543962467717136</c:v>
                </c:pt>
                <c:pt idx="40">
                  <c:v>1.3444450730061559</c:v>
                </c:pt>
                <c:pt idx="41">
                  <c:v>1.4365155283828581</c:v>
                </c:pt>
                <c:pt idx="42">
                  <c:v>1.5304852372640232</c:v>
                </c:pt>
                <c:pt idx="43">
                  <c:v>1.6262363806571896</c:v>
                </c:pt>
                <c:pt idx="44">
                  <c:v>1.7236557873248686</c:v>
                </c:pt>
                <c:pt idx="45">
                  <c:v>1.8226349679393936</c:v>
                </c:pt>
                <c:pt idx="46">
                  <c:v>1.9230701031305875</c:v>
                </c:pt>
                <c:pt idx="47">
                  <c:v>2.024861994584672</c:v>
                </c:pt>
                <c:pt idx="48">
                  <c:v>2.1279159868967192</c:v>
                </c:pt>
                <c:pt idx="49">
                  <c:v>2.2321418666293646</c:v>
                </c:pt>
                <c:pt idx="50">
                  <c:v>2.3374537439626613</c:v>
                </c:pt>
                <c:pt idx="51">
                  <c:v>2.4437699214102055</c:v>
                </c:pt>
                <c:pt idx="52">
                  <c:v>2.551012753304446</c:v>
                </c:pt>
              </c:numCache>
            </c:numRef>
          </c:val>
        </c:ser>
        <c:ser>
          <c:idx val="1"/>
          <c:order val="1"/>
          <c:tx>
            <c:strRef>
              <c:f>vega!$L$2</c:f>
              <c:strCache>
                <c:ptCount val="1"/>
                <c:pt idx="0">
                  <c:v>37,5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vega!$L$3:$L$55</c:f>
              <c:numCache>
                <c:formatCode>General</c:formatCode>
                <c:ptCount val="53"/>
                <c:pt idx="0">
                  <c:v>0</c:v>
                </c:pt>
                <c:pt idx="1">
                  <c:v>6.1347051394395894E-33</c:v>
                </c:pt>
                <c:pt idx="2">
                  <c:v>1.2861775318338398E-16</c:v>
                </c:pt>
                <c:pt idx="3">
                  <c:v>4.2017047725596018E-11</c:v>
                </c:pt>
                <c:pt idx="4">
                  <c:v>2.544769402806455E-8</c:v>
                </c:pt>
                <c:pt idx="5">
                  <c:v>1.2248575265666862E-6</c:v>
                </c:pt>
                <c:pt idx="6">
                  <c:v>1.6514647175437797E-5</c:v>
                </c:pt>
                <c:pt idx="7">
                  <c:v>1.0726714893951965E-4</c:v>
                </c:pt>
                <c:pt idx="8">
                  <c:v>4.4057815137914691E-4</c:v>
                </c:pt>
                <c:pt idx="9">
                  <c:v>1.3316137811474683E-3</c:v>
                </c:pt>
                <c:pt idx="10">
                  <c:v>3.2445193308058449E-3</c:v>
                </c:pt>
                <c:pt idx="11">
                  <c:v>6.7548984745063783E-3</c:v>
                </c:pt>
                <c:pt idx="12">
                  <c:v>1.2493397064794274E-2</c:v>
                </c:pt>
                <c:pt idx="13">
                  <c:v>2.1089330194677954E-2</c:v>
                </c:pt>
                <c:pt idx="14">
                  <c:v>3.3125520904417317E-2</c:v>
                </c:pt>
                <c:pt idx="15">
                  <c:v>4.9108089369365969E-2</c:v>
                </c:pt>
                <c:pt idx="16">
                  <c:v>6.9450313300614561E-2</c:v>
                </c:pt>
                <c:pt idx="17">
                  <c:v>9.4467642492087084E-2</c:v>
                </c:pt>
                <c:pt idx="18">
                  <c:v>0.12438054025115482</c:v>
                </c:pt>
                <c:pt idx="19">
                  <c:v>0.15932221118404355</c:v>
                </c:pt>
                <c:pt idx="20">
                  <c:v>0.19934893476787785</c:v>
                </c:pt>
                <c:pt idx="21">
                  <c:v>0.24445138757049031</c:v>
                </c:pt>
                <c:pt idx="22">
                  <c:v>0.29456589307619535</c:v>
                </c:pt>
                <c:pt idx="23">
                  <c:v>0.34958496020406737</c:v>
                </c:pt>
                <c:pt idx="24">
                  <c:v>0.40936677094625545</c:v>
                </c:pt>
                <c:pt idx="25">
                  <c:v>0.47374347817845314</c:v>
                </c:pt>
                <c:pt idx="26">
                  <c:v>0.54252830176181421</c:v>
                </c:pt>
                <c:pt idx="27">
                  <c:v>0.615521486134049</c:v>
                </c:pt>
                <c:pt idx="28">
                  <c:v>0.69251522246492325</c:v>
                </c:pt>
                <c:pt idx="29">
                  <c:v>0.77329765544543994</c:v>
                </c:pt>
                <c:pt idx="30">
                  <c:v>0.85765609755935213</c:v>
                </c:pt>
                <c:pt idx="31">
                  <c:v>0.94537956814982327</c:v>
                </c:pt>
                <c:pt idx="32">
                  <c:v>1.0362607646359421</c:v>
                </c:pt>
                <c:pt idx="33">
                  <c:v>1.1300975613407678</c:v>
                </c:pt>
                <c:pt idx="34">
                  <c:v>1.2266941190927179</c:v>
                </c:pt>
                <c:pt idx="35">
                  <c:v>1.3258616769447766</c:v>
                </c:pt>
                <c:pt idx="36">
                  <c:v>1.427419086495159</c:v>
                </c:pt>
                <c:pt idx="37">
                  <c:v>1.5311931396002025</c:v>
                </c:pt>
                <c:pt idx="38">
                  <c:v>1.6370187317965026</c:v>
                </c:pt>
                <c:pt idx="39">
                  <c:v>1.7447388964524368</c:v>
                </c:pt>
                <c:pt idx="40">
                  <c:v>1.8542047384577778</c:v>
                </c:pt>
                <c:pt idx="41">
                  <c:v>1.9652752910194102</c:v>
                </c:pt>
                <c:pt idx="42">
                  <c:v>2.077817314741349</c:v>
                </c:pt>
                <c:pt idx="43">
                  <c:v>2.191705054511432</c:v>
                </c:pt>
                <c:pt idx="44">
                  <c:v>2.3068199666877076</c:v>
                </c:pt>
                <c:pt idx="45">
                  <c:v>2.4230504265777721</c:v>
                </c:pt>
                <c:pt idx="46">
                  <c:v>2.5402914241497014</c:v>
                </c:pt>
                <c:pt idx="47">
                  <c:v>2.6584442542302993</c:v>
                </c:pt>
                <c:pt idx="48">
                  <c:v>2.7774162060726382</c:v>
                </c:pt>
                <c:pt idx="49">
                  <c:v>2.8971202560573572</c:v>
                </c:pt>
                <c:pt idx="50">
                  <c:v>3.017474766386405</c:v>
                </c:pt>
                <c:pt idx="51">
                  <c:v>3.1384031918962476</c:v>
                </c:pt>
                <c:pt idx="52">
                  <c:v>3.2598337965294553</c:v>
                </c:pt>
              </c:numCache>
            </c:numRef>
          </c:val>
        </c:ser>
        <c:ser>
          <c:idx val="2"/>
          <c:order val="2"/>
          <c:tx>
            <c:strRef>
              <c:f>vega!$M$2</c:f>
              <c:strCache>
                <c:ptCount val="1"/>
                <c:pt idx="0">
                  <c:v>38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vega!$M$3:$M$55</c:f>
              <c:numCache>
                <c:formatCode>General</c:formatCode>
                <c:ptCount val="53"/>
                <c:pt idx="0">
                  <c:v>0</c:v>
                </c:pt>
                <c:pt idx="1">
                  <c:v>8.8644060959681936E-28</c:v>
                </c:pt>
                <c:pt idx="2">
                  <c:v>5.0131243002510863E-14</c:v>
                </c:pt>
                <c:pt idx="3">
                  <c:v>2.2500573801113421E-9</c:v>
                </c:pt>
                <c:pt idx="4">
                  <c:v>5.0387392447108406E-7</c:v>
                </c:pt>
                <c:pt idx="5">
                  <c:v>1.3340044351334494E-5</c:v>
                </c:pt>
                <c:pt idx="6">
                  <c:v>1.2070608950819009E-4</c:v>
                </c:pt>
                <c:pt idx="7">
                  <c:v>5.8956717239281014E-4</c:v>
                </c:pt>
                <c:pt idx="8">
                  <c:v>1.955266149867151E-3</c:v>
                </c:pt>
                <c:pt idx="9">
                  <c:v>5.0037485110091262E-3</c:v>
                </c:pt>
                <c:pt idx="10">
                  <c:v>1.0671870191181243E-2</c:v>
                </c:pt>
                <c:pt idx="11">
                  <c:v>1.9924453777774943E-2</c:v>
                </c:pt>
                <c:pt idx="12">
                  <c:v>3.3651629534766588E-2</c:v>
                </c:pt>
                <c:pt idx="13">
                  <c:v>5.2602894644889486E-2</c:v>
                </c:pt>
                <c:pt idx="14">
                  <c:v>7.7356329664515583E-2</c:v>
                </c:pt>
                <c:pt idx="15">
                  <c:v>0.10831412104041448</c:v>
                </c:pt>
                <c:pt idx="16">
                  <c:v>0.14571469625990396</c:v>
                </c:pt>
                <c:pt idx="17">
                  <c:v>0.18965360754432053</c:v>
                </c:pt>
                <c:pt idx="18">
                  <c:v>0.24010769274988036</c:v>
                </c:pt>
                <c:pt idx="19">
                  <c:v>0.29695911802791919</c:v>
                </c:pt>
                <c:pt idx="20">
                  <c:v>0.36001743295372401</c:v>
                </c:pt>
                <c:pt idx="21">
                  <c:v>0.42903878353054997</c:v>
                </c:pt>
                <c:pt idx="22">
                  <c:v>0.5037420509953856</c:v>
                </c:pt>
                <c:pt idx="23">
                  <c:v>0.58382203523469001</c:v>
                </c:pt>
                <c:pt idx="24">
                  <c:v>0.66895997692856801</c:v>
                </c:pt>
                <c:pt idx="25">
                  <c:v>0.75883178084487801</c:v>
                </c:pt>
                <c:pt idx="26">
                  <c:v>0.85311430975366664</c:v>
                </c:pt>
                <c:pt idx="27">
                  <c:v>0.95149009327914935</c:v>
                </c:pt>
                <c:pt idx="28">
                  <c:v>1.0536507563003881</c:v>
                </c:pt>
                <c:pt idx="29">
                  <c:v>1.1592994274730786</c:v>
                </c:pt>
                <c:pt idx="30">
                  <c:v>1.2681523456290915</c:v>
                </c:pt>
                <c:pt idx="31">
                  <c:v>1.3799398429422265</c:v>
                </c:pt>
                <c:pt idx="32">
                  <c:v>1.4944068498984571</c:v>
                </c:pt>
                <c:pt idx="33">
                  <c:v>1.6113130384255752</c:v>
                </c:pt>
                <c:pt idx="34">
                  <c:v>1.7304326956939957</c:v>
                </c:pt>
                <c:pt idx="35">
                  <c:v>1.8515544015567003</c:v>
                </c:pt>
                <c:pt idx="36">
                  <c:v>1.9744805667464418</c:v>
                </c:pt>
                <c:pt idx="37">
                  <c:v>2.0990268762012874</c:v>
                </c:pt>
                <c:pt idx="38">
                  <c:v>2.2250216717079283</c:v>
                </c:pt>
                <c:pt idx="39">
                  <c:v>2.3523052999666203</c:v>
                </c:pt>
                <c:pt idx="40">
                  <c:v>2.4807294457940396</c:v>
                </c:pt>
                <c:pt idx="41">
                  <c:v>2.6101564651586169</c:v>
                </c:pt>
                <c:pt idx="42">
                  <c:v>2.7404587288140752</c:v>
                </c:pt>
                <c:pt idx="43">
                  <c:v>2.8715179842386354</c:v>
                </c:pt>
                <c:pt idx="44">
                  <c:v>3.0032247412198934</c:v>
                </c:pt>
                <c:pt idx="45">
                  <c:v>3.135477684604115</c:v>
                </c:pt>
                <c:pt idx="46">
                  <c:v>3.2681831163382911</c:v>
                </c:pt>
                <c:pt idx="47">
                  <c:v>3.4012544278812209</c:v>
                </c:pt>
                <c:pt idx="48">
                  <c:v>3.5346116032730857</c:v>
                </c:pt>
                <c:pt idx="49">
                  <c:v>3.6681807525730274</c:v>
                </c:pt>
                <c:pt idx="50">
                  <c:v>3.8018936749554926</c:v>
                </c:pt>
                <c:pt idx="51">
                  <c:v>3.9356874504617259</c:v>
                </c:pt>
                <c:pt idx="52">
                  <c:v>4.0695040592045251</c:v>
                </c:pt>
              </c:numCache>
            </c:numRef>
          </c:val>
        </c:ser>
        <c:ser>
          <c:idx val="3"/>
          <c:order val="3"/>
          <c:tx>
            <c:strRef>
              <c:f>vega!$N$2</c:f>
              <c:strCache>
                <c:ptCount val="1"/>
                <c:pt idx="0">
                  <c:v>38,5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vega!$N$3:$N$55</c:f>
              <c:numCache>
                <c:formatCode>General</c:formatCode>
                <c:ptCount val="53"/>
                <c:pt idx="0">
                  <c:v>0</c:v>
                </c:pt>
                <c:pt idx="1">
                  <c:v>4.0031235878726067E-23</c:v>
                </c:pt>
                <c:pt idx="2">
                  <c:v>1.0892606463106822E-11</c:v>
                </c:pt>
                <c:pt idx="3">
                  <c:v>8.1565819653731197E-8</c:v>
                </c:pt>
                <c:pt idx="4">
                  <c:v>7.4441037835744165E-6</c:v>
                </c:pt>
                <c:pt idx="5">
                  <c:v>1.1493230750644212E-4</c:v>
                </c:pt>
                <c:pt idx="6">
                  <c:v>7.2568310750526334E-4</c:v>
                </c:pt>
                <c:pt idx="7">
                  <c:v>2.740741878437486E-3</c:v>
                </c:pt>
                <c:pt idx="8">
                  <c:v>7.4945165549484098E-3</c:v>
                </c:pt>
                <c:pt idx="9">
                  <c:v>1.6505816971694124E-2</c:v>
                </c:pt>
                <c:pt idx="10">
                  <c:v>3.1218505359518714E-2</c:v>
                </c:pt>
                <c:pt idx="11">
                  <c:v>5.2828083256042623E-2</c:v>
                </c:pt>
                <c:pt idx="12">
                  <c:v>8.2205520709404345E-2</c:v>
                </c:pt>
                <c:pt idx="13">
                  <c:v>0.11989226590892164</c:v>
                </c:pt>
                <c:pt idx="14">
                  <c:v>0.16613565884937004</c:v>
                </c:pt>
                <c:pt idx="15">
                  <c:v>0.22094145167543625</c:v>
                </c:pt>
                <c:pt idx="16">
                  <c:v>0.28412909792058377</c:v>
                </c:pt>
                <c:pt idx="17">
                  <c:v>0.35538234338998104</c:v>
                </c:pt>
                <c:pt idx="18">
                  <c:v>0.43429203468795147</c:v>
                </c:pt>
                <c:pt idx="19">
                  <c:v>0.52039053174350725</c:v>
                </c:pt>
                <c:pt idx="20">
                  <c:v>0.61317833857201864</c:v>
                </c:pt>
                <c:pt idx="21">
                  <c:v>0.7121440661701387</c:v>
                </c:pt>
                <c:pt idx="22">
                  <c:v>0.81677894989858124</c:v>
                </c:pt>
                <c:pt idx="23">
                  <c:v>0.9265870628558035</c:v>
                </c:pt>
                <c:pt idx="24">
                  <c:v>1.041092209563272</c:v>
                </c:pt>
                <c:pt idx="25">
                  <c:v>1.1598423097974317</c:v>
                </c:pt>
                <c:pt idx="26">
                  <c:v>1.2824119187199694</c:v>
                </c:pt>
                <c:pt idx="27">
                  <c:v>1.4084033878382038</c:v>
                </c:pt>
                <c:pt idx="28">
                  <c:v>1.5374470543809351</c:v>
                </c:pt>
                <c:pt idx="29">
                  <c:v>1.6692007529338717</c:v>
                </c:pt>
                <c:pt idx="30">
                  <c:v>1.8033488695489286</c:v>
                </c:pt>
                <c:pt idx="31">
                  <c:v>1.9396011015492145</c:v>
                </c:pt>
                <c:pt idx="32">
                  <c:v>2.0776910426248465</c:v>
                </c:pt>
                <c:pt idx="33">
                  <c:v>2.2173746797169276</c:v>
                </c:pt>
                <c:pt idx="34">
                  <c:v>2.3584288632693076</c:v>
                </c:pt>
                <c:pt idx="35">
                  <c:v>2.5006497938016765</c:v>
                </c:pt>
                <c:pt idx="36">
                  <c:v>2.6438515539332355</c:v>
                </c:pt>
                <c:pt idx="37">
                  <c:v>2.787864704804579</c:v>
                </c:pt>
                <c:pt idx="38">
                  <c:v>2.9325349584125138</c:v>
                </c:pt>
                <c:pt idx="39">
                  <c:v>3.077721932004454</c:v>
                </c:pt>
                <c:pt idx="40">
                  <c:v>3.223297986854611</c:v>
                </c:pt>
                <c:pt idx="41">
                  <c:v>3.3691471510688316</c:v>
                </c:pt>
                <c:pt idx="42">
                  <c:v>3.5151641242397456</c:v>
                </c:pt>
                <c:pt idx="43">
                  <c:v>3.6612533605746176</c:v>
                </c:pt>
                <c:pt idx="44">
                  <c:v>3.807328226375593</c:v>
                </c:pt>
                <c:pt idx="45">
                  <c:v>3.9533102273397045</c:v>
                </c:pt>
                <c:pt idx="46">
                  <c:v>4.0991283009697375</c:v>
                </c:pt>
                <c:pt idx="47">
                  <c:v>4.2447181693762719</c:v>
                </c:pt>
                <c:pt idx="48">
                  <c:v>4.3900217478544379</c:v>
                </c:pt>
                <c:pt idx="49">
                  <c:v>4.53498660479727</c:v>
                </c:pt>
                <c:pt idx="50">
                  <c:v>4.6795654687337391</c:v>
                </c:pt>
                <c:pt idx="51">
                  <c:v>4.8237157785324376</c:v>
                </c:pt>
                <c:pt idx="52">
                  <c:v>4.9673992730777785</c:v>
                </c:pt>
              </c:numCache>
            </c:numRef>
          </c:val>
        </c:ser>
        <c:ser>
          <c:idx val="4"/>
          <c:order val="4"/>
          <c:tx>
            <c:strRef>
              <c:f>vega!$O$2</c:f>
              <c:strCache>
                <c:ptCount val="1"/>
                <c:pt idx="0">
                  <c:v>39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vega!$O$3:$O$55</c:f>
              <c:numCache>
                <c:formatCode>General</c:formatCode>
                <c:ptCount val="53"/>
                <c:pt idx="0">
                  <c:v>0</c:v>
                </c:pt>
                <c:pt idx="1">
                  <c:v>5.8977761715056116E-19</c:v>
                </c:pt>
                <c:pt idx="2">
                  <c:v>1.3481553170471506E-9</c:v>
                </c:pt>
                <c:pt idx="3">
                  <c:v>2.0306042720630166E-6</c:v>
                </c:pt>
                <c:pt idx="4">
                  <c:v>8.2949840454067271E-5</c:v>
                </c:pt>
                <c:pt idx="5">
                  <c:v>7.9012927876426372E-4</c:v>
                </c:pt>
                <c:pt idx="6">
                  <c:v>3.6145588987058241E-3</c:v>
                </c:pt>
                <c:pt idx="7">
                  <c:v>1.0843181290344525E-2</c:v>
                </c:pt>
                <c:pt idx="8">
                  <c:v>2.4945155029644981E-2</c:v>
                </c:pt>
                <c:pt idx="9">
                  <c:v>4.8027722146841395E-2</c:v>
                </c:pt>
                <c:pt idx="10">
                  <c:v>8.1572788669140167E-2</c:v>
                </c:pt>
                <c:pt idx="11">
                  <c:v>0.12640476484161883</c:v>
                </c:pt>
                <c:pt idx="12">
                  <c:v>0.18278143975364858</c:v>
                </c:pt>
                <c:pt idx="13">
                  <c:v>0.25052652622516847</c:v>
                </c:pt>
                <c:pt idx="14">
                  <c:v>0.32915976764546157</c:v>
                </c:pt>
                <c:pt idx="15">
                  <c:v>0.41800633831021083</c:v>
                </c:pt>
                <c:pt idx="16">
                  <c:v>0.51628126442245481</c:v>
                </c:pt>
                <c:pt idx="17">
                  <c:v>0.62315088709307331</c:v>
                </c:pt>
                <c:pt idx="18">
                  <c:v>0.73777553911847416</c:v>
                </c:pt>
                <c:pt idx="19">
                  <c:v>0.85933781396658271</c:v>
                </c:pt>
                <c:pt idx="20">
                  <c:v>0.98706024258747227</c:v>
                </c:pt>
                <c:pt idx="21">
                  <c:v>1.1202154257685273</c:v>
                </c:pt>
                <c:pt idx="22">
                  <c:v>1.2581309380723842</c:v>
                </c:pt>
                <c:pt idx="23">
                  <c:v>1.4001907075995634</c:v>
                </c:pt>
                <c:pt idx="24">
                  <c:v>1.545834096994994</c:v>
                </c:pt>
                <c:pt idx="25">
                  <c:v>1.6945535506565839</c:v>
                </c:pt>
                <c:pt idx="26">
                  <c:v>1.8458914084827742</c:v>
                </c:pt>
                <c:pt idx="27">
                  <c:v>1.9994362956236285</c:v>
                </c:pt>
                <c:pt idx="28">
                  <c:v>2.1548193618602296</c:v>
                </c:pt>
                <c:pt idx="29">
                  <c:v>2.3117105486527345</c:v>
                </c:pt>
                <c:pt idx="30">
                  <c:v>2.4698149953565629</c:v>
                </c:pt>
                <c:pt idx="31">
                  <c:v>2.6288696503091469</c:v>
                </c:pt>
                <c:pt idx="32">
                  <c:v>2.7886401213890086</c:v>
                </c:pt>
                <c:pt idx="33">
                  <c:v>2.9489177798872563</c:v>
                </c:pt>
                <c:pt idx="34">
                  <c:v>3.1095171179925534</c:v>
                </c:pt>
                <c:pt idx="35">
                  <c:v>3.2702733516593567</c:v>
                </c:pt>
                <c:pt idx="36">
                  <c:v>3.4310402555384982</c:v>
                </c:pt>
                <c:pt idx="37">
                  <c:v>3.5916882138957047</c:v>
                </c:pt>
                <c:pt idx="38">
                  <c:v>3.7521024702532095</c:v>
                </c:pt>
                <c:pt idx="39">
                  <c:v>3.9121815583228567</c:v>
                </c:pt>
                <c:pt idx="40">
                  <c:v>4.0718358972813773</c:v>
                </c:pt>
                <c:pt idx="41">
                  <c:v>4.2309865353128968</c:v>
                </c:pt>
                <c:pt idx="42">
                  <c:v>4.3895640264344378</c:v>
                </c:pt>
                <c:pt idx="43">
                  <c:v>4.5475074268102986</c:v>
                </c:pt>
                <c:pt idx="44">
                  <c:v>4.7047633979727159</c:v>
                </c:pt>
                <c:pt idx="45">
                  <c:v>4.8612854055502819</c:v>
                </c:pt>
                <c:pt idx="46">
                  <c:v>5.017033003231842</c:v>
                </c:pt>
                <c:pt idx="47">
                  <c:v>5.1719711927450467</c:v>
                </c:pt>
                <c:pt idx="48">
                  <c:v>5.3260698515974907</c:v>
                </c:pt>
                <c:pt idx="49">
                  <c:v>5.4793032212118753</c:v>
                </c:pt>
                <c:pt idx="50">
                  <c:v>5.6316494488868054</c:v>
                </c:pt>
                <c:pt idx="51">
                  <c:v>5.7830901777350201</c:v>
                </c:pt>
                <c:pt idx="52">
                  <c:v>5.9336101793967524</c:v>
                </c:pt>
              </c:numCache>
            </c:numRef>
          </c:val>
        </c:ser>
        <c:ser>
          <c:idx val="5"/>
          <c:order val="5"/>
          <c:tx>
            <c:strRef>
              <c:f>vega!$P$2</c:f>
              <c:strCache>
                <c:ptCount val="1"/>
                <c:pt idx="0">
                  <c:v>39,5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vega!$P$3:$P$55</c:f>
              <c:numCache>
                <c:formatCode>General</c:formatCode>
                <c:ptCount val="53"/>
                <c:pt idx="0">
                  <c:v>0</c:v>
                </c:pt>
                <c:pt idx="1">
                  <c:v>2.9533120577022453E-15</c:v>
                </c:pt>
                <c:pt idx="2">
                  <c:v>9.7022477053249841E-8</c:v>
                </c:pt>
                <c:pt idx="3">
                  <c:v>3.5197679650829901E-5</c:v>
                </c:pt>
                <c:pt idx="4">
                  <c:v>7.0438738746410529E-4</c:v>
                </c:pt>
                <c:pt idx="5">
                  <c:v>4.370298671184639E-3</c:v>
                </c:pt>
                <c:pt idx="6">
                  <c:v>1.5019067552319845E-2</c:v>
                </c:pt>
                <c:pt idx="7">
                  <c:v>3.6724965452247266E-2</c:v>
                </c:pt>
                <c:pt idx="8">
                  <c:v>7.2472948980744981E-2</c:v>
                </c:pt>
                <c:pt idx="9">
                  <c:v>0.12383792237009343</c:v>
                </c:pt>
                <c:pt idx="10">
                  <c:v>0.1911763542525351</c:v>
                </c:pt>
                <c:pt idx="11">
                  <c:v>0.27397640933497092</c:v>
                </c:pt>
                <c:pt idx="12">
                  <c:v>0.37118848144601968</c:v>
                </c:pt>
                <c:pt idx="13">
                  <c:v>0.48147898633235298</c:v>
                </c:pt>
                <c:pt idx="14">
                  <c:v>0.60340509947908094</c:v>
                </c:pt>
                <c:pt idx="15">
                  <c:v>0.73552606405158616</c:v>
                </c:pt>
                <c:pt idx="16">
                  <c:v>0.87646893036993312</c:v>
                </c:pt>
                <c:pt idx="17">
                  <c:v>1.0249636024323896</c:v>
                </c:pt>
                <c:pt idx="18">
                  <c:v>1.1798581577755332</c:v>
                </c:pt>
                <c:pt idx="19">
                  <c:v>1.340122026024634</c:v>
                </c:pt>
                <c:pt idx="20">
                  <c:v>1.5048420680434793</c:v>
                </c:pt>
                <c:pt idx="21">
                  <c:v>1.673214809293746</c:v>
                </c:pt>
                <c:pt idx="22">
                  <c:v>1.8445368715360251</c:v>
                </c:pt>
                <c:pt idx="23">
                  <c:v>2.0181948494923985</c:v>
                </c:pt>
                <c:pt idx="24">
                  <c:v>2.1936553631874465</c:v>
                </c:pt>
                <c:pt idx="25">
                  <c:v>2.3704556886259502</c:v>
                </c:pt>
                <c:pt idx="26">
                  <c:v>2.5481951646669168</c:v>
                </c:pt>
                <c:pt idx="27">
                  <c:v>2.7265274490345841</c:v>
                </c:pt>
                <c:pt idx="28">
                  <c:v>2.9051536226836743</c:v>
                </c:pt>
                <c:pt idx="29">
                  <c:v>3.0838161004418683</c:v>
                </c:pt>
                <c:pt idx="30">
                  <c:v>3.2622932848069741</c:v>
                </c:pt>
                <c:pt idx="31">
                  <c:v>3.4403948911305537</c:v>
                </c:pt>
                <c:pt idx="32">
                  <c:v>3.6179578711524258</c:v>
                </c:pt>
                <c:pt idx="33">
                  <c:v>3.7948428647789116</c:v>
                </c:pt>
                <c:pt idx="34">
                  <c:v>3.9709311151282631</c:v>
                </c:pt>
                <c:pt idx="35">
                  <c:v>4.1461217879722199</c:v>
                </c:pt>
                <c:pt idx="36">
                  <c:v>4.3203296430462448</c:v>
                </c:pt>
                <c:pt idx="37">
                  <c:v>4.4934830108583332</c:v>
                </c:pt>
                <c:pt idx="38">
                  <c:v>4.6655220343686876</c:v>
                </c:pt>
                <c:pt idx="39">
                  <c:v>4.8363971401332355</c:v>
                </c:pt>
                <c:pt idx="40">
                  <c:v>5.0060677081695015</c:v>
                </c:pt>
                <c:pt idx="41">
                  <c:v>5.1745009139234961</c:v>
                </c:pt>
                <c:pt idx="42">
                  <c:v>5.3416707193237443</c:v>
                </c:pt>
                <c:pt idx="43">
                  <c:v>5.5075569930487625</c:v>
                </c:pt>
                <c:pt idx="44">
                  <c:v>5.6721447428552345</c:v>
                </c:pt>
                <c:pt idx="45">
                  <c:v>5.8354234451652429</c:v>
                </c:pt>
                <c:pt idx="46">
                  <c:v>5.9973864591377772</c:v>
                </c:pt>
                <c:pt idx="47">
                  <c:v>6.1580305141949134</c:v>
                </c:pt>
                <c:pt idx="48">
                  <c:v>6.3173552614744404</c:v>
                </c:pt>
                <c:pt idx="49">
                  <c:v>6.4753628809716846</c:v>
                </c:pt>
                <c:pt idx="50">
                  <c:v>6.6320577372437057</c:v>
                </c:pt>
                <c:pt idx="51">
                  <c:v>6.7874460775037857</c:v>
                </c:pt>
                <c:pt idx="52">
                  <c:v>6.9415357667561013</c:v>
                </c:pt>
              </c:numCache>
            </c:numRef>
          </c:val>
        </c:ser>
        <c:ser>
          <c:idx val="6"/>
          <c:order val="6"/>
          <c:tx>
            <c:strRef>
              <c:f>vega!$Q$2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vega!$Q$3:$Q$55</c:f>
              <c:numCache>
                <c:formatCode>General</c:formatCode>
                <c:ptCount val="53"/>
                <c:pt idx="0">
                  <c:v>0</c:v>
                </c:pt>
                <c:pt idx="1">
                  <c:v>5.2269412529198719E-12</c:v>
                </c:pt>
                <c:pt idx="2">
                  <c:v>4.1406018857322394E-6</c:v>
                </c:pt>
                <c:pt idx="3">
                  <c:v>4.3040077730250123E-4</c:v>
                </c:pt>
                <c:pt idx="4">
                  <c:v>4.6033890830482925E-3</c:v>
                </c:pt>
                <c:pt idx="5">
                  <c:v>1.9602174480548341E-2</c:v>
                </c:pt>
                <c:pt idx="6">
                  <c:v>5.2403880686660319E-2</c:v>
                </c:pt>
                <c:pt idx="7">
                  <c:v>0.10708493563932939</c:v>
                </c:pt>
                <c:pt idx="8">
                  <c:v>0.18469428899456938</c:v>
                </c:pt>
                <c:pt idx="9">
                  <c:v>0.28420058627469225</c:v>
                </c:pt>
                <c:pt idx="10">
                  <c:v>0.40345157821691396</c:v>
                </c:pt>
                <c:pt idx="11">
                  <c:v>0.53984747011603851</c:v>
                </c:pt>
                <c:pt idx="12">
                  <c:v>0.69074137540898639</c:v>
                </c:pt>
                <c:pt idx="13">
                  <c:v>0.85364937083747672</c:v>
                </c:pt>
                <c:pt idx="14">
                  <c:v>1.0263439145764237</c:v>
                </c:pt>
                <c:pt idx="15">
                  <c:v>1.2068813713756179</c:v>
                </c:pt>
                <c:pt idx="16">
                  <c:v>1.3935950075476897</c:v>
                </c:pt>
                <c:pt idx="17">
                  <c:v>1.5850717023165306</c:v>
                </c:pt>
                <c:pt idx="18">
                  <c:v>1.7801225109379346</c:v>
                </c:pt>
                <c:pt idx="19">
                  <c:v>1.9777524356231404</c:v>
                </c:pt>
                <c:pt idx="20">
                  <c:v>2.1771320345576992</c:v>
                </c:pt>
                <c:pt idx="21">
                  <c:v>2.3775719898004599</c:v>
                </c:pt>
                <c:pt idx="22">
                  <c:v>2.5785009479999776</c:v>
                </c:pt>
                <c:pt idx="23">
                  <c:v>2.7794465391868854</c:v>
                </c:pt>
                <c:pt idx="24">
                  <c:v>2.9800192913734143</c:v>
                </c:pt>
                <c:pt idx="25">
                  <c:v>3.1798990907950673</c:v>
                </c:pt>
                <c:pt idx="26">
                  <c:v>3.3788238318482868</c:v>
                </c:pt>
                <c:pt idx="27">
                  <c:v>3.5765799249905479</c:v>
                </c:pt>
                <c:pt idx="28">
                  <c:v>3.7729943674972097</c:v>
                </c:pt>
                <c:pt idx="29">
                  <c:v>3.967928121697168</c:v>
                </c:pt>
                <c:pt idx="30">
                  <c:v>4.161270583465507</c:v>
                </c:pt>
                <c:pt idx="31">
                  <c:v>4.3529349582343437</c:v>
                </c:pt>
                <c:pt idx="32">
                  <c:v>4.5428543918761797</c:v>
                </c:pt>
                <c:pt idx="33">
                  <c:v>4.7309787295162344</c:v>
                </c:pt>
                <c:pt idx="34">
                  <c:v>4.9172717969808524</c:v>
                </c:pt>
                <c:pt idx="35">
                  <c:v>5.1017091176641802</c:v>
                </c:pt>
                <c:pt idx="36">
                  <c:v>5.2842759925975509</c:v>
                </c:pt>
                <c:pt idx="37">
                  <c:v>5.464965883913389</c:v>
                </c:pt>
                <c:pt idx="38">
                  <c:v>5.6437790521347226</c:v>
                </c:pt>
                <c:pt idx="39">
                  <c:v>5.8207214061632753</c:v>
                </c:pt>
                <c:pt idx="40">
                  <c:v>5.9958035317976455</c:v>
                </c:pt>
                <c:pt idx="41">
                  <c:v>6.1690398703509768</c:v>
                </c:pt>
                <c:pt idx="42">
                  <c:v>6.3404480236729635</c:v>
                </c:pt>
                <c:pt idx="43">
                  <c:v>6.5100481657935765</c:v>
                </c:pt>
                <c:pt idx="44">
                  <c:v>6.6778625446427409</c:v>
                </c:pt>
                <c:pt idx="45">
                  <c:v>6.8439150599827707</c:v>
                </c:pt>
                <c:pt idx="46">
                  <c:v>7.0082309059165553</c:v>
                </c:pt>
                <c:pt idx="47">
                  <c:v>7.1708362681859183</c:v>
                </c:pt>
                <c:pt idx="48">
                  <c:v>7.3317580680166197</c:v>
                </c:pt>
                <c:pt idx="49">
                  <c:v>7.491023745553429</c:v>
                </c:pt>
                <c:pt idx="50">
                  <c:v>7.6486610770048928</c:v>
                </c:pt>
                <c:pt idx="51">
                  <c:v>7.8046980205186092</c:v>
                </c:pt>
                <c:pt idx="52">
                  <c:v>7.9591625865644984</c:v>
                </c:pt>
              </c:numCache>
            </c:numRef>
          </c:val>
        </c:ser>
        <c:ser>
          <c:idx val="7"/>
          <c:order val="7"/>
          <c:tx>
            <c:strRef>
              <c:f>vega!$R$2</c:f>
              <c:strCache>
                <c:ptCount val="1"/>
                <c:pt idx="0">
                  <c:v>40,5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vega!$R$3:$R$55</c:f>
              <c:numCache>
                <c:formatCode>General</c:formatCode>
                <c:ptCount val="53"/>
                <c:pt idx="0">
                  <c:v>0</c:v>
                </c:pt>
                <c:pt idx="1">
                  <c:v>3.3941208016533911E-9</c:v>
                </c:pt>
                <c:pt idx="2">
                  <c:v>1.0677390721442304E-4</c:v>
                </c:pt>
                <c:pt idx="3">
                  <c:v>3.7596337390086139E-3</c:v>
                </c:pt>
                <c:pt idx="4">
                  <c:v>2.3372189269330799E-2</c:v>
                </c:pt>
                <c:pt idx="5">
                  <c:v>7.1836861368850924E-2</c:v>
                </c:pt>
                <c:pt idx="6">
                  <c:v>0.15450490891222601</c:v>
                </c:pt>
                <c:pt idx="7">
                  <c:v>0.27026775610964165</c:v>
                </c:pt>
                <c:pt idx="8">
                  <c:v>0.41482365928119846</c:v>
                </c:pt>
                <c:pt idx="9">
                  <c:v>0.58293961306974584</c:v>
                </c:pt>
                <c:pt idx="10">
                  <c:v>0.76957859714408228</c:v>
                </c:pt>
                <c:pt idx="11">
                  <c:v>0.97034102853151127</c:v>
                </c:pt>
                <c:pt idx="12">
                  <c:v>1.181566988916122</c:v>
                </c:pt>
                <c:pt idx="13">
                  <c:v>1.4002923361282262</c:v>
                </c:pt>
                <c:pt idx="14">
                  <c:v>1.6241535262141789</c:v>
                </c:pt>
                <c:pt idx="15">
                  <c:v>1.8512838610067726</c:v>
                </c:pt>
                <c:pt idx="16">
                  <c:v>2.0802184196348552</c:v>
                </c:pt>
                <c:pt idx="17">
                  <c:v>2.3098131732067504</c:v>
                </c:pt>
                <c:pt idx="18">
                  <c:v>2.539178691237058</c:v>
                </c:pt>
                <c:pt idx="19">
                  <c:v>2.7676268871673519</c:v>
                </c:pt>
                <c:pt idx="20">
                  <c:v>2.9946286990892852</c:v>
                </c:pt>
                <c:pt idx="21">
                  <c:v>3.2197806449217068</c:v>
                </c:pt>
                <c:pt idx="22">
                  <c:v>3.4427784518767401</c:v>
                </c:pt>
                <c:pt idx="23">
                  <c:v>3.6633962707873096</c:v>
                </c:pt>
                <c:pt idx="24">
                  <c:v>3.8814702780678632</c:v>
                </c:pt>
                <c:pt idx="25">
                  <c:v>4.0968857182497294</c:v>
                </c:pt>
                <c:pt idx="26">
                  <c:v>4.3095666444638328</c:v>
                </c:pt>
                <c:pt idx="27">
                  <c:v>4.5194677770970673</c:v>
                </c:pt>
                <c:pt idx="28">
                  <c:v>4.7265680287297611</c:v>
                </c:pt>
                <c:pt idx="29">
                  <c:v>4.9308653430859692</c:v>
                </c:pt>
                <c:pt idx="30">
                  <c:v>5.1323725730298291</c:v>
                </c:pt>
                <c:pt idx="31">
                  <c:v>5.3311141825342983</c:v>
                </c:pt>
                <c:pt idx="32">
                  <c:v>5.5271236039630107</c:v>
                </c:pt>
                <c:pt idx="33">
                  <c:v>5.7204411180226495</c:v>
                </c:pt>
                <c:pt idx="34">
                  <c:v>5.9111121517491814</c:v>
                </c:pt>
                <c:pt idx="35">
                  <c:v>6.0991859117244243</c:v>
                </c:pt>
                <c:pt idx="36">
                  <c:v>6.284714286789181</c:v>
                </c:pt>
                <c:pt idx="37">
                  <c:v>6.467750967906615</c:v>
                </c:pt>
                <c:pt idx="38">
                  <c:v>6.6483507433623634</c:v>
                </c:pt>
                <c:pt idx="39">
                  <c:v>6.826568935802003</c:v>
                </c:pt>
                <c:pt idx="40">
                  <c:v>7.0024609541906537</c:v>
                </c:pt>
                <c:pt idx="41">
                  <c:v>7.1760819390105226</c:v>
                </c:pt>
                <c:pt idx="42">
                  <c:v>7.347486483181263</c:v>
                </c:pt>
                <c:pt idx="43">
                  <c:v>7.5167284145211921</c:v>
                </c:pt>
                <c:pt idx="44">
                  <c:v>7.6838606282401374</c:v>
                </c:pt>
                <c:pt idx="45">
                  <c:v>7.8489349601039926</c:v>
                </c:pt>
                <c:pt idx="46">
                  <c:v>8.0120020926445932</c:v>
                </c:pt>
                <c:pt idx="47">
                  <c:v>8.1731114881899316</c:v>
                </c:pt>
                <c:pt idx="48">
                  <c:v>8.3323113436261504</c:v>
                </c:pt>
                <c:pt idx="49">
                  <c:v>8.4896485627258187</c:v>
                </c:pt>
                <c:pt idx="50">
                  <c:v>8.6451687426293002</c:v>
                </c:pt>
                <c:pt idx="51">
                  <c:v>8.7989161716795969</c:v>
                </c:pt>
                <c:pt idx="52">
                  <c:v>8.9509338363132631</c:v>
                </c:pt>
              </c:numCache>
            </c:numRef>
          </c:val>
        </c:ser>
        <c:ser>
          <c:idx val="8"/>
          <c:order val="8"/>
          <c:tx>
            <c:strRef>
              <c:f>vega!$S$2</c:f>
              <c:strCache>
                <c:ptCount val="1"/>
                <c:pt idx="0">
                  <c:v>41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vega!$S$3:$S$55</c:f>
              <c:numCache>
                <c:formatCode>General</c:formatCode>
                <c:ptCount val="53"/>
                <c:pt idx="0">
                  <c:v>0</c:v>
                </c:pt>
                <c:pt idx="1">
                  <c:v>8.3801790558212859E-7</c:v>
                </c:pt>
                <c:pt idx="2">
                  <c:v>1.6938221420426899E-3</c:v>
                </c:pt>
                <c:pt idx="3">
                  <c:v>2.3742880296243368E-2</c:v>
                </c:pt>
                <c:pt idx="4">
                  <c:v>9.3021017296667716E-2</c:v>
                </c:pt>
                <c:pt idx="5">
                  <c:v>0.21665327080526836</c:v>
                </c:pt>
                <c:pt idx="6">
                  <c:v>0.38724353596068101</c:v>
                </c:pt>
                <c:pt idx="7">
                  <c:v>0.59346066392028451</c:v>
                </c:pt>
                <c:pt idx="8">
                  <c:v>0.82482183087685002</c:v>
                </c:pt>
                <c:pt idx="9">
                  <c:v>1.072967357454641</c:v>
                </c:pt>
                <c:pt idx="10">
                  <c:v>1.3316260190357996</c:v>
                </c:pt>
                <c:pt idx="11">
                  <c:v>1.5962262570423458</c:v>
                </c:pt>
                <c:pt idx="12">
                  <c:v>1.8634853978876591</c:v>
                </c:pt>
                <c:pt idx="13">
                  <c:v>2.1310691274364131</c:v>
                </c:pt>
                <c:pt idx="14">
                  <c:v>2.397332067821432</c:v>
                </c:pt>
                <c:pt idx="15">
                  <c:v>2.6611270046139603</c:v>
                </c:pt>
                <c:pt idx="16">
                  <c:v>2.9216666537172156</c:v>
                </c:pt>
                <c:pt idx="17">
                  <c:v>3.1784239887165042</c:v>
                </c:pt>
                <c:pt idx="18">
                  <c:v>3.4310603653905001</c:v>
                </c:pt>
                <c:pt idx="19">
                  <c:v>3.6793735544489303</c:v>
                </c:pt>
                <c:pt idx="20">
                  <c:v>3.9232600243338518</c:v>
                </c:pt>
                <c:pt idx="21">
                  <c:v>4.1626874507321645</c:v>
                </c:pt>
                <c:pt idx="22">
                  <c:v>4.3976745970469606</c:v>
                </c:pt>
                <c:pt idx="23">
                  <c:v>4.6282765348652326</c:v>
                </c:pt>
                <c:pt idx="24">
                  <c:v>4.8545737541798255</c:v>
                </c:pt>
                <c:pt idx="25">
                  <c:v>5.0766641224127262</c:v>
                </c:pt>
                <c:pt idx="26">
                  <c:v>5.2946569407551758</c:v>
                </c:pt>
                <c:pt idx="27">
                  <c:v>5.5086685520672951</c:v>
                </c:pt>
                <c:pt idx="28">
                  <c:v>5.7188191016209977</c:v>
                </c:pt>
                <c:pt idx="29">
                  <c:v>5.9252301577025648</c:v>
                </c:pt>
                <c:pt idx="30">
                  <c:v>6.1280229755909241</c:v>
                </c:pt>
                <c:pt idx="31">
                  <c:v>6.3273172441177854</c:v>
                </c:pt>
                <c:pt idx="32">
                  <c:v>6.5232301948010472</c:v>
                </c:pt>
                <c:pt idx="33">
                  <c:v>6.7158759835860664</c:v>
                </c:pt>
                <c:pt idx="34">
                  <c:v>6.9053652774826872</c:v>
                </c:pt>
                <c:pt idx="35">
                  <c:v>7.0918049949559121</c:v>
                </c:pt>
                <c:pt idx="36">
                  <c:v>7.2752981613272301</c:v>
                </c:pt>
                <c:pt idx="37">
                  <c:v>7.4559438497648509</c:v>
                </c:pt>
                <c:pt idx="38">
                  <c:v>7.6338371854781073</c:v>
                </c:pt>
                <c:pt idx="39">
                  <c:v>7.8090693960649737</c:v>
                </c:pt>
                <c:pt idx="40">
                  <c:v>7.9817278950184605</c:v>
                </c:pt>
                <c:pt idx="41">
                  <c:v>8.1518963884931708</c:v>
                </c:pt>
                <c:pt idx="42">
                  <c:v>8.3196549978017629</c:v>
                </c:pt>
                <c:pt idx="43">
                  <c:v>8.4850803919275855</c:v>
                </c:pt>
                <c:pt idx="44">
                  <c:v>8.6482459257355728</c:v>
                </c:pt>
                <c:pt idx="45">
                  <c:v>8.8092217806374755</c:v>
                </c:pt>
                <c:pt idx="46">
                  <c:v>8.9680751052947123</c:v>
                </c:pt>
                <c:pt idx="47">
                  <c:v>9.1248701545793676</c:v>
                </c:pt>
                <c:pt idx="48">
                  <c:v>9.2796684255045747</c:v>
                </c:pt>
                <c:pt idx="49">
                  <c:v>9.4325287892129257</c:v>
                </c:pt>
                <c:pt idx="50">
                  <c:v>9.5835076184013719</c:v>
                </c:pt>
                <c:pt idx="51">
                  <c:v>9.7326589097825433</c:v>
                </c:pt>
                <c:pt idx="52">
                  <c:v>9.8800344013513612</c:v>
                </c:pt>
              </c:numCache>
            </c:numRef>
          </c:val>
        </c:ser>
        <c:ser>
          <c:idx val="9"/>
          <c:order val="9"/>
          <c:tx>
            <c:strRef>
              <c:f>vega!$T$2</c:f>
              <c:strCache>
                <c:ptCount val="1"/>
                <c:pt idx="0">
                  <c:v>41,5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vega!$T$3:$T$55</c:f>
              <c:numCache>
                <c:formatCode>General</c:formatCode>
                <c:ptCount val="53"/>
                <c:pt idx="0">
                  <c:v>0</c:v>
                </c:pt>
                <c:pt idx="1">
                  <c:v>8.1404910653842341E-5</c:v>
                </c:pt>
                <c:pt idx="2">
                  <c:v>1.6815907424775688E-2</c:v>
                </c:pt>
                <c:pt idx="3">
                  <c:v>0.10965044689149886</c:v>
                </c:pt>
                <c:pt idx="4">
                  <c:v>0.29272236483015374</c:v>
                </c:pt>
                <c:pt idx="5">
                  <c:v>0.54143427495735408</c:v>
                </c:pt>
                <c:pt idx="6">
                  <c:v>0.82981180013137579</c:v>
                </c:pt>
                <c:pt idx="7">
                  <c:v>1.1393483525305841</c:v>
                </c:pt>
                <c:pt idx="8">
                  <c:v>1.4581819276239909</c:v>
                </c:pt>
                <c:pt idx="9">
                  <c:v>1.7789947448836745</c:v>
                </c:pt>
                <c:pt idx="10">
                  <c:v>2.0973655658904504</c:v>
                </c:pt>
                <c:pt idx="11">
                  <c:v>2.4106835651457561</c:v>
                </c:pt>
                <c:pt idx="12">
                  <c:v>2.7174660777267885</c:v>
                </c:pt>
                <c:pt idx="13">
                  <c:v>3.0169345681004911</c:v>
                </c:pt>
                <c:pt idx="14">
                  <c:v>3.308750293568266</c:v>
                </c:pt>
                <c:pt idx="15">
                  <c:v>3.5928482302727112</c:v>
                </c:pt>
                <c:pt idx="16">
                  <c:v>3.8693318208100043</c:v>
                </c:pt>
                <c:pt idx="17">
                  <c:v>4.1384057537712042</c:v>
                </c:pt>
                <c:pt idx="18">
                  <c:v>4.4003327977674456</c:v>
                </c:pt>
                <c:pt idx="19">
                  <c:v>4.6554060202139658</c:v>
                </c:pt>
                <c:pt idx="20">
                  <c:v>4.9039309458024141</c:v>
                </c:pt>
                <c:pt idx="21">
                  <c:v>5.1462141918737494</c:v>
                </c:pt>
                <c:pt idx="22">
                  <c:v>5.3825563522762856</c:v>
                </c:pt>
                <c:pt idx="23">
                  <c:v>5.6132476799960189</c:v>
                </c:pt>
                <c:pt idx="24">
                  <c:v>5.8385656162996913</c:v>
                </c:pt>
                <c:pt idx="25">
                  <c:v>6.0587735356965</c:v>
                </c:pt>
                <c:pt idx="26">
                  <c:v>6.2741202861749255</c:v>
                </c:pt>
                <c:pt idx="27">
                  <c:v>6.4848402428791383</c:v>
                </c:pt>
                <c:pt idx="28">
                  <c:v>6.6911536857567171</c:v>
                </c:pt>
                <c:pt idx="29">
                  <c:v>6.8932673736950463</c:v>
                </c:pt>
                <c:pt idx="30">
                  <c:v>7.0913752295337948</c:v>
                </c:pt>
                <c:pt idx="31">
                  <c:v>7.2856590787725706</c:v>
                </c:pt>
                <c:pt idx="32">
                  <c:v>7.4762894041738877</c:v>
                </c:pt>
                <c:pt idx="33">
                  <c:v>7.663426091703367</c:v>
                </c:pt>
                <c:pt idx="34">
                  <c:v>7.8472191523005854</c:v>
                </c:pt>
                <c:pt idx="35">
                  <c:v>8.0278094101501747</c:v>
                </c:pt>
                <c:pt idx="36">
                  <c:v>8.2053291523178427</c:v>
                </c:pt>
                <c:pt idx="37">
                  <c:v>8.3799027374419559</c:v>
                </c:pt>
                <c:pt idx="38">
                  <c:v>8.5516471630493935</c:v>
                </c:pt>
                <c:pt idx="39">
                  <c:v>8.7206725922860411</c:v>
                </c:pt>
                <c:pt idx="40">
                  <c:v>8.8870828416202521</c:v>
                </c:pt>
                <c:pt idx="41">
                  <c:v>9.0509758315329449</c:v>
                </c:pt>
                <c:pt idx="42">
                  <c:v>9.2124440024495389</c:v>
                </c:pt>
                <c:pt idx="43">
                  <c:v>9.3715746982659294</c:v>
                </c:pt>
                <c:pt idx="44">
                  <c:v>9.5284505198211455</c:v>
                </c:pt>
                <c:pt idx="45">
                  <c:v>9.6831496506075716</c:v>
                </c:pt>
                <c:pt idx="46">
                  <c:v>9.8357461569086553</c:v>
                </c:pt>
                <c:pt idx="47">
                  <c:v>9.9863102644306903</c:v>
                </c:pt>
                <c:pt idx="48">
                  <c:v>10.134908613360444</c:v>
                </c:pt>
                <c:pt idx="49">
                  <c:v>10.281604493641725</c:v>
                </c:pt>
                <c:pt idx="50">
                  <c:v>10.426458062126823</c:v>
                </c:pt>
                <c:pt idx="51">
                  <c:v>10.569526543125834</c:v>
                </c:pt>
                <c:pt idx="52">
                  <c:v>10.710864413750748</c:v>
                </c:pt>
              </c:numCache>
            </c:numRef>
          </c:val>
        </c:ser>
        <c:ser>
          <c:idx val="10"/>
          <c:order val="10"/>
          <c:tx>
            <c:strRef>
              <c:f>vega!$U$2</c:f>
              <c:strCache>
                <c:ptCount val="1"/>
                <c:pt idx="0">
                  <c:v>42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vega!$U$3:$U$55</c:f>
              <c:numCache>
                <c:formatCode>General</c:formatCode>
                <c:ptCount val="53"/>
                <c:pt idx="0">
                  <c:v>1.5578914029160286E-279</c:v>
                </c:pt>
                <c:pt idx="1">
                  <c:v>3.2144076884882541E-3</c:v>
                </c:pt>
                <c:pt idx="2">
                  <c:v>0.10620580765065124</c:v>
                </c:pt>
                <c:pt idx="3">
                  <c:v>0.37439884789362893</c:v>
                </c:pt>
                <c:pt idx="4">
                  <c:v>0.73433634779303791</c:v>
                </c:pt>
                <c:pt idx="5">
                  <c:v>1.1286180310942409</c:v>
                </c:pt>
                <c:pt idx="6">
                  <c:v>1.5286602710954493</c:v>
                </c:pt>
                <c:pt idx="7">
                  <c:v>1.9214558362637846</c:v>
                </c:pt>
                <c:pt idx="8">
                  <c:v>2.3014709485053109</c:v>
                </c:pt>
                <c:pt idx="9">
                  <c:v>2.6667164279611297</c:v>
                </c:pt>
                <c:pt idx="10">
                  <c:v>3.0168834958339552</c:v>
                </c:pt>
                <c:pt idx="11">
                  <c:v>3.3524450170332063</c:v>
                </c:pt>
                <c:pt idx="12">
                  <c:v>3.6742138443036336</c:v>
                </c:pt>
                <c:pt idx="13">
                  <c:v>3.9831234165475577</c:v>
                </c:pt>
                <c:pt idx="14">
                  <c:v>4.2801192951809313</c:v>
                </c:pt>
                <c:pt idx="15">
                  <c:v>4.5661072340033684</c:v>
                </c:pt>
                <c:pt idx="16">
                  <c:v>4.8419304161624792</c:v>
                </c:pt>
                <c:pt idx="17">
                  <c:v>5.1083617522488236</c:v>
                </c:pt>
                <c:pt idx="18">
                  <c:v>5.366103830916626</c:v>
                </c:pt>
                <c:pt idx="19">
                  <c:v>5.6157925839538914</c:v>
                </c:pt>
                <c:pt idx="20">
                  <c:v>5.8580025649537664</c:v>
                </c:pt>
                <c:pt idx="21">
                  <c:v>6.0932527296303887</c:v>
                </c:pt>
                <c:pt idx="22">
                  <c:v>6.3220121441489008</c:v>
                </c:pt>
                <c:pt idx="23">
                  <c:v>6.544705342360178</c:v>
                </c:pt>
                <c:pt idx="24">
                  <c:v>6.7617172134596135</c:v>
                </c:pt>
                <c:pt idx="25">
                  <c:v>6.9733973879049049</c:v>
                </c:pt>
                <c:pt idx="26">
                  <c:v>7.1800641342602551</c:v>
                </c:pt>
                <c:pt idx="27">
                  <c:v>7.3820078013165356</c:v>
                </c:pt>
                <c:pt idx="28">
                  <c:v>7.5794938487082542</c:v>
                </c:pt>
                <c:pt idx="29">
                  <c:v>7.7727655111760017</c:v>
                </c:pt>
                <c:pt idx="30">
                  <c:v>7.9620461399414548</c:v>
                </c:pt>
                <c:pt idx="31">
                  <c:v>8.147541261258203</c:v>
                </c:pt>
                <c:pt idx="32">
                  <c:v>8.3294403881286296</c:v>
                </c:pt>
                <c:pt idx="33">
                  <c:v>8.5079186170090182</c:v>
                </c:pt>
                <c:pt idx="34">
                  <c:v>8.6831380373580398</c:v>
                </c:pt>
                <c:pt idx="35">
                  <c:v>8.8552489782573556</c:v>
                </c:pt>
                <c:pt idx="36">
                  <c:v>9.0243911130967263</c:v>
                </c:pt>
                <c:pt idx="37">
                  <c:v>9.1906944404722424</c:v>
                </c:pt>
                <c:pt idx="38">
                  <c:v>9.3542801569715195</c:v>
                </c:pt>
                <c:pt idx="39">
                  <c:v>9.5152614353803688</c:v>
                </c:pt>
                <c:pt idx="40">
                  <c:v>9.6737441200029082</c:v>
                </c:pt>
                <c:pt idx="41">
                  <c:v>9.8298273492046437</c:v>
                </c:pt>
                <c:pt idx="42">
                  <c:v>9.9836041139301166</c:v>
                </c:pt>
                <c:pt idx="43">
                  <c:v>10.135161759782255</c:v>
                </c:pt>
                <c:pt idx="44">
                  <c:v>10.284582439251741</c:v>
                </c:pt>
                <c:pt idx="45">
                  <c:v>10.431943519827168</c:v>
                </c:pt>
                <c:pt idx="46">
                  <c:v>10.577317952980133</c:v>
                </c:pt>
                <c:pt idx="47">
                  <c:v>10.72077460838544</c:v>
                </c:pt>
                <c:pt idx="48">
                  <c:v>10.862378577190638</c:v>
                </c:pt>
                <c:pt idx="49">
                  <c:v>11.002191447677603</c:v>
                </c:pt>
                <c:pt idx="50">
                  <c:v>11.140271556251733</c:v>
                </c:pt>
                <c:pt idx="51">
                  <c:v>11.276674216341327</c:v>
                </c:pt>
                <c:pt idx="52">
                  <c:v>11.411451927483821</c:v>
                </c:pt>
              </c:numCache>
            </c:numRef>
          </c:val>
        </c:ser>
        <c:ser>
          <c:idx val="11"/>
          <c:order val="11"/>
          <c:tx>
            <c:strRef>
              <c:f>vega!$V$2</c:f>
              <c:strCache>
                <c:ptCount val="1"/>
                <c:pt idx="0">
                  <c:v>42,5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vega!$V$3:$V$55</c:f>
              <c:numCache>
                <c:formatCode>General</c:formatCode>
                <c:ptCount val="53"/>
                <c:pt idx="0">
                  <c:v>4.6827372539959358E-156</c:v>
                </c:pt>
                <c:pt idx="1">
                  <c:v>5.3232544721691435E-2</c:v>
                </c:pt>
                <c:pt idx="2">
                  <c:v>0.4334823004687855</c:v>
                </c:pt>
                <c:pt idx="3">
                  <c:v>0.95512314414458899</c:v>
                </c:pt>
                <c:pt idx="4">
                  <c:v>1.4801859741418171</c:v>
                </c:pt>
                <c:pt idx="5">
                  <c:v>1.9747148895833921</c:v>
                </c:pt>
                <c:pt idx="6">
                  <c:v>2.433651627997707</c:v>
                </c:pt>
                <c:pt idx="7">
                  <c:v>2.8593563086727873</c:v>
                </c:pt>
                <c:pt idx="8">
                  <c:v>3.2557574894495076</c:v>
                </c:pt>
                <c:pt idx="9">
                  <c:v>3.6267164688196929</c:v>
                </c:pt>
                <c:pt idx="10">
                  <c:v>3.9756126361705606</c:v>
                </c:pt>
                <c:pt idx="11">
                  <c:v>4.305295827389787</c:v>
                </c:pt>
                <c:pt idx="12">
                  <c:v>4.6181430887606245</c:v>
                </c:pt>
                <c:pt idx="13">
                  <c:v>4.91613623616308</c:v>
                </c:pt>
                <c:pt idx="14">
                  <c:v>5.2009344212457407</c:v>
                </c:pt>
                <c:pt idx="15">
                  <c:v>5.4739352004186479</c:v>
                </c:pt>
                <c:pt idx="16">
                  <c:v>5.7363239185562511</c:v>
                </c:pt>
                <c:pt idx="17">
                  <c:v>5.9891130440524813</c:v>
                </c:pt>
                <c:pt idx="18">
                  <c:v>6.2331733755012388</c:v>
                </c:pt>
                <c:pt idx="19">
                  <c:v>6.46925883705189</c:v>
                </c:pt>
                <c:pt idx="20">
                  <c:v>6.6980262648813831</c:v>
                </c:pt>
                <c:pt idx="21">
                  <c:v>6.9200512876381417</c:v>
                </c:pt>
                <c:pt idx="22">
                  <c:v>7.1358411541101869</c:v>
                </c:pt>
                <c:pt idx="23">
                  <c:v>7.3458451644206422</c:v>
                </c:pt>
                <c:pt idx="24">
                  <c:v>7.5504632094115207</c:v>
                </c:pt>
                <c:pt idx="25">
                  <c:v>7.7500528073448356</c:v>
                </c:pt>
                <c:pt idx="26">
                  <c:v>7.9449349393163065</c:v>
                </c:pt>
                <c:pt idx="27">
                  <c:v>8.1353989180992343</c:v>
                </c:pt>
                <c:pt idx="28">
                  <c:v>8.3217064743008162</c:v>
                </c:pt>
                <c:pt idx="29">
                  <c:v>8.5040952047802136</c:v>
                </c:pt>
                <c:pt idx="30">
                  <c:v>8.6827814983014147</c:v>
                </c:pt>
                <c:pt idx="31">
                  <c:v>8.8579630301808123</c:v>
                </c:pt>
                <c:pt idx="32">
                  <c:v>9.0298208996065128</c:v>
                </c:pt>
                <c:pt idx="33">
                  <c:v>9.1985214691351391</c:v>
                </c:pt>
                <c:pt idx="34">
                  <c:v>9.3642179546998765</c:v>
                </c:pt>
                <c:pt idx="35">
                  <c:v>9.52705180560441</c:v>
                </c:pt>
                <c:pt idx="36">
                  <c:v>9.6871539069120427</c:v>
                </c:pt>
                <c:pt idx="37">
                  <c:v>9.844645630973238</c:v>
                </c:pt>
                <c:pt idx="38">
                  <c:v>9.9996397602666889</c:v>
                </c:pt>
                <c:pt idx="39">
                  <c:v>10.152241300026599</c:v>
                </c:pt>
                <c:pt idx="40">
                  <c:v>10.302548196113465</c:v>
                </c:pt>
                <c:pt idx="41">
                  <c:v>10.450651971117694</c:v>
                </c:pt>
                <c:pt idx="42">
                  <c:v>10.596638289656275</c:v>
                </c:pt>
                <c:pt idx="43">
                  <c:v>10.740587462146912</c:v>
                </c:pt>
                <c:pt idx="44">
                  <c:v>10.8825748949541</c:v>
                </c:pt>
                <c:pt idx="45">
                  <c:v>11.022671493644095</c:v>
                </c:pt>
                <c:pt idx="46">
                  <c:v>11.16094402511783</c:v>
                </c:pt>
                <c:pt idx="47">
                  <c:v>11.297455443578494</c:v>
                </c:pt>
                <c:pt idx="48">
                  <c:v>11.432265184606218</c:v>
                </c:pt>
                <c:pt idx="49">
                  <c:v>11.56542943103374</c:v>
                </c:pt>
                <c:pt idx="50">
                  <c:v>11.697001353826328</c:v>
                </c:pt>
                <c:pt idx="51">
                  <c:v>11.827031330751552</c:v>
                </c:pt>
                <c:pt idx="52">
                  <c:v>11.955567145268061</c:v>
                </c:pt>
              </c:numCache>
            </c:numRef>
          </c:val>
        </c:ser>
        <c:ser>
          <c:idx val="12"/>
          <c:order val="12"/>
          <c:tx>
            <c:strRef>
              <c:f>vega!$W$2</c:f>
              <c:strCache>
                <c:ptCount val="1"/>
                <c:pt idx="0">
                  <c:v>43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vega!$W$3:$W$55</c:f>
              <c:numCache>
                <c:formatCode>General</c:formatCode>
                <c:ptCount val="53"/>
                <c:pt idx="0">
                  <c:v>2.1987847974247206E-69</c:v>
                </c:pt>
                <c:pt idx="1">
                  <c:v>0.38095665396827388</c:v>
                </c:pt>
                <c:pt idx="2">
                  <c:v>1.1606987942403073</c:v>
                </c:pt>
                <c:pt idx="3">
                  <c:v>1.8388452511228994</c:v>
                </c:pt>
                <c:pt idx="4">
                  <c:v>2.4154179638812132</c:v>
                </c:pt>
                <c:pt idx="5">
                  <c:v>2.9176768602029552</c:v>
                </c:pt>
                <c:pt idx="6">
                  <c:v>3.3651554203734007</c:v>
                </c:pt>
                <c:pt idx="7">
                  <c:v>3.7708719083979036</c:v>
                </c:pt>
                <c:pt idx="8">
                  <c:v>4.1437087308097906</c:v>
                </c:pt>
                <c:pt idx="9">
                  <c:v>4.4899440988022992</c:v>
                </c:pt>
                <c:pt idx="10">
                  <c:v>4.8141666293867296</c:v>
                </c:pt>
                <c:pt idx="11">
                  <c:v>5.1198297058461897</c:v>
                </c:pt>
                <c:pt idx="12">
                  <c:v>5.40959845453024</c:v>
                </c:pt>
                <c:pt idx="13">
                  <c:v>5.6855744080706012</c:v>
                </c:pt>
                <c:pt idx="14">
                  <c:v>5.9494456556095026</c:v>
                </c:pt>
                <c:pt idx="15">
                  <c:v>6.2025900997168364</c:v>
                </c:pt>
                <c:pt idx="16">
                  <c:v>6.4461482934339251</c:v>
                </c:pt>
                <c:pt idx="17">
                  <c:v>6.6810759926350576</c:v>
                </c:pt>
                <c:pt idx="18">
                  <c:v>6.9081828423558154</c:v>
                </c:pt>
                <c:pt idx="19">
                  <c:v>7.1281613710409406</c:v>
                </c:pt>
                <c:pt idx="20">
                  <c:v>7.3416090730059302</c:v>
                </c:pt>
                <c:pt idx="21">
                  <c:v>7.5490454718942361</c:v>
                </c:pt>
                <c:pt idx="22">
                  <c:v>7.7509254794526754</c:v>
                </c:pt>
                <c:pt idx="23">
                  <c:v>7.9476499788406967</c:v>
                </c:pt>
                <c:pt idx="24">
                  <c:v>8.1395743002870073</c:v>
                </c:pt>
                <c:pt idx="25">
                  <c:v>8.3270150762948685</c:v>
                </c:pt>
                <c:pt idx="26">
                  <c:v>8.5102558367559418</c:v>
                </c:pt>
                <c:pt idx="27">
                  <c:v>8.6895516139083693</c:v>
                </c:pt>
                <c:pt idx="28">
                  <c:v>8.8651327617147544</c:v>
                </c:pt>
                <c:pt idx="29">
                  <c:v>9.0372081463843745</c:v>
                </c:pt>
                <c:pt idx="30">
                  <c:v>9.2059678293138543</c:v>
                </c:pt>
                <c:pt idx="31">
                  <c:v>9.3715853371665627</c:v>
                </c:pt>
                <c:pt idx="32">
                  <c:v>9.5342195937158163</c:v>
                </c:pt>
                <c:pt idx="33">
                  <c:v>9.6940165727234078</c:v>
                </c:pt>
                <c:pt idx="34">
                  <c:v>9.8511107192885525</c:v>
                </c:pt>
                <c:pt idx="35">
                  <c:v>10.005626177900517</c:v>
                </c:pt>
                <c:pt idx="36">
                  <c:v>10.157677858218046</c:v>
                </c:pt>
                <c:pt idx="37">
                  <c:v>10.307372363906975</c:v>
                </c:pt>
                <c:pt idx="38">
                  <c:v>10.454808805342955</c:v>
                </c:pt>
                <c:pt idx="39">
                  <c:v>10.600079513365802</c:v>
                </c:pt>
                <c:pt idx="40">
                  <c:v>10.743270668356917</c:v>
                </c:pt>
                <c:pt idx="41">
                  <c:v>10.884462856550043</c:v>
                </c:pt>
                <c:pt idx="42">
                  <c:v>11.023731563562704</c:v>
                </c:pt>
                <c:pt idx="43">
                  <c:v>11.161147613560834</c:v>
                </c:pt>
                <c:pt idx="44">
                  <c:v>11.296777561173355</c:v>
                </c:pt>
                <c:pt idx="45">
                  <c:v>11.430684042201781</c:v>
                </c:pt>
                <c:pt idx="46">
                  <c:v>11.562926088279697</c:v>
                </c:pt>
                <c:pt idx="47">
                  <c:v>11.69355940989432</c:v>
                </c:pt>
                <c:pt idx="48">
                  <c:v>11.822636651559938</c:v>
                </c:pt>
                <c:pt idx="49">
                  <c:v>11.95020762240968</c:v>
                </c:pt>
                <c:pt idx="50">
                  <c:v>12.076319505030002</c:v>
                </c:pt>
                <c:pt idx="51">
                  <c:v>12.201017044987722</c:v>
                </c:pt>
                <c:pt idx="52">
                  <c:v>12.324342723180905</c:v>
                </c:pt>
              </c:numCache>
            </c:numRef>
          </c:val>
        </c:ser>
        <c:ser>
          <c:idx val="13"/>
          <c:order val="13"/>
          <c:tx>
            <c:strRef>
              <c:f>vega!$X$2</c:f>
              <c:strCache>
                <c:ptCount val="1"/>
                <c:pt idx="0">
                  <c:v>43,5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vega!$X$3:$X$55</c:f>
              <c:numCache>
                <c:formatCode>General</c:formatCode>
                <c:ptCount val="53"/>
                <c:pt idx="0">
                  <c:v>2.9180153261235143E-18</c:v>
                </c:pt>
                <c:pt idx="1">
                  <c:v>1.2123989070343775</c:v>
                </c:pt>
                <c:pt idx="2">
                  <c:v>2.0684643436118946</c:v>
                </c:pt>
                <c:pt idx="3">
                  <c:v>2.6975452844476111</c:v>
                </c:pt>
                <c:pt idx="4">
                  <c:v>3.2140898522202539</c:v>
                </c:pt>
                <c:pt idx="5">
                  <c:v>3.6614608114558838</c:v>
                </c:pt>
                <c:pt idx="6">
                  <c:v>4.0610892121695139</c:v>
                </c:pt>
                <c:pt idx="7">
                  <c:v>4.4253114019448976</c:v>
                </c:pt>
                <c:pt idx="8">
                  <c:v>4.7619625919415016</c:v>
                </c:pt>
                <c:pt idx="9">
                  <c:v>5.0763732767410596</c:v>
                </c:pt>
                <c:pt idx="10">
                  <c:v>5.3723587147886107</c:v>
                </c:pt>
                <c:pt idx="11">
                  <c:v>5.6527582492209483</c:v>
                </c:pt>
                <c:pt idx="12">
                  <c:v>5.9197512595891899</c:v>
                </c:pt>
                <c:pt idx="13">
                  <c:v>6.1750530563130823</c:v>
                </c:pt>
                <c:pt idx="14">
                  <c:v>6.4200420279073596</c:v>
                </c:pt>
                <c:pt idx="15">
                  <c:v>6.6558453426574813</c:v>
                </c:pt>
                <c:pt idx="16">
                  <c:v>6.8833985739447909</c:v>
                </c:pt>
                <c:pt idx="17">
                  <c:v>7.1034883173899219</c:v>
                </c:pt>
                <c:pt idx="18">
                  <c:v>7.3167833675080667</c:v>
                </c:pt>
                <c:pt idx="19">
                  <c:v>7.5238579911732195</c:v>
                </c:pt>
                <c:pt idx="20">
                  <c:v>7.7252096128929404</c:v>
                </c:pt>
                <c:pt idx="21">
                  <c:v>7.9212724668700574</c:v>
                </c:pt>
                <c:pt idx="22">
                  <c:v>8.1124282846056062</c:v>
                </c:pt>
                <c:pt idx="23">
                  <c:v>8.2990147677979476</c:v>
                </c:pt>
                <c:pt idx="24">
                  <c:v>8.4813323822429627</c:v>
                </c:pt>
                <c:pt idx="25">
                  <c:v>8.659649861880073</c:v>
                </c:pt>
                <c:pt idx="26">
                  <c:v>8.8342087099312216</c:v>
                </c:pt>
                <c:pt idx="27">
                  <c:v>9.0052269116263695</c:v>
                </c:pt>
                <c:pt idx="28">
                  <c:v>9.1729020208611196</c:v>
                </c:pt>
                <c:pt idx="29">
                  <c:v>9.3374137450763097</c:v>
                </c:pt>
                <c:pt idx="30">
                  <c:v>9.4989261245222973</c:v>
                </c:pt>
                <c:pt idx="31">
                  <c:v>9.6575893810369173</c:v>
                </c:pt>
                <c:pt idx="32">
                  <c:v>9.8135414955651061</c:v>
                </c:pt>
                <c:pt idx="33">
                  <c:v>9.9669095615060161</c:v>
                </c:pt>
                <c:pt idx="34">
                  <c:v>10.117810951614233</c:v>
                </c:pt>
                <c:pt idx="35">
                  <c:v>10.266354328904391</c:v>
                </c:pt>
                <c:pt idx="36">
                  <c:v>10.412640526303459</c:v>
                </c:pt>
                <c:pt idx="37">
                  <c:v>10.556763315288244</c:v>
                </c:pt>
                <c:pt idx="38">
                  <c:v>10.698810080159843</c:v>
                </c:pt>
                <c:pt idx="39">
                  <c:v>10.838862411734448</c:v>
                </c:pt>
                <c:pt idx="40">
                  <c:v>10.976996631914</c:v>
                </c:pt>
                <c:pt idx="41">
                  <c:v>11.113284258722334</c:v>
                </c:pt>
                <c:pt idx="42">
                  <c:v>11.247792419860275</c:v>
                </c:pt>
                <c:pt idx="43">
                  <c:v>11.380584221577111</c:v>
                </c:pt>
                <c:pt idx="44">
                  <c:v>11.511719078620061</c:v>
                </c:pt>
                <c:pt idx="45">
                  <c:v>11.641253010165855</c:v>
                </c:pt>
                <c:pt idx="46">
                  <c:v>11.769238905924702</c:v>
                </c:pt>
                <c:pt idx="47">
                  <c:v>11.895726766010409</c:v>
                </c:pt>
                <c:pt idx="48">
                  <c:v>12.020763917669759</c:v>
                </c:pt>
                <c:pt idx="49">
                  <c:v>12.144395211542371</c:v>
                </c:pt>
                <c:pt idx="50">
                  <c:v>12.266663199765413</c:v>
                </c:pt>
                <c:pt idx="51">
                  <c:v>12.387608297934484</c:v>
                </c:pt>
                <c:pt idx="52">
                  <c:v>12.507268932673986</c:v>
                </c:pt>
              </c:numCache>
            </c:numRef>
          </c:val>
        </c:ser>
        <c:ser>
          <c:idx val="14"/>
          <c:order val="14"/>
          <c:tx>
            <c:strRef>
              <c:f>vega!$Y$2</c:f>
              <c:strCache>
                <c:ptCount val="1"/>
                <c:pt idx="0">
                  <c:v>44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vega!$Y$3:$Y$55</c:f>
              <c:numCache>
                <c:formatCode>General</c:formatCode>
                <c:ptCount val="53"/>
                <c:pt idx="0">
                  <c:v>0.17553418302758694</c:v>
                </c:pt>
                <c:pt idx="1">
                  <c:v>1.763674312204734</c:v>
                </c:pt>
                <c:pt idx="2">
                  <c:v>2.4874349468350987</c:v>
                </c:pt>
                <c:pt idx="3">
                  <c:v>3.0432172077112103</c:v>
                </c:pt>
                <c:pt idx="4">
                  <c:v>3.5117038987048876</c:v>
                </c:pt>
                <c:pt idx="5">
                  <c:v>3.9242852377117603</c:v>
                </c:pt>
                <c:pt idx="6">
                  <c:v>4.2970948502175643</c:v>
                </c:pt>
                <c:pt idx="7">
                  <c:v>4.6397300524478231</c:v>
                </c:pt>
                <c:pt idx="8">
                  <c:v>4.9584502782536326</c:v>
                </c:pt>
                <c:pt idx="9">
                  <c:v>5.2576067624845955</c:v>
                </c:pt>
                <c:pt idx="10">
                  <c:v>5.5403696798543942</c:v>
                </c:pt>
                <c:pt idx="11">
                  <c:v>5.8091336041596584</c:v>
                </c:pt>
                <c:pt idx="12">
                  <c:v>6.0657598122283218</c:v>
                </c:pt>
                <c:pt idx="13">
                  <c:v>6.3117291529536876</c:v>
                </c:pt>
                <c:pt idx="14">
                  <c:v>6.5482427975931525</c:v>
                </c:pt>
                <c:pt idx="15">
                  <c:v>6.7762910732719996</c:v>
                </c:pt>
                <c:pt idx="16">
                  <c:v>6.9967019317271628</c:v>
                </c:pt>
                <c:pt idx="17">
                  <c:v>7.2101759667041856</c:v>
                </c:pt>
                <c:pt idx="18">
                  <c:v>7.4173122797950555</c:v>
                </c:pt>
                <c:pt idx="19">
                  <c:v>7.6186279587373553</c:v>
                </c:pt>
                <c:pt idx="20">
                  <c:v>7.8145729966011217</c:v>
                </c:pt>
                <c:pt idx="21">
                  <c:v>8.0055418921344348</c:v>
                </c:pt>
                <c:pt idx="22">
                  <c:v>8.1918827914536649</c:v>
                </c:pt>
                <c:pt idx="23">
                  <c:v>8.373904779562551</c:v>
                </c:pt>
                <c:pt idx="24">
                  <c:v>8.5518837598255377</c:v>
                </c:pt>
                <c:pt idx="25">
                  <c:v>8.7260672419361924</c:v>
                </c:pt>
                <c:pt idx="26">
                  <c:v>8.8966782763137893</c:v>
                </c:pt>
                <c:pt idx="27">
                  <c:v>9.0639187138863981</c:v>
                </c:pt>
                <c:pt idx="28">
                  <c:v>9.2279719274944014</c:v>
                </c:pt>
                <c:pt idx="29">
                  <c:v>9.3890050997786432</c:v>
                </c:pt>
                <c:pt idx="30">
                  <c:v>9.5471711590985961</c:v>
                </c:pt>
                <c:pt idx="31">
                  <c:v>9.702610427493628</c:v>
                </c:pt>
                <c:pt idx="32">
                  <c:v>9.8554520313789258</c:v>
                </c:pt>
                <c:pt idx="33">
                  <c:v>10.005815115446282</c:v>
                </c:pt>
                <c:pt idx="34">
                  <c:v>10.153809892325492</c:v>
                </c:pt>
                <c:pt idx="35">
                  <c:v>10.299538554381787</c:v>
                </c:pt>
                <c:pt idx="36">
                  <c:v>10.44309606915979</c:v>
                </c:pt>
                <c:pt idx="37">
                  <c:v>10.584570876126749</c:v>
                </c:pt>
                <c:pt idx="38">
                  <c:v>10.724045499286799</c:v>
                </c:pt>
                <c:pt idx="39">
                  <c:v>10.861597087761631</c:v>
                </c:pt>
                <c:pt idx="40">
                  <c:v>10.997297894429568</c:v>
                </c:pt>
                <c:pt idx="41">
                  <c:v>11.131215701085354</c:v>
                </c:pt>
                <c:pt idx="42">
                  <c:v>11.263414197249368</c:v>
                </c:pt>
                <c:pt idx="43">
                  <c:v>11.393953318658403</c:v>
                </c:pt>
                <c:pt idx="44">
                  <c:v>11.522889550563542</c:v>
                </c:pt>
                <c:pt idx="45">
                  <c:v>11.650276200207919</c:v>
                </c:pt>
                <c:pt idx="46">
                  <c:v>11.776163642228955</c:v>
                </c:pt>
                <c:pt idx="47">
                  <c:v>11.900599540203645</c:v>
                </c:pt>
                <c:pt idx="48">
                  <c:v>12.023629047112641</c:v>
                </c:pt>
                <c:pt idx="49">
                  <c:v>12.145294987125045</c:v>
                </c:pt>
                <c:pt idx="50">
                  <c:v>12.265638020788989</c:v>
                </c:pt>
                <c:pt idx="51">
                  <c:v>12.384696795443253</c:v>
                </c:pt>
                <c:pt idx="52">
                  <c:v>12.50250808243519</c:v>
                </c:pt>
              </c:numCache>
            </c:numRef>
          </c:val>
        </c:ser>
        <c:ser>
          <c:idx val="15"/>
          <c:order val="15"/>
          <c:tx>
            <c:strRef>
              <c:f>vega!$Z$2</c:f>
              <c:strCache>
                <c:ptCount val="1"/>
                <c:pt idx="0">
                  <c:v>44,5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vega!$Z$3:$Z$55</c:f>
              <c:numCache>
                <c:formatCode>General</c:formatCode>
                <c:ptCount val="53"/>
                <c:pt idx="0">
                  <c:v>6.8466185997103664E-18</c:v>
                </c:pt>
                <c:pt idx="1">
                  <c:v>1.2040195894998269</c:v>
                </c:pt>
                <c:pt idx="2">
                  <c:v>2.0454004233871128</c:v>
                </c:pt>
                <c:pt idx="3">
                  <c:v>2.6636410179673189</c:v>
                </c:pt>
                <c:pt idx="4">
                  <c:v>3.1714108677494472</c:v>
                </c:pt>
                <c:pt idx="5">
                  <c:v>3.6112800204110922</c:v>
                </c:pt>
                <c:pt idx="6">
                  <c:v>4.0042764505210116</c:v>
                </c:pt>
                <c:pt idx="7">
                  <c:v>4.3625040493967058</c:v>
                </c:pt>
                <c:pt idx="8">
                  <c:v>4.6936512835176751</c:v>
                </c:pt>
                <c:pt idx="9">
                  <c:v>5.0029496694596718</c:v>
                </c:pt>
                <c:pt idx="10">
                  <c:v>5.294144270909598</c:v>
                </c:pt>
                <c:pt idx="11">
                  <c:v>5.5700226595380329</c:v>
                </c:pt>
                <c:pt idx="12">
                  <c:v>5.8327248136878769</c:v>
                </c:pt>
                <c:pt idx="13">
                  <c:v>6.0839352771925972</c:v>
                </c:pt>
                <c:pt idx="14">
                  <c:v>6.3250078954644771</c:v>
                </c:pt>
                <c:pt idx="15">
                  <c:v>6.5570499017146346</c:v>
                </c:pt>
                <c:pt idx="16">
                  <c:v>6.7809804252182637</c:v>
                </c:pt>
                <c:pt idx="17">
                  <c:v>6.9975723148715714</c:v>
                </c:pt>
                <c:pt idx="18">
                  <c:v>7.207482738721593</c:v>
                </c:pt>
                <c:pt idx="19">
                  <c:v>7.4112760290571531</c:v>
                </c:pt>
                <c:pt idx="20">
                  <c:v>7.6094410439444662</c:v>
                </c:pt>
                <c:pt idx="21">
                  <c:v>7.8024045706838203</c:v>
                </c:pt>
                <c:pt idx="22">
                  <c:v>7.9905418197583682</c:v>
                </c:pt>
                <c:pt idx="23">
                  <c:v>8.1741847449352179</c:v>
                </c:pt>
                <c:pt idx="24">
                  <c:v>8.3536287151979103</c:v>
                </c:pt>
                <c:pt idx="25">
                  <c:v>8.529137920404029</c:v>
                </c:pt>
                <c:pt idx="26">
                  <c:v>8.7009497922910786</c:v>
                </c:pt>
                <c:pt idx="27">
                  <c:v>8.8692786513609896</c:v>
                </c:pt>
                <c:pt idx="28">
                  <c:v>9.034318739001252</c:v>
                </c:pt>
                <c:pt idx="29">
                  <c:v>9.1962467568540749</c:v>
                </c:pt>
                <c:pt idx="30">
                  <c:v>9.3552240078401212</c:v>
                </c:pt>
                <c:pt idx="31">
                  <c:v>9.5113982125986674</c:v>
                </c:pt>
                <c:pt idx="32">
                  <c:v>9.6649050594982313</c:v>
                </c:pt>
                <c:pt idx="33">
                  <c:v>9.8158695344525242</c:v>
                </c:pt>
                <c:pt idx="34">
                  <c:v>9.9644070675887519</c:v>
                </c:pt>
                <c:pt idx="35">
                  <c:v>10.11062452667082</c:v>
                </c:pt>
                <c:pt idx="36">
                  <c:v>10.254621081578678</c:v>
                </c:pt>
                <c:pt idx="37">
                  <c:v>10.396488959720132</c:v>
                </c:pt>
                <c:pt idx="38">
                  <c:v>10.536314108730458</c:v>
                </c:pt>
                <c:pt idx="39">
                  <c:v>10.674176779994577</c:v>
                </c:pt>
                <c:pt idx="40">
                  <c:v>10.810152044252334</c:v>
                </c:pt>
                <c:pt idx="41">
                  <c:v>10.944310248703271</c:v>
                </c:pt>
                <c:pt idx="42">
                  <c:v>11.076717423522428</c:v>
                </c:pt>
                <c:pt idx="43">
                  <c:v>11.207435644465132</c:v>
                </c:pt>
                <c:pt idx="44">
                  <c:v>11.336523357221392</c:v>
                </c:pt>
                <c:pt idx="45">
                  <c:v>11.464035668338193</c:v>
                </c:pt>
                <c:pt idx="46">
                  <c:v>11.590024606826807</c:v>
                </c:pt>
                <c:pt idx="47">
                  <c:v>11.714539359986231</c:v>
                </c:pt>
                <c:pt idx="48">
                  <c:v>11.837626486482195</c:v>
                </c:pt>
                <c:pt idx="49">
                  <c:v>11.959330109306443</c:v>
                </c:pt>
                <c:pt idx="50">
                  <c:v>12.079692090890701</c:v>
                </c:pt>
                <c:pt idx="51">
                  <c:v>12.198752192351828</c:v>
                </c:pt>
                <c:pt idx="52">
                  <c:v>12.316548218591183</c:v>
                </c:pt>
              </c:numCache>
            </c:numRef>
          </c:val>
        </c:ser>
        <c:ser>
          <c:idx val="16"/>
          <c:order val="16"/>
          <c:tx>
            <c:strRef>
              <c:f>vega!$AA$2</c:f>
              <c:strCache>
                <c:ptCount val="1"/>
                <c:pt idx="0">
                  <c:v>45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vega!$AA$3:$AA$55</c:f>
              <c:numCache>
                <c:formatCode>General</c:formatCode>
                <c:ptCount val="53"/>
                <c:pt idx="0">
                  <c:v>2.2219786361132552E-66</c:v>
                </c:pt>
                <c:pt idx="1">
                  <c:v>0.39560660611639181</c:v>
                </c:pt>
                <c:pt idx="2">
                  <c:v>1.1647721862473661</c:v>
                </c:pt>
                <c:pt idx="3">
                  <c:v>1.8242241858117578</c:v>
                </c:pt>
                <c:pt idx="4">
                  <c:v>2.3824559691228164</c:v>
                </c:pt>
                <c:pt idx="5">
                  <c:v>2.8679232478707903</c:v>
                </c:pt>
                <c:pt idx="6">
                  <c:v>3.3001457593025587</c:v>
                </c:pt>
                <c:pt idx="7">
                  <c:v>3.6919295974750912</c:v>
                </c:pt>
                <c:pt idx="8">
                  <c:v>4.0519432480058146</c:v>
                </c:pt>
                <c:pt idx="9">
                  <c:v>4.3862853539129523</c:v>
                </c:pt>
                <c:pt idx="10">
                  <c:v>4.6994002291242056</c:v>
                </c:pt>
                <c:pt idx="11">
                  <c:v>4.9946261452030383</c:v>
                </c:pt>
                <c:pt idx="12">
                  <c:v>5.274535957877398</c:v>
                </c:pt>
                <c:pt idx="13">
                  <c:v>5.5411565546557799</c:v>
                </c:pt>
                <c:pt idx="14">
                  <c:v>5.7961149981703732</c:v>
                </c:pt>
                <c:pt idx="15">
                  <c:v>6.0407387647860391</c:v>
                </c:pt>
                <c:pt idx="16">
                  <c:v>6.2761263128597848</c:v>
                </c:pt>
                <c:pt idx="17">
                  <c:v>6.5031979206872554</c:v>
                </c:pt>
                <c:pt idx="18">
                  <c:v>6.7227330662578355</c:v>
                </c:pt>
                <c:pt idx="19">
                  <c:v>6.9353984159334203</c:v>
                </c:pt>
                <c:pt idx="20">
                  <c:v>7.1417691250899971</c:v>
                </c:pt>
                <c:pt idx="21">
                  <c:v>7.3423452875739574</c:v>
                </c:pt>
                <c:pt idx="22">
                  <c:v>7.5375648075696411</c:v>
                </c:pt>
                <c:pt idx="23">
                  <c:v>7.7278135932000964</c:v>
                </c:pt>
                <c:pt idx="24">
                  <c:v>7.913433717532512</c:v>
                </c:pt>
                <c:pt idx="25">
                  <c:v>8.0947300176342054</c:v>
                </c:pt>
                <c:pt idx="26">
                  <c:v>8.2719754795433467</c:v>
                </c:pt>
                <c:pt idx="27">
                  <c:v>8.4454156695712737</c:v>
                </c:pt>
                <c:pt idx="28">
                  <c:v>8.6152724091958408</c:v>
                </c:pt>
                <c:pt idx="29">
                  <c:v>8.7817468445987252</c:v>
                </c:pt>
                <c:pt idx="30">
                  <c:v>8.9450220276881023</c:v>
                </c:pt>
                <c:pt idx="31">
                  <c:v>9.1052650998356892</c:v>
                </c:pt>
                <c:pt idx="32">
                  <c:v>9.2626291501826206</c:v>
                </c:pt>
                <c:pt idx="33">
                  <c:v>9.4172548055719432</c:v>
                </c:pt>
                <c:pt idx="34">
                  <c:v>9.569271597761789</c:v>
                </c:pt>
                <c:pt idx="35">
                  <c:v>9.7187991447108892</c:v>
                </c:pt>
                <c:pt idx="36">
                  <c:v>9.8659481757853555</c:v>
                </c:pt>
                <c:pt idx="37">
                  <c:v>10.010821425256498</c:v>
                </c:pt>
                <c:pt idx="38">
                  <c:v>10.153514414104562</c:v>
                </c:pt>
                <c:pt idx="39">
                  <c:v>10.294116136659429</c:v>
                </c:pt>
                <c:pt idx="40">
                  <c:v>10.432709665804337</c:v>
                </c:pt>
                <c:pt idx="41">
                  <c:v>10.56937268819722</c:v>
                </c:pt>
                <c:pt idx="42">
                  <c:v>10.704177979114334</c:v>
                </c:pt>
                <c:pt idx="43">
                  <c:v>10.837193825006251</c:v>
                </c:pt>
                <c:pt idx="44">
                  <c:v>10.968484400609883</c:v>
                </c:pt>
                <c:pt idx="45">
                  <c:v>11.098110106429608</c:v>
                </c:pt>
                <c:pt idx="46">
                  <c:v>11.226127871544541</c:v>
                </c:pt>
                <c:pt idx="47">
                  <c:v>11.352591425984661</c:v>
                </c:pt>
                <c:pt idx="48">
                  <c:v>11.47755154632023</c:v>
                </c:pt>
                <c:pt idx="49">
                  <c:v>11.601056277605441</c:v>
                </c:pt>
                <c:pt idx="50">
                  <c:v>11.723151134392484</c:v>
                </c:pt>
                <c:pt idx="51">
                  <c:v>11.843879283171772</c:v>
                </c:pt>
                <c:pt idx="52">
                  <c:v>11.963281708287978</c:v>
                </c:pt>
              </c:numCache>
            </c:numRef>
          </c:val>
        </c:ser>
        <c:ser>
          <c:idx val="17"/>
          <c:order val="17"/>
          <c:tx>
            <c:strRef>
              <c:f>vega!$AB$2</c:f>
              <c:strCache>
                <c:ptCount val="1"/>
                <c:pt idx="0">
                  <c:v>45,5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vega!$AB$3:$AB$55</c:f>
              <c:numCache>
                <c:formatCode>General</c:formatCode>
                <c:ptCount val="53"/>
                <c:pt idx="0">
                  <c:v>6.9448435800618513E-146</c:v>
                </c:pt>
                <c:pt idx="1">
                  <c:v>6.4096942455977204E-2</c:v>
                </c:pt>
                <c:pt idx="2">
                  <c:v>0.46497537116835141</c:v>
                </c:pt>
                <c:pt idx="3">
                  <c:v>0.9855369820209251</c:v>
                </c:pt>
                <c:pt idx="4">
                  <c:v>1.4979120898116023</c:v>
                </c:pt>
                <c:pt idx="5">
                  <c:v>1.9751568605569878</c:v>
                </c:pt>
                <c:pt idx="6">
                  <c:v>2.4152989181096229</c:v>
                </c:pt>
                <c:pt idx="7">
                  <c:v>2.8220306170878775</c:v>
                </c:pt>
                <c:pt idx="8">
                  <c:v>3.1998562120074485</c:v>
                </c:pt>
                <c:pt idx="9">
                  <c:v>3.5528746267786633</c:v>
                </c:pt>
                <c:pt idx="10">
                  <c:v>3.884546714284919</c:v>
                </c:pt>
                <c:pt idx="11">
                  <c:v>4.1977305601543646</c:v>
                </c:pt>
                <c:pt idx="12">
                  <c:v>4.494777653182779</c:v>
                </c:pt>
                <c:pt idx="13">
                  <c:v>4.7776297228481441</c:v>
                </c:pt>
                <c:pt idx="14">
                  <c:v>5.0479008788438433</c:v>
                </c:pt>
                <c:pt idx="15">
                  <c:v>5.3069434154333379</c:v>
                </c:pt>
                <c:pt idx="16">
                  <c:v>5.5558994600470681</c:v>
                </c:pt>
                <c:pt idx="17">
                  <c:v>5.7957412942200737</c:v>
                </c:pt>
                <c:pt idx="18">
                  <c:v>6.0273028831807167</c:v>
                </c:pt>
                <c:pt idx="19">
                  <c:v>6.2513046561231986</c:v>
                </c:pt>
                <c:pt idx="20">
                  <c:v>6.4683731132242492</c:v>
                </c:pt>
                <c:pt idx="21">
                  <c:v>6.6790564553683369</c:v>
                </c:pt>
                <c:pt idx="22">
                  <c:v>6.8838371393762028</c:v>
                </c:pt>
                <c:pt idx="23">
                  <c:v>7.0831420407301566</c:v>
                </c:pt>
                <c:pt idx="24">
                  <c:v>7.2773507410207943</c:v>
                </c:pt>
                <c:pt idx="25">
                  <c:v>7.4668023346048393</c:v>
                </c:pt>
                <c:pt idx="26">
                  <c:v>7.6518010573344624</c:v>
                </c:pt>
                <c:pt idx="27">
                  <c:v>7.8326209715024397</c:v>
                </c:pt>
                <c:pt idx="28">
                  <c:v>8.0095098893174139</c:v>
                </c:pt>
                <c:pt idx="29">
                  <c:v>8.1826926778770339</c:v>
                </c:pt>
                <c:pt idx="30">
                  <c:v>8.3523740585345081</c:v>
                </c:pt>
                <c:pt idx="31">
                  <c:v>8.5187409904118692</c:v>
                </c:pt>
                <c:pt idx="32">
                  <c:v>8.6819647098818251</c:v>
                </c:pt>
                <c:pt idx="33">
                  <c:v>8.8422024838528266</c:v>
                </c:pt>
                <c:pt idx="34">
                  <c:v>8.9995991237096238</c:v>
                </c:pt>
                <c:pt idx="35">
                  <c:v>9.1542882980841185</c:v>
                </c:pt>
                <c:pt idx="36">
                  <c:v>9.306393675732485</c:v>
                </c:pt>
                <c:pt idx="37">
                  <c:v>9.456029924278015</c:v>
                </c:pt>
                <c:pt idx="38">
                  <c:v>9.6033035861423741</c:v>
                </c:pt>
                <c:pt idx="39">
                  <c:v>9.7483138494006063</c:v>
                </c:pt>
                <c:pt idx="40">
                  <c:v>9.8911532283792827</c:v>
                </c:pt>
                <c:pt idx="41">
                  <c:v>10.031908166435205</c:v>
                </c:pt>
                <c:pt idx="42">
                  <c:v>10.170659571396945</c:v>
                </c:pt>
                <c:pt idx="43">
                  <c:v>10.307483292539276</c:v>
                </c:pt>
                <c:pt idx="44">
                  <c:v>10.442450546625391</c:v>
                </c:pt>
                <c:pt idx="45">
                  <c:v>10.575628299441009</c:v>
                </c:pt>
                <c:pt idx="46">
                  <c:v>10.707079608317233</c:v>
                </c:pt>
                <c:pt idx="47">
                  <c:v>10.836863930361204</c:v>
                </c:pt>
                <c:pt idx="48">
                  <c:v>10.965037400459414</c:v>
                </c:pt>
                <c:pt idx="49">
                  <c:v>11.091653082565694</c:v>
                </c:pt>
                <c:pt idx="50">
                  <c:v>11.216761197317755</c:v>
                </c:pt>
                <c:pt idx="51">
                  <c:v>11.34040932862758</c:v>
                </c:pt>
                <c:pt idx="52">
                  <c:v>11.46264261155156</c:v>
                </c:pt>
              </c:numCache>
            </c:numRef>
          </c:val>
        </c:ser>
        <c:ser>
          <c:idx val="18"/>
          <c:order val="18"/>
          <c:tx>
            <c:strRef>
              <c:f>vega!$AC$2</c:f>
              <c:strCache>
                <c:ptCount val="1"/>
                <c:pt idx="0">
                  <c:v>46</c:v>
                </c:pt>
              </c:strCache>
            </c:strRef>
          </c:tx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vega!$AC$3:$AC$55</c:f>
              <c:numCache>
                <c:formatCode>General</c:formatCode>
                <c:ptCount val="53"/>
                <c:pt idx="0">
                  <c:v>2.1936902140998242E-255</c:v>
                </c:pt>
                <c:pt idx="1">
                  <c:v>5.2415812977792218E-3</c:v>
                </c:pt>
                <c:pt idx="2">
                  <c:v>0.13165085377468652</c:v>
                </c:pt>
                <c:pt idx="3">
                  <c:v>0.42330250973921513</c:v>
                </c:pt>
                <c:pt idx="4">
                  <c:v>0.79283352047846645</c:v>
                </c:pt>
                <c:pt idx="5">
                  <c:v>1.1852237742954503</c:v>
                </c:pt>
                <c:pt idx="6">
                  <c:v>1.5759239977108705</c:v>
                </c:pt>
                <c:pt idx="7">
                  <c:v>1.954863183844185</c:v>
                </c:pt>
                <c:pt idx="8">
                  <c:v>2.3183869298977009</c:v>
                </c:pt>
                <c:pt idx="9">
                  <c:v>2.6656765111248082</c:v>
                </c:pt>
                <c:pt idx="10">
                  <c:v>2.9971510271016619</c:v>
                </c:pt>
                <c:pt idx="11">
                  <c:v>3.3137379131059435</c:v>
                </c:pt>
                <c:pt idx="12">
                  <c:v>3.6165345742515758</c:v>
                </c:pt>
                <c:pt idx="13">
                  <c:v>3.9066518994421067</c:v>
                </c:pt>
                <c:pt idx="14">
                  <c:v>4.1851445491622705</c:v>
                </c:pt>
                <c:pt idx="15">
                  <c:v>4.4529832600624148</c:v>
                </c:pt>
                <c:pt idx="16">
                  <c:v>4.7110474806982099</c:v>
                </c:pt>
                <c:pt idx="17">
                  <c:v>4.9601276020418688</c:v>
                </c:pt>
                <c:pt idx="18">
                  <c:v>5.2009314014014372</c:v>
                </c:pt>
                <c:pt idx="19">
                  <c:v>5.4340920017402592</c:v>
                </c:pt>
                <c:pt idx="20">
                  <c:v>5.6601760171298769</c:v>
                </c:pt>
                <c:pt idx="21">
                  <c:v>5.8796912604662817</c:v>
                </c:pt>
                <c:pt idx="22">
                  <c:v>6.0930937534271381</c:v>
                </c:pt>
                <c:pt idx="23">
                  <c:v>6.300793963999733</c:v>
                </c:pt>
                <c:pt idx="24">
                  <c:v>6.5031622881534403</c:v>
                </c:pt>
                <c:pt idx="25">
                  <c:v>6.7005338337934468</c:v>
                </c:pt>
                <c:pt idx="26">
                  <c:v>6.893212580701678</c:v>
                </c:pt>
                <c:pt idx="27">
                  <c:v>7.0814749924744174</c:v>
                </c:pt>
                <c:pt idx="28">
                  <c:v>7.2655731523543441</c:v>
                </c:pt>
                <c:pt idx="29">
                  <c:v>7.4457374879907405</c:v>
                </c:pt>
                <c:pt idx="30">
                  <c:v>7.6221791424687879</c:v>
                </c:pt>
                <c:pt idx="31">
                  <c:v>7.7950920413981724</c:v>
                </c:pt>
                <c:pt idx="32">
                  <c:v>7.9646546988953464</c:v>
                </c:pt>
                <c:pt idx="33">
                  <c:v>8.1310317991070047</c:v>
                </c:pt>
                <c:pt idx="34">
                  <c:v>8.2943755845335687</c:v>
                </c:pt>
                <c:pt idx="35">
                  <c:v>8.4548270777780612</c:v>
                </c:pt>
                <c:pt idx="36">
                  <c:v>8.6125171593935477</c:v>
                </c:pt>
                <c:pt idx="37">
                  <c:v>8.7675675211476278</c:v>
                </c:pt>
                <c:pt idx="38">
                  <c:v>8.9200915111826475</c:v>
                </c:pt>
                <c:pt idx="39">
                  <c:v>9.0701948851494105</c:v>
                </c:pt>
                <c:pt idx="40">
                  <c:v>9.2179764753629598</c:v>
                </c:pt>
                <c:pt idx="41">
                  <c:v>9.3635287883129568</c:v>
                </c:pt>
                <c:pt idx="42">
                  <c:v>9.5069385394085817</c:v>
                </c:pt>
                <c:pt idx="43">
                  <c:v>9.6482871326065389</c:v>
                </c:pt>
                <c:pt idx="44">
                  <c:v>9.787651091525289</c:v>
                </c:pt>
                <c:pt idx="45">
                  <c:v>9.9251024477589773</c:v>
                </c:pt>
                <c:pt idx="46">
                  <c:v>10.060709091346585</c:v>
                </c:pt>
                <c:pt idx="47">
                  <c:v>10.19453508770401</c:v>
                </c:pt>
                <c:pt idx="48">
                  <c:v>10.326640964772402</c:v>
                </c:pt>
                <c:pt idx="49">
                  <c:v>10.457083973660325</c:v>
                </c:pt>
                <c:pt idx="50">
                  <c:v>10.585918325648382</c:v>
                </c:pt>
                <c:pt idx="51">
                  <c:v>10.713195408072291</c:v>
                </c:pt>
                <c:pt idx="52">
                  <c:v>10.838963981296011</c:v>
                </c:pt>
              </c:numCache>
            </c:numRef>
          </c:val>
        </c:ser>
        <c:ser>
          <c:idx val="19"/>
          <c:order val="19"/>
          <c:tx>
            <c:strRef>
              <c:f>vega!$AD$2</c:f>
              <c:strCache>
                <c:ptCount val="1"/>
                <c:pt idx="0">
                  <c:v>46,5</c:v>
                </c:pt>
              </c:strCache>
            </c:strRef>
          </c:tx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vega!$AD$3:$AD$55</c:f>
              <c:numCache>
                <c:formatCode>General</c:formatCode>
                <c:ptCount val="53"/>
                <c:pt idx="0">
                  <c:v>0</c:v>
                </c:pt>
                <c:pt idx="1">
                  <c:v>2.2123058341352303E-4</c:v>
                </c:pt>
                <c:pt idx="2">
                  <c:v>2.6736172686230311E-2</c:v>
                </c:pt>
                <c:pt idx="3">
                  <c:v>0.14563591084023916</c:v>
                </c:pt>
                <c:pt idx="4">
                  <c:v>0.35526803838533716</c:v>
                </c:pt>
                <c:pt idx="5">
                  <c:v>0.6224722736766507</c:v>
                </c:pt>
                <c:pt idx="6">
                  <c:v>0.92014622244501265</c:v>
                </c:pt>
                <c:pt idx="7">
                  <c:v>1.231162023907687</c:v>
                </c:pt>
                <c:pt idx="8">
                  <c:v>1.5454429329428487</c:v>
                </c:pt>
                <c:pt idx="9">
                  <c:v>1.8572354638925979</c:v>
                </c:pt>
                <c:pt idx="10">
                  <c:v>2.1633458796332223</c:v>
                </c:pt>
                <c:pt idx="11">
                  <c:v>2.4620876351945205</c:v>
                </c:pt>
                <c:pt idx="12">
                  <c:v>2.7526631162717647</c:v>
                </c:pt>
                <c:pt idx="13">
                  <c:v>3.0347990235724907</c:v>
                </c:pt>
                <c:pt idx="14">
                  <c:v>3.3085291694700922</c:v>
                </c:pt>
                <c:pt idx="15">
                  <c:v>3.5740637116009792</c:v>
                </c:pt>
                <c:pt idx="16">
                  <c:v>3.8317097576976993</c:v>
                </c:pt>
                <c:pt idx="17">
                  <c:v>4.0818229394520538</c:v>
                </c:pt>
                <c:pt idx="18">
                  <c:v>4.3247779044545904</c:v>
                </c:pt>
                <c:pt idx="19">
                  <c:v>4.5609504952354794</c:v>
                </c:pt>
                <c:pt idx="20">
                  <c:v>4.7907072107197388</c:v>
                </c:pt>
                <c:pt idx="21">
                  <c:v>5.0143992299121818</c:v>
                </c:pt>
                <c:pt idx="22">
                  <c:v>5.2323592975863988</c:v>
                </c:pt>
                <c:pt idx="23">
                  <c:v>5.4449003985138305</c:v>
                </c:pt>
                <c:pt idx="24">
                  <c:v>5.6523155371329361</c:v>
                </c:pt>
                <c:pt idx="25">
                  <c:v>5.8548781856286087</c:v>
                </c:pt>
                <c:pt idx="26">
                  <c:v>6.0528431201394826</c:v>
                </c:pt>
                <c:pt idx="27">
                  <c:v>6.2464474655467246</c:v>
                </c:pt>
                <c:pt idx="28">
                  <c:v>6.4359118344977295</c:v>
                </c:pt>
                <c:pt idx="29">
                  <c:v>6.6214414887360409</c:v>
                </c:pt>
                <c:pt idx="30">
                  <c:v>6.8032274784868836</c:v>
                </c:pt>
                <c:pt idx="31">
                  <c:v>6.9814477337146412</c:v>
                </c:pt>
                <c:pt idx="32">
                  <c:v>7.1562680928277871</c:v>
                </c:pt>
                <c:pt idx="33">
                  <c:v>7.3278432620061675</c:v>
                </c:pt>
                <c:pt idx="34">
                  <c:v>7.4963177031726893</c:v>
                </c:pt>
                <c:pt idx="35">
                  <c:v>7.661826451655366</c:v>
                </c:pt>
                <c:pt idx="36">
                  <c:v>7.8244958664029562</c:v>
                </c:pt>
                <c:pt idx="37">
                  <c:v>7.9844443166396504</c:v>
                </c:pt>
                <c:pt idx="38">
                  <c:v>8.1417828093463598</c:v>
                </c:pt>
                <c:pt idx="39">
                  <c:v>8.2966155621230211</c:v>
                </c:pt>
                <c:pt idx="40">
                  <c:v>8.4490405259412906</c:v>
                </c:pt>
                <c:pt idx="41">
                  <c:v>8.5991498621232303</c:v>
                </c:pt>
                <c:pt idx="42">
                  <c:v>8.7470303776338376</c:v>
                </c:pt>
                <c:pt idx="43">
                  <c:v>8.8927639224901931</c:v>
                </c:pt>
                <c:pt idx="44">
                  <c:v>9.0364277527911625</c:v>
                </c:pt>
                <c:pt idx="45">
                  <c:v>9.1780948625740422</c:v>
                </c:pt>
                <c:pt idx="46">
                  <c:v>9.3178342874178615</c:v>
                </c:pt>
                <c:pt idx="47">
                  <c:v>9.4557113824421997</c:v>
                </c:pt>
                <c:pt idx="48">
                  <c:v>9.5917880770986823</c:v>
                </c:pt>
                <c:pt idx="49">
                  <c:v>9.7261231089204454</c:v>
                </c:pt>
                <c:pt idx="50">
                  <c:v>9.858772238183283</c:v>
                </c:pt>
                <c:pt idx="51">
                  <c:v>9.9897884452395793</c:v>
                </c:pt>
                <c:pt idx="52">
                  <c:v>10.119222112112448</c:v>
                </c:pt>
              </c:numCache>
            </c:numRef>
          </c:val>
        </c:ser>
        <c:ser>
          <c:idx val="20"/>
          <c:order val="20"/>
          <c:tx>
            <c:strRef>
              <c:f>vega!$AE$2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vega!$AE$3:$AE$55</c:f>
              <c:numCache>
                <c:formatCode>General</c:formatCode>
                <c:ptCount val="53"/>
                <c:pt idx="0">
                  <c:v>0</c:v>
                </c:pt>
                <c:pt idx="1">
                  <c:v>4.9239207278314584E-6</c:v>
                </c:pt>
                <c:pt idx="2">
                  <c:v>3.9367882753190836E-3</c:v>
                </c:pt>
                <c:pt idx="3">
                  <c:v>4.0425405770333843E-2</c:v>
                </c:pt>
                <c:pt idx="4">
                  <c:v>0.13550549760571354</c:v>
                </c:pt>
                <c:pt idx="5">
                  <c:v>0.28736898900028673</c:v>
                </c:pt>
                <c:pt idx="6">
                  <c:v>0.48250534952065982</c:v>
                </c:pt>
                <c:pt idx="7">
                  <c:v>0.70713313224673313</c:v>
                </c:pt>
                <c:pt idx="8">
                  <c:v>0.95040083021503008</c:v>
                </c:pt>
                <c:pt idx="9">
                  <c:v>1.2044897829866494</c:v>
                </c:pt>
                <c:pt idx="10">
                  <c:v>1.4639713577927007</c:v>
                </c:pt>
                <c:pt idx="11">
                  <c:v>1.7251440968503826</c:v>
                </c:pt>
                <c:pt idx="12">
                  <c:v>1.9855145428926135</c:v>
                </c:pt>
                <c:pt idx="13">
                  <c:v>2.2434241892750886</c:v>
                </c:pt>
                <c:pt idx="14">
                  <c:v>2.4977899086635853</c:v>
                </c:pt>
                <c:pt idx="15">
                  <c:v>2.7479252830747893</c:v>
                </c:pt>
                <c:pt idx="16">
                  <c:v>2.9934177748809589</c:v>
                </c:pt>
                <c:pt idx="17">
                  <c:v>3.2340440202828957</c:v>
                </c:pt>
                <c:pt idx="18">
                  <c:v>3.4697111194999097</c:v>
                </c:pt>
                <c:pt idx="19">
                  <c:v>3.7004157199331735</c:v>
                </c:pt>
                <c:pt idx="20">
                  <c:v>3.9262153503038624</c:v>
                </c:pt>
                <c:pt idx="21">
                  <c:v>4.1472082486773747</c:v>
                </c:pt>
                <c:pt idx="22">
                  <c:v>4.3635191218019598</c:v>
                </c:pt>
                <c:pt idx="23">
                  <c:v>4.5752890751112139</c:v>
                </c:pt>
                <c:pt idx="24">
                  <c:v>4.7826684942621984</c:v>
                </c:pt>
                <c:pt idx="25">
                  <c:v>4.9858120274252595</c:v>
                </c:pt>
                <c:pt idx="26">
                  <c:v>5.184875070078844</c:v>
                </c:pt>
                <c:pt idx="27">
                  <c:v>5.3800113286102391</c:v>
                </c:pt>
                <c:pt idx="28">
                  <c:v>5.571371160638388</c:v>
                </c:pt>
                <c:pt idx="29">
                  <c:v>5.7591004753709507</c:v>
                </c:pt>
                <c:pt idx="30">
                  <c:v>5.9433400377183832</c:v>
                </c:pt>
                <c:pt idx="31">
                  <c:v>6.124225062923454</c:v>
                </c:pt>
                <c:pt idx="32">
                  <c:v>6.3018850193239304</c:v>
                </c:pt>
                <c:pt idx="33">
                  <c:v>6.4764435791282295</c:v>
                </c:pt>
                <c:pt idx="34">
                  <c:v>6.6480186732330413</c:v>
                </c:pt>
                <c:pt idx="35">
                  <c:v>6.8167226178851879</c:v>
                </c:pt>
                <c:pt idx="36">
                  <c:v>6.9826622896112571</c:v>
                </c:pt>
                <c:pt idx="37">
                  <c:v>7.1459393311758124</c:v>
                </c:pt>
                <c:pt idx="38">
                  <c:v>7.3066503760025476</c:v>
                </c:pt>
                <c:pt idx="39">
                  <c:v>7.464887281947898</c:v>
                </c:pt>
                <c:pt idx="40">
                  <c:v>7.6207373678758579</c:v>
                </c:pt>
                <c:pt idx="41">
                  <c:v>7.7742836483800764</c:v>
                </c:pt>
                <c:pt idx="42">
                  <c:v>7.9256050634061355</c:v>
                </c:pt>
                <c:pt idx="43">
                  <c:v>8.0747767005688562</c:v>
                </c:pt>
                <c:pt idx="44">
                  <c:v>8.2218700087295513</c:v>
                </c:pt>
                <c:pt idx="45">
                  <c:v>8.3669530019647542</c:v>
                </c:pt>
                <c:pt idx="46">
                  <c:v>8.5100904534727562</c:v>
                </c:pt>
                <c:pt idx="47">
                  <c:v>8.6513440792649163</c:v>
                </c:pt>
                <c:pt idx="48">
                  <c:v>8.7907727117041592</c:v>
                </c:pt>
                <c:pt idx="49">
                  <c:v>8.9284324631045422</c:v>
                </c:pt>
                <c:pt idx="50">
                  <c:v>9.0643768797097426</c:v>
                </c:pt>
                <c:pt idx="51">
                  <c:v>9.1986570864363415</c:v>
                </c:pt>
                <c:pt idx="52">
                  <c:v>9.3313219228098099</c:v>
                </c:pt>
              </c:numCache>
            </c:numRef>
          </c:val>
        </c:ser>
        <c:ser>
          <c:idx val="21"/>
          <c:order val="21"/>
          <c:tx>
            <c:strRef>
              <c:f>vega!$AF$2</c:f>
              <c:strCache>
                <c:ptCount val="1"/>
                <c:pt idx="0">
                  <c:v>47,5</c:v>
                </c:pt>
              </c:strCache>
            </c:strRef>
          </c:tx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vega!$AF$3:$AF$55</c:f>
              <c:numCache>
                <c:formatCode>General</c:formatCode>
                <c:ptCount val="53"/>
                <c:pt idx="0">
                  <c:v>0</c:v>
                </c:pt>
                <c:pt idx="1">
                  <c:v>5.899594975558882E-8</c:v>
                </c:pt>
                <c:pt idx="2">
                  <c:v>4.2467351739128127E-4</c:v>
                </c:pt>
                <c:pt idx="3">
                  <c:v>9.1162315502568338E-3</c:v>
                </c:pt>
                <c:pt idx="4">
                  <c:v>4.4222277576227979E-2</c:v>
                </c:pt>
                <c:pt idx="5">
                  <c:v>0.11710250674858719</c:v>
                </c:pt>
                <c:pt idx="6">
                  <c:v>0.22802194626658004</c:v>
                </c:pt>
                <c:pt idx="7">
                  <c:v>0.37150524181904909</c:v>
                </c:pt>
                <c:pt idx="8">
                  <c:v>0.5406010107546767</c:v>
                </c:pt>
                <c:pt idx="9">
                  <c:v>0.7288193599263546</c:v>
                </c:pt>
                <c:pt idx="10">
                  <c:v>0.93074799819420617</c:v>
                </c:pt>
                <c:pt idx="11">
                  <c:v>1.1421029443186976</c:v>
                </c:pt>
                <c:pt idx="12">
                  <c:v>1.3595828363321329</c:v>
                </c:pt>
                <c:pt idx="13">
                  <c:v>1.5806808525354257</c:v>
                </c:pt>
                <c:pt idx="14">
                  <c:v>1.8035106138606247</c:v>
                </c:pt>
                <c:pt idx="15">
                  <c:v>2.0266620166609179</c:v>
                </c:pt>
                <c:pt idx="16">
                  <c:v>2.249087601490348</c:v>
                </c:pt>
                <c:pt idx="17">
                  <c:v>2.4700151005324495</c:v>
                </c:pt>
                <c:pt idx="18">
                  <c:v>2.6888808943016906</c:v>
                </c:pt>
                <c:pt idx="19">
                  <c:v>2.9052796167685284</c:v>
                </c:pt>
                <c:pt idx="20">
                  <c:v>3.11892602783049</c:v>
                </c:pt>
                <c:pt idx="21">
                  <c:v>3.3296261344960589</c:v>
                </c:pt>
                <c:pt idx="22">
                  <c:v>3.5372552671177933</c:v>
                </c:pt>
                <c:pt idx="23">
                  <c:v>3.7417413877490118</c:v>
                </c:pt>
                <c:pt idx="24">
                  <c:v>3.9430523427606712</c:v>
                </c:pt>
                <c:pt idx="25">
                  <c:v>4.1411860980930175</c:v>
                </c:pt>
                <c:pt idx="26">
                  <c:v>4.3361632382220145</c:v>
                </c:pt>
                <c:pt idx="27">
                  <c:v>4.5280211899419367</c:v>
                </c:pt>
                <c:pt idx="28">
                  <c:v>4.7168097655909813</c:v>
                </c:pt>
                <c:pt idx="29">
                  <c:v>4.9025877195677623</c:v>
                </c:pt>
                <c:pt idx="30">
                  <c:v>5.0854200859377849</c:v>
                </c:pt>
                <c:pt idx="31">
                  <c:v>5.2653761202516467</c:v>
                </c:pt>
                <c:pt idx="32">
                  <c:v>5.4425277102549572</c:v>
                </c:pt>
                <c:pt idx="33">
                  <c:v>5.6169481515253707</c:v>
                </c:pt>
                <c:pt idx="34">
                  <c:v>5.7887112078355507</c:v>
                </c:pt>
                <c:pt idx="35">
                  <c:v>5.9578903941313079</c:v>
                </c:pt>
                <c:pt idx="36">
                  <c:v>6.1245584338468211</c:v>
                </c:pt>
                <c:pt idx="37">
                  <c:v>6.2887868529015067</c:v>
                </c:pt>
                <c:pt idx="38">
                  <c:v>6.4506456809149997</c:v>
                </c:pt>
                <c:pt idx="39">
                  <c:v>6.6102032365190331</c:v>
                </c:pt>
                <c:pt idx="40">
                  <c:v>6.7675259785747262</c:v>
                </c:pt>
                <c:pt idx="41">
                  <c:v>6.9226784089491291</c:v>
                </c:pt>
                <c:pt idx="42">
                  <c:v>7.0757230155148694</c:v>
                </c:pt>
                <c:pt idx="43">
                  <c:v>7.2267202464005917</c:v>
                </c:pt>
                <c:pt idx="44">
                  <c:v>7.3757285083816955</c:v>
                </c:pt>
                <c:pt idx="45">
                  <c:v>7.522804183771604</c:v>
                </c:pt>
                <c:pt idx="46">
                  <c:v>7.6680016613385087</c:v>
                </c:pt>
                <c:pt idx="47">
                  <c:v>7.8113733776969889</c:v>
                </c:pt>
                <c:pt idx="48">
                  <c:v>7.9529698663594504</c:v>
                </c:pt>
                <c:pt idx="49">
                  <c:v>8.0928398122182372</c:v>
                </c:pt>
                <c:pt idx="50">
                  <c:v>8.2310301096973859</c:v>
                </c:pt>
                <c:pt idx="51">
                  <c:v>8.3675859231865495</c:v>
                </c:pt>
                <c:pt idx="52">
                  <c:v>8.5025507486690213</c:v>
                </c:pt>
              </c:numCache>
            </c:numRef>
          </c:val>
        </c:ser>
        <c:ser>
          <c:idx val="22"/>
          <c:order val="22"/>
          <c:tx>
            <c:strRef>
              <c:f>vega!$AG$2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vega!$AG$3:$AG$55</c:f>
              <c:numCache>
                <c:formatCode>General</c:formatCode>
                <c:ptCount val="53"/>
                <c:pt idx="0">
                  <c:v>0</c:v>
                </c:pt>
                <c:pt idx="1">
                  <c:v>3.8814597612043569E-10</c:v>
                </c:pt>
                <c:pt idx="2">
                  <c:v>3.3897520221981796E-5</c:v>
                </c:pt>
                <c:pt idx="3">
                  <c:v>1.6812880865451094E-3</c:v>
                </c:pt>
                <c:pt idx="4">
                  <c:v>1.2410189765438409E-2</c:v>
                </c:pt>
                <c:pt idx="5">
                  <c:v>4.2289775749394201E-2</c:v>
                </c:pt>
                <c:pt idx="6">
                  <c:v>9.7437882601144568E-2</c:v>
                </c:pt>
                <c:pt idx="7">
                  <c:v>0.17903887915939029</c:v>
                </c:pt>
                <c:pt idx="8">
                  <c:v>0.28513397652886979</c:v>
                </c:pt>
                <c:pt idx="9">
                  <c:v>0.41236573561692413</c:v>
                </c:pt>
                <c:pt idx="10">
                  <c:v>0.55704889481939146</c:v>
                </c:pt>
                <c:pt idx="11">
                  <c:v>0.71570314242058275</c:v>
                </c:pt>
                <c:pt idx="12">
                  <c:v>0.88526814974051149</c:v>
                </c:pt>
                <c:pt idx="13">
                  <c:v>1.0631550096985363</c:v>
                </c:pt>
                <c:pt idx="14">
                  <c:v>1.2472223282737585</c:v>
                </c:pt>
                <c:pt idx="15">
                  <c:v>1.4357229701439735</c:v>
                </c:pt>
                <c:pt idx="16">
                  <c:v>1.6272438423350346</c:v>
                </c:pt>
                <c:pt idx="17">
                  <c:v>1.8206487368151545</c:v>
                </c:pt>
                <c:pt idx="18">
                  <c:v>2.0150280682556874</c:v>
                </c:pt>
                <c:pt idx="19">
                  <c:v>2.2096563948671823</c:v>
                </c:pt>
                <c:pt idx="20">
                  <c:v>2.4039573060569022</c:v>
                </c:pt>
                <c:pt idx="21">
                  <c:v>2.5974747672443477</c:v>
                </c:pt>
                <c:pt idx="22">
                  <c:v>2.7898499023114161</c:v>
                </c:pt>
                <c:pt idx="23">
                  <c:v>2.9808022529331422</c:v>
                </c:pt>
                <c:pt idx="24">
                  <c:v>3.1701146759154111</c:v>
                </c:pt>
                <c:pt idx="25">
                  <c:v>3.3576211748734699</c:v>
                </c:pt>
                <c:pt idx="26">
                  <c:v>3.5431970893206022</c:v>
                </c:pt>
                <c:pt idx="27">
                  <c:v>3.7267511744356079</c:v>
                </c:pt>
                <c:pt idx="28">
                  <c:v>3.9082191968515443</c:v>
                </c:pt>
                <c:pt idx="29">
                  <c:v>4.0875587469914416</c:v>
                </c:pt>
                <c:pt idx="30">
                  <c:v>4.2647450290362032</c:v>
                </c:pt>
                <c:pt idx="31">
                  <c:v>4.4397674379980741</c:v>
                </c:pt>
                <c:pt idx="32">
                  <c:v>4.6126267718615246</c:v>
                </c:pt>
                <c:pt idx="33">
                  <c:v>4.7833329573000674</c:v>
                </c:pt>
                <c:pt idx="34">
                  <c:v>4.9519031917062737</c:v>
                </c:pt>
                <c:pt idx="35">
                  <c:v>5.1183604234987277</c:v>
                </c:pt>
                <c:pt idx="36">
                  <c:v>5.2827321079451828</c:v>
                </c:pt>
                <c:pt idx="37">
                  <c:v>5.4450491878990377</c:v>
                </c:pt>
                <c:pt idx="38">
                  <c:v>5.605345258543359</c:v>
                </c:pt>
                <c:pt idx="39">
                  <c:v>5.7636558829889042</c:v>
                </c:pt>
                <c:pt idx="40">
                  <c:v>5.9200180317864097</c:v>
                </c:pt>
                <c:pt idx="41">
                  <c:v>6.0744696244064</c:v>
                </c:pt>
                <c:pt idx="42">
                  <c:v>6.2270491547631623</c:v>
                </c:pt>
                <c:pt idx="43">
                  <c:v>6.3777953861099785</c:v>
                </c:pt>
                <c:pt idx="44">
                  <c:v>6.5267471032658273</c:v>
                </c:pt>
                <c:pt idx="45">
                  <c:v>6.6739429122725173</c:v>
                </c:pt>
                <c:pt idx="46">
                  <c:v>6.8194210793228329</c:v>
                </c:pt>
                <c:pt idx="47">
                  <c:v>6.9632194022221743</c:v>
                </c:pt>
                <c:pt idx="48">
                  <c:v>7.1053751088098567</c:v>
                </c:pt>
                <c:pt idx="49">
                  <c:v>7.2459247777208589</c:v>
                </c:pt>
                <c:pt idx="50">
                  <c:v>7.3849042776539369</c:v>
                </c:pt>
                <c:pt idx="51">
                  <c:v>7.5223487219587666</c:v>
                </c:pt>
                <c:pt idx="52">
                  <c:v>7.6582924358891393</c:v>
                </c:pt>
              </c:numCache>
            </c:numRef>
          </c:val>
        </c:ser>
        <c:ser>
          <c:idx val="23"/>
          <c:order val="23"/>
          <c:tx>
            <c:strRef>
              <c:f>vega!$AH$2</c:f>
              <c:strCache>
                <c:ptCount val="1"/>
                <c:pt idx="0">
                  <c:v>48,5</c:v>
                </c:pt>
              </c:strCache>
            </c:strRef>
          </c:tx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vega!$AH$3:$AH$55</c:f>
              <c:numCache>
                <c:formatCode>General</c:formatCode>
                <c:ptCount val="53"/>
                <c:pt idx="0">
                  <c:v>0</c:v>
                </c:pt>
                <c:pt idx="1">
                  <c:v>1.4292783438038483E-12</c:v>
                </c:pt>
                <c:pt idx="2">
                  <c:v>2.0213621326326367E-6</c:v>
                </c:pt>
                <c:pt idx="3">
                  <c:v>2.5522018311408641E-4</c:v>
                </c:pt>
                <c:pt idx="4">
                  <c:v>3.0092316798707693E-3</c:v>
                </c:pt>
                <c:pt idx="5">
                  <c:v>1.3586812347300515E-2</c:v>
                </c:pt>
                <c:pt idx="6">
                  <c:v>3.7770071446739634E-2</c:v>
                </c:pt>
                <c:pt idx="7">
                  <c:v>7.9367338857428638E-2</c:v>
                </c:pt>
                <c:pt idx="8">
                  <c:v>0.13978723109263727</c:v>
                </c:pt>
                <c:pt idx="9">
                  <c:v>0.218634901857542</c:v>
                </c:pt>
                <c:pt idx="10">
                  <c:v>0.31445010569139825</c:v>
                </c:pt>
                <c:pt idx="11">
                  <c:v>0.42527317572286916</c:v>
                </c:pt>
                <c:pt idx="12">
                  <c:v>0.54900571089973593</c:v>
                </c:pt>
                <c:pt idx="13">
                  <c:v>0.68361456930531372</c:v>
                </c:pt>
                <c:pt idx="14">
                  <c:v>0.8272337133460278</c:v>
                </c:pt>
                <c:pt idx="15">
                  <c:v>0.97820498453869176</c:v>
                </c:pt>
                <c:pt idx="16">
                  <c:v>1.1350847429712876</c:v>
                </c:pt>
                <c:pt idx="17">
                  <c:v>1.2966328323887244</c:v>
                </c:pt>
                <c:pt idx="18">
                  <c:v>1.4617934719486421</c:v>
                </c:pt>
                <c:pt idx="19">
                  <c:v>1.6296734457562292</c:v>
                </c:pt>
                <c:pt idx="20">
                  <c:v>1.799520446147441</c:v>
                </c:pt>
                <c:pt idx="21">
                  <c:v>1.9707029718936495</c:v>
                </c:pt>
                <c:pt idx="22">
                  <c:v>2.1426923639102382</c:v>
                </c:pt>
                <c:pt idx="23">
                  <c:v>2.315047116504914</c:v>
                </c:pt>
                <c:pt idx="24">
                  <c:v>2.4873993737970119</c:v>
                </c:pt>
                <c:pt idx="25">
                  <c:v>2.6594434150796964</c:v>
                </c:pt>
                <c:pt idx="26">
                  <c:v>2.8309258947538325</c:v>
                </c:pt>
                <c:pt idx="27">
                  <c:v>3.0016376002738805</c:v>
                </c:pt>
                <c:pt idx="28">
                  <c:v>3.1714065071602628</c:v>
                </c:pt>
                <c:pt idx="29">
                  <c:v>3.3400919333707626</c:v>
                </c:pt>
                <c:pt idx="30">
                  <c:v>3.5075796206449876</c:v>
                </c:pt>
                <c:pt idx="31">
                  <c:v>3.6737775949721034</c:v>
                </c:pt>
                <c:pt idx="32">
                  <c:v>3.8386126807303214</c:v>
                </c:pt>
                <c:pt idx="33">
                  <c:v>4.0020275627972479</c:v>
                </c:pt>
                <c:pt idx="34">
                  <c:v>4.1639783079733892</c:v>
                </c:pt>
                <c:pt idx="35">
                  <c:v>4.3244322715628547</c:v>
                </c:pt>
                <c:pt idx="36">
                  <c:v>4.4833663271806339</c:v>
                </c:pt>
                <c:pt idx="37">
                  <c:v>4.6407653680989887</c:v>
                </c:pt>
                <c:pt idx="38">
                  <c:v>4.7966210369940416</c:v>
                </c:pt>
                <c:pt idx="39">
                  <c:v>4.950930648070357</c:v>
                </c:pt>
                <c:pt idx="40">
                  <c:v>5.1036962714583325</c:v>
                </c:pt>
                <c:pt idx="41">
                  <c:v>5.2549239546961619</c:v>
                </c:pt>
                <c:pt idx="42">
                  <c:v>5.4046230601943392</c:v>
                </c:pt>
                <c:pt idx="43">
                  <c:v>5.5528057009784719</c:v>
                </c:pt>
                <c:pt idx="44">
                  <c:v>5.6994862598338631</c:v>
                </c:pt>
                <c:pt idx="45">
                  <c:v>5.8446809793312742</c:v>
                </c:pt>
                <c:pt idx="46">
                  <c:v>5.988407612178885</c:v>
                </c:pt>
                <c:pt idx="47">
                  <c:v>6.130685122987563</c:v>
                </c:pt>
                <c:pt idx="48">
                  <c:v>6.2715334339108262</c:v>
                </c:pt>
                <c:pt idx="49">
                  <c:v>6.4109732077725523</c:v>
                </c:pt>
                <c:pt idx="50">
                  <c:v>6.5490256632626114</c:v>
                </c:pt>
                <c:pt idx="51">
                  <c:v>6.6857124175936562</c:v>
                </c:pt>
                <c:pt idx="52">
                  <c:v>6.8210553526975373</c:v>
                </c:pt>
              </c:numCache>
            </c:numRef>
          </c:val>
        </c:ser>
        <c:ser>
          <c:idx val="24"/>
          <c:order val="24"/>
          <c:tx>
            <c:strRef>
              <c:f>vega!$AI$2</c:f>
              <c:strCache>
                <c:ptCount val="1"/>
                <c:pt idx="0">
                  <c:v>49</c:v>
                </c:pt>
              </c:strCache>
            </c:strRef>
          </c:tx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vega!$AI$3:$AI$55</c:f>
              <c:numCache>
                <c:formatCode>General</c:formatCode>
                <c:ptCount val="53"/>
                <c:pt idx="0">
                  <c:v>0</c:v>
                </c:pt>
                <c:pt idx="1">
                  <c:v>3.0002708046781735E-15</c:v>
                </c:pt>
                <c:pt idx="2">
                  <c:v>9.0884498880713057E-8</c:v>
                </c:pt>
                <c:pt idx="3">
                  <c:v>3.2085506772764407E-5</c:v>
                </c:pt>
                <c:pt idx="4">
                  <c:v>6.3340341943424249E-4</c:v>
                </c:pt>
                <c:pt idx="5">
                  <c:v>3.8978004156388513E-3</c:v>
                </c:pt>
                <c:pt idx="6">
                  <c:v>1.3322198693139361E-2</c:v>
                </c:pt>
                <c:pt idx="7">
                  <c:v>3.2448643565334445E-2</c:v>
                </c:pt>
                <c:pt idx="8">
                  <c:v>6.3846517812793269E-2</c:v>
                </c:pt>
                <c:pt idx="9">
                  <c:v>0.10884884841833563</c:v>
                </c:pt>
                <c:pt idx="10">
                  <c:v>0.16773020511378381</c:v>
                </c:pt>
                <c:pt idx="11">
                  <c:v>0.24001658862712094</c:v>
                </c:pt>
                <c:pt idx="12">
                  <c:v>0.32477429252195722</c:v>
                </c:pt>
                <c:pt idx="13">
                  <c:v>0.42083002126097702</c:v>
                </c:pt>
                <c:pt idx="14">
                  <c:v>0.52692150657181014</c:v>
                </c:pt>
                <c:pt idx="15">
                  <c:v>0.64179285341417491</c:v>
                </c:pt>
                <c:pt idx="16">
                  <c:v>0.76425042204579807</c:v>
                </c:pt>
                <c:pt idx="17">
                  <c:v>0.8931922657037773</c:v>
                </c:pt>
                <c:pt idx="18">
                  <c:v>1.0276206576790403</c:v>
                </c:pt>
                <c:pt idx="19">
                  <c:v>1.1666442689447334</c:v>
                </c:pt>
                <c:pt idx="20">
                  <c:v>1.3094743383626961</c:v>
                </c:pt>
                <c:pt idx="21">
                  <c:v>1.4554176255445508</c:v>
                </c:pt>
                <c:pt idx="22">
                  <c:v>1.603867891313121</c:v>
                </c:pt>
                <c:pt idx="23">
                  <c:v>1.754296964187493</c:v>
                </c:pt>
                <c:pt idx="24">
                  <c:v>1.9062460088426725</c:v>
                </c:pt>
                <c:pt idx="25">
                  <c:v>2.0593173322096834</c:v>
                </c:pt>
                <c:pt idx="26">
                  <c:v>2.2131668886643059</c:v>
                </c:pt>
                <c:pt idx="27">
                  <c:v>2.3674975400497051</c:v>
                </c:pt>
                <c:pt idx="28">
                  <c:v>2.522053064340819</c:v>
                </c:pt>
                <c:pt idx="29">
                  <c:v>2.6766128724422793</c:v>
                </c:pt>
                <c:pt idx="30">
                  <c:v>2.8309873754697961</c:v>
                </c:pt>
                <c:pt idx="31">
                  <c:v>2.9850139381841507</c:v>
                </c:pt>
                <c:pt idx="32">
                  <c:v>3.1385533537469925</c:v>
                </c:pt>
                <c:pt idx="33">
                  <c:v>3.2914867779443804</c:v>
                </c:pt>
                <c:pt idx="34">
                  <c:v>3.4437130657915476</c:v>
                </c:pt>
                <c:pt idx="35">
                  <c:v>3.5951464589575206</c:v>
                </c:pt>
                <c:pt idx="36">
                  <c:v>3.7457145781159444</c:v>
                </c:pt>
                <c:pt idx="37">
                  <c:v>3.895356679787513</c:v>
                </c:pt>
                <c:pt idx="38">
                  <c:v>4.0440221423044909</c:v>
                </c:pt>
                <c:pt idx="39">
                  <c:v>4.1916691501154126</c:v>
                </c:pt>
                <c:pt idx="40">
                  <c:v>4.3382635497362205</c:v>
                </c:pt>
                <c:pt idx="41">
                  <c:v>4.4837778542558606</c:v>
                </c:pt>
                <c:pt idx="42">
                  <c:v>4.628190376452495</c:v>
                </c:pt>
                <c:pt idx="43">
                  <c:v>4.7714844733119905</c:v>
                </c:pt>
                <c:pt idx="44">
                  <c:v>4.9136478871079703</c:v>
                </c:pt>
                <c:pt idx="45">
                  <c:v>5.0546721702456496</c:v>
                </c:pt>
                <c:pt idx="46">
                  <c:v>5.1945521828315186</c:v>
                </c:pt>
                <c:pt idx="47">
                  <c:v>5.3332856534443387</c:v>
                </c:pt>
                <c:pt idx="48">
                  <c:v>5.4708727948841975</c:v>
                </c:pt>
                <c:pt idx="49">
                  <c:v>5.607315967794225</c:v>
                </c:pt>
                <c:pt idx="50">
                  <c:v>5.7426193860104737</c:v>
                </c:pt>
                <c:pt idx="51">
                  <c:v>5.8767888583211905</c:v>
                </c:pt>
                <c:pt idx="52">
                  <c:v>6.0098315620270215</c:v>
                </c:pt>
              </c:numCache>
            </c:numRef>
          </c:val>
        </c:ser>
        <c:ser>
          <c:idx val="25"/>
          <c:order val="25"/>
          <c:tx>
            <c:strRef>
              <c:f>vega!$AJ$2</c:f>
              <c:strCache>
                <c:ptCount val="1"/>
                <c:pt idx="0">
                  <c:v>49,5</c:v>
                </c:pt>
              </c:strCache>
            </c:strRef>
          </c:tx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vega!$AJ$3:$AJ$55</c:f>
              <c:numCache>
                <c:formatCode>General</c:formatCode>
                <c:ptCount val="53"/>
                <c:pt idx="0">
                  <c:v>0</c:v>
                </c:pt>
                <c:pt idx="1">
                  <c:v>3.6542616077883149E-18</c:v>
                </c:pt>
                <c:pt idx="2">
                  <c:v>3.1085695049075732E-9</c:v>
                </c:pt>
                <c:pt idx="3">
                  <c:v>3.3604562101124369E-6</c:v>
                </c:pt>
                <c:pt idx="4">
                  <c:v>1.1624787832774013E-4</c:v>
                </c:pt>
                <c:pt idx="5">
                  <c:v>1.0020465773439762E-3</c:v>
                </c:pt>
                <c:pt idx="6">
                  <c:v>4.2884582104836897E-3</c:v>
                </c:pt>
                <c:pt idx="7">
                  <c:v>1.2266385247496415E-2</c:v>
                </c:pt>
                <c:pt idx="8">
                  <c:v>2.7228588975765525E-2</c:v>
                </c:pt>
                <c:pt idx="9">
                  <c:v>5.0986504414320719E-2</c:v>
                </c:pt>
                <c:pt idx="10">
                  <c:v>8.4692626480558197E-2</c:v>
                </c:pt>
                <c:pt idx="11">
                  <c:v>0.12887126324077014</c:v>
                </c:pt>
                <c:pt idx="12">
                  <c:v>0.18354135252944084</c:v>
                </c:pt>
                <c:pt idx="13">
                  <c:v>0.24835787455279654</c:v>
                </c:pt>
                <c:pt idx="14">
                  <c:v>0.32273761304914389</c:v>
                </c:pt>
                <c:pt idx="15">
                  <c:v>0.40595828885099267</c:v>
                </c:pt>
                <c:pt idx="16">
                  <c:v>0.49723115719652111</c:v>
                </c:pt>
                <c:pt idx="17">
                  <c:v>0.59575132283756604</c:v>
                </c:pt>
                <c:pt idx="18">
                  <c:v>0.70073087836434278</c:v>
                </c:pt>
                <c:pt idx="19">
                  <c:v>0.81141947349708066</c:v>
                </c:pt>
                <c:pt idx="20">
                  <c:v>0.92711602092348899</c:v>
                </c:pt>
                <c:pt idx="21">
                  <c:v>1.0471743409054872</c:v>
                </c:pt>
                <c:pt idx="22">
                  <c:v>1.1710047846818656</c:v>
                </c:pt>
                <c:pt idx="23">
                  <c:v>1.2980732831169339</c:v>
                </c:pt>
                <c:pt idx="24">
                  <c:v>1.427898825178131</c:v>
                </c:pt>
                <c:pt idx="25">
                  <c:v>1.560050051085258</c:v>
                </c:pt>
                <c:pt idx="26">
                  <c:v>1.6941414180652383</c:v>
                </c:pt>
                <c:pt idx="27">
                  <c:v>1.8298292379636862</c:v>
                </c:pt>
                <c:pt idx="28">
                  <c:v>1.9668077763606979</c:v>
                </c:pt>
                <c:pt idx="29">
                  <c:v>2.1048055280267537</c:v>
                </c:pt>
                <c:pt idx="30">
                  <c:v>2.2435817331456529</c:v>
                </c:pt>
                <c:pt idx="31">
                  <c:v>2.3829231652912872</c:v>
                </c:pt>
                <c:pt idx="32">
                  <c:v>2.5226412004139758</c:v>
                </c:pt>
                <c:pt idx="33">
                  <c:v>2.6625691623779293</c:v>
                </c:pt>
                <c:pt idx="34">
                  <c:v>2.8025599323174473</c:v>
                </c:pt>
                <c:pt idx="35">
                  <c:v>2.9424838044574524</c:v>
                </c:pt>
                <c:pt idx="36">
                  <c:v>3.0822265688378958</c:v>
                </c:pt>
                <c:pt idx="37">
                  <c:v>3.221687800742524</c:v>
                </c:pt>
                <c:pt idx="38">
                  <c:v>3.3607793369802561</c:v>
                </c:pt>
                <c:pt idx="39">
                  <c:v>3.4994239201089741</c:v>
                </c:pt>
                <c:pt idx="40">
                  <c:v>3.6375539929631624</c:v>
                </c:pt>
                <c:pt idx="41">
                  <c:v>3.7751106272744113</c:v>
                </c:pt>
                <c:pt idx="42">
                  <c:v>3.9120425716440006</c:v>
                </c:pt>
                <c:pt idx="43">
                  <c:v>4.048305405568926</c:v>
                </c:pt>
                <c:pt idx="44">
                  <c:v>4.18386078759388</c:v>
                </c:pt>
                <c:pt idx="45">
                  <c:v>4.3186757869384778</c:v>
                </c:pt>
                <c:pt idx="46">
                  <c:v>4.4527222891203486</c:v>
                </c:pt>
                <c:pt idx="47">
                  <c:v>4.5859764671577627</c:v>
                </c:pt>
                <c:pt idx="48">
                  <c:v>4.7184183108927975</c:v>
                </c:pt>
                <c:pt idx="49">
                  <c:v>4.850031207832739</c:v>
                </c:pt>
                <c:pt idx="50">
                  <c:v>4.9808015696709091</c:v>
                </c:pt>
                <c:pt idx="51">
                  <c:v>5.110718499325829</c:v>
                </c:pt>
                <c:pt idx="52">
                  <c:v>5.2397734939382552</c:v>
                </c:pt>
              </c:numCache>
            </c:numRef>
          </c:val>
        </c:ser>
        <c:ser>
          <c:idx val="26"/>
          <c:order val="26"/>
          <c:tx>
            <c:strRef>
              <c:f>vega!$AK$2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vega!$AK$3:$AK$55</c:f>
              <c:numCache>
                <c:formatCode>General</c:formatCode>
                <c:ptCount val="53"/>
                <c:pt idx="0">
                  <c:v>0</c:v>
                </c:pt>
                <c:pt idx="1">
                  <c:v>2.6267711899149447E-21</c:v>
                </c:pt>
                <c:pt idx="2">
                  <c:v>8.1577132767415149E-11</c:v>
                </c:pt>
                <c:pt idx="3">
                  <c:v>2.9489106191959762E-7</c:v>
                </c:pt>
                <c:pt idx="4">
                  <c:v>1.8682278693153135E-5</c:v>
                </c:pt>
                <c:pt idx="5">
                  <c:v>2.3163884515646705E-4</c:v>
                </c:pt>
                <c:pt idx="6">
                  <c:v>1.2634692487685315E-3</c:v>
                </c:pt>
                <c:pt idx="7">
                  <c:v>4.2979948846755493E-3</c:v>
                </c:pt>
                <c:pt idx="8">
                  <c:v>1.0865814276571807E-2</c:v>
                </c:pt>
                <c:pt idx="9">
                  <c:v>2.2513411230848619E-2</c:v>
                </c:pt>
                <c:pt idx="10">
                  <c:v>4.0550815093251383E-2</c:v>
                </c:pt>
                <c:pt idx="11">
                  <c:v>6.5930995517305149E-2</c:v>
                </c:pt>
                <c:pt idx="12">
                  <c:v>9.9232615134505528E-2</c:v>
                </c:pt>
                <c:pt idx="13">
                  <c:v>0.14070124474438392</c:v>
                </c:pt>
                <c:pt idx="14">
                  <c:v>0.19031421398876788</c:v>
                </c:pt>
                <c:pt idx="15">
                  <c:v>0.24784834402261069</c:v>
                </c:pt>
                <c:pt idx="16">
                  <c:v>0.3129404587671894</c:v>
                </c:pt>
                <c:pt idx="17">
                  <c:v>0.38513703651249481</c:v>
                </c:pt>
                <c:pt idx="18">
                  <c:v>0.46393275147295604</c:v>
                </c:pt>
                <c:pt idx="19">
                  <c:v>0.54879916519254723</c:v>
                </c:pt>
                <c:pt idx="20">
                  <c:v>0.63920531786216539</c:v>
                </c:pt>
                <c:pt idx="21">
                  <c:v>0.73463196214963988</c:v>
                </c:pt>
                <c:pt idx="22">
                  <c:v>0.83458096652455627</c:v>
                </c:pt>
                <c:pt idx="23">
                  <c:v>0.93858113936386922</c:v>
                </c:pt>
                <c:pt idx="24">
                  <c:v>1.046191458240767</c:v>
                </c:pt>
                <c:pt idx="25">
                  <c:v>1.1570024579648006</c:v>
                </c:pt>
                <c:pt idx="26">
                  <c:v>1.2706363428803575</c:v>
                </c:pt>
                <c:pt idx="27">
                  <c:v>1.3867462411734852</c:v>
                </c:pt>
                <c:pt idx="28">
                  <c:v>1.5050149055862301</c:v>
                </c:pt>
                <c:pt idx="29">
                  <c:v>1.6251530794295035</c:v>
                </c:pt>
                <c:pt idx="30">
                  <c:v>1.7468976830871905</c:v>
                </c:pt>
                <c:pt idx="31">
                  <c:v>1.8700099292302033</c:v>
                </c:pt>
                <c:pt idx="32">
                  <c:v>1.9942734406227531</c:v>
                </c:pt>
                <c:pt idx="33">
                  <c:v>2.1194924195153217</c:v>
                </c:pt>
                <c:pt idx="34">
                  <c:v>2.2454898997384887</c:v>
                </c:pt>
                <c:pt idx="35">
                  <c:v>2.3721060998947685</c:v>
                </c:pt>
                <c:pt idx="36">
                  <c:v>2.4991968871110171</c:v>
                </c:pt>
                <c:pt idx="37">
                  <c:v>2.6266323546357859</c:v>
                </c:pt>
                <c:pt idx="38">
                  <c:v>2.7542955123845236</c:v>
                </c:pt>
                <c:pt idx="39">
                  <c:v>2.8820810867919278</c:v>
                </c:pt>
                <c:pt idx="40">
                  <c:v>3.0098944246143113</c:v>
                </c:pt>
                <c:pt idx="41">
                  <c:v>3.1376504943357006</c:v>
                </c:pt>
                <c:pt idx="42">
                  <c:v>3.2652729783504499</c:v>
                </c:pt>
                <c:pt idx="43">
                  <c:v>3.392693448964013</c:v>
                </c:pt>
                <c:pt idx="44">
                  <c:v>3.5198506213571941</c:v>
                </c:pt>
                <c:pt idx="45">
                  <c:v>3.6466896769154711</c:v>
                </c:pt>
                <c:pt idx="46">
                  <c:v>3.77316165067508</c:v>
                </c:pt>
                <c:pt idx="47">
                  <c:v>3.8992228770400512</c:v>
                </c:pt>
                <c:pt idx="48">
                  <c:v>4.0248344883503879</c:v>
                </c:pt>
                <c:pt idx="49">
                  <c:v>4.1499619613113445</c:v>
                </c:pt>
                <c:pt idx="50">
                  <c:v>4.2745747067141204</c:v>
                </c:pt>
                <c:pt idx="51">
                  <c:v>4.3986456982807134</c:v>
                </c:pt>
                <c:pt idx="52">
                  <c:v>4.5221511368451281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103681056"/>
        <c:axId val="-1103670720"/>
        <c:axId val="-1099049920"/>
      </c:surface3DChart>
      <c:catAx>
        <c:axId val="-11036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0720"/>
        <c:crosses val="autoZero"/>
        <c:auto val="1"/>
        <c:lblAlgn val="ctr"/>
        <c:lblOffset val="100"/>
        <c:noMultiLvlLbl val="0"/>
      </c:catAx>
      <c:valAx>
        <c:axId val="-1103670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81056"/>
        <c:crosses val="autoZero"/>
        <c:crossBetween val="midCat"/>
      </c:valAx>
      <c:serAx>
        <c:axId val="-10990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0720"/>
        <c:crosses val="autoZero"/>
        <c:tickMarkSkip val="1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92049140245302"/>
          <c:y val="8.8358570563294977E-2"/>
          <c:w val="0.84879175274193386"/>
          <c:h val="0.81522078970897871"/>
        </c:manualLayout>
      </c:layout>
      <c:scatterChart>
        <c:scatterStyle val="smoothMarker"/>
        <c:varyColors val="0"/>
        <c:ser>
          <c:idx val="0"/>
          <c:order val="0"/>
          <c:tx>
            <c:v>39  OTM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xVal>
          <c:yVal>
            <c:numRef>
              <c:f>vega!$O$3:$O$55</c:f>
              <c:numCache>
                <c:formatCode>General</c:formatCode>
                <c:ptCount val="53"/>
                <c:pt idx="0">
                  <c:v>0</c:v>
                </c:pt>
                <c:pt idx="1">
                  <c:v>5.8977761715056116E-19</c:v>
                </c:pt>
                <c:pt idx="2">
                  <c:v>1.3481553170471506E-9</c:v>
                </c:pt>
                <c:pt idx="3">
                  <c:v>2.0306042720630166E-6</c:v>
                </c:pt>
                <c:pt idx="4">
                  <c:v>8.2949840454067271E-5</c:v>
                </c:pt>
                <c:pt idx="5">
                  <c:v>7.9012927876426372E-4</c:v>
                </c:pt>
                <c:pt idx="6">
                  <c:v>3.6145588987058241E-3</c:v>
                </c:pt>
                <c:pt idx="7">
                  <c:v>1.0843181290344525E-2</c:v>
                </c:pt>
                <c:pt idx="8">
                  <c:v>2.4945155029644981E-2</c:v>
                </c:pt>
                <c:pt idx="9">
                  <c:v>4.8027722146841395E-2</c:v>
                </c:pt>
                <c:pt idx="10">
                  <c:v>8.1572788669140167E-2</c:v>
                </c:pt>
                <c:pt idx="11">
                  <c:v>0.12640476484161883</c:v>
                </c:pt>
                <c:pt idx="12">
                  <c:v>0.18278143975364858</c:v>
                </c:pt>
                <c:pt idx="13">
                  <c:v>0.25052652622516847</c:v>
                </c:pt>
                <c:pt idx="14">
                  <c:v>0.32915976764546157</c:v>
                </c:pt>
                <c:pt idx="15">
                  <c:v>0.41800633831021083</c:v>
                </c:pt>
                <c:pt idx="16">
                  <c:v>0.51628126442245481</c:v>
                </c:pt>
                <c:pt idx="17">
                  <c:v>0.62315088709307331</c:v>
                </c:pt>
                <c:pt idx="18">
                  <c:v>0.73777553911847416</c:v>
                </c:pt>
                <c:pt idx="19">
                  <c:v>0.85933781396658271</c:v>
                </c:pt>
                <c:pt idx="20">
                  <c:v>0.98706024258747227</c:v>
                </c:pt>
                <c:pt idx="21">
                  <c:v>1.1202154257685273</c:v>
                </c:pt>
                <c:pt idx="22">
                  <c:v>1.2581309380723842</c:v>
                </c:pt>
                <c:pt idx="23">
                  <c:v>1.4001907075995634</c:v>
                </c:pt>
                <c:pt idx="24">
                  <c:v>1.545834096994994</c:v>
                </c:pt>
                <c:pt idx="25">
                  <c:v>1.6945535506565839</c:v>
                </c:pt>
                <c:pt idx="26">
                  <c:v>1.8458914084827742</c:v>
                </c:pt>
                <c:pt idx="27">
                  <c:v>1.9994362956236285</c:v>
                </c:pt>
                <c:pt idx="28">
                  <c:v>2.1548193618602296</c:v>
                </c:pt>
                <c:pt idx="29">
                  <c:v>2.3117105486527345</c:v>
                </c:pt>
                <c:pt idx="30">
                  <c:v>2.4698149953565629</c:v>
                </c:pt>
                <c:pt idx="31">
                  <c:v>2.6288696503091469</c:v>
                </c:pt>
                <c:pt idx="32">
                  <c:v>2.7886401213890086</c:v>
                </c:pt>
                <c:pt idx="33">
                  <c:v>2.9489177798872563</c:v>
                </c:pt>
                <c:pt idx="34">
                  <c:v>3.1095171179925534</c:v>
                </c:pt>
                <c:pt idx="35">
                  <c:v>3.2702733516593567</c:v>
                </c:pt>
                <c:pt idx="36">
                  <c:v>3.4310402555384982</c:v>
                </c:pt>
                <c:pt idx="37">
                  <c:v>3.5916882138957047</c:v>
                </c:pt>
                <c:pt idx="38">
                  <c:v>3.7521024702532095</c:v>
                </c:pt>
                <c:pt idx="39">
                  <c:v>3.9121815583228567</c:v>
                </c:pt>
                <c:pt idx="40">
                  <c:v>4.0718358972813773</c:v>
                </c:pt>
                <c:pt idx="41">
                  <c:v>4.2309865353128968</c:v>
                </c:pt>
                <c:pt idx="42">
                  <c:v>4.3895640264344378</c:v>
                </c:pt>
                <c:pt idx="43">
                  <c:v>4.5475074268102986</c:v>
                </c:pt>
                <c:pt idx="44">
                  <c:v>4.7047633979727159</c:v>
                </c:pt>
                <c:pt idx="45">
                  <c:v>4.8612854055502819</c:v>
                </c:pt>
                <c:pt idx="46">
                  <c:v>5.017033003231842</c:v>
                </c:pt>
                <c:pt idx="47">
                  <c:v>5.1719711927450467</c:v>
                </c:pt>
                <c:pt idx="48">
                  <c:v>5.3260698515974907</c:v>
                </c:pt>
                <c:pt idx="49">
                  <c:v>5.4793032212118753</c:v>
                </c:pt>
                <c:pt idx="50">
                  <c:v>5.6316494488868054</c:v>
                </c:pt>
                <c:pt idx="51">
                  <c:v>5.7830901777350201</c:v>
                </c:pt>
                <c:pt idx="52">
                  <c:v>5.9336101793967524</c:v>
                </c:pt>
              </c:numCache>
            </c:numRef>
          </c:yVal>
          <c:smooth val="1"/>
        </c:ser>
        <c:ser>
          <c:idx val="1"/>
          <c:order val="1"/>
          <c:tx>
            <c:v>44  ATM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xVal>
          <c:yVal>
            <c:numRef>
              <c:f>vega!$Y$3:$Y$55</c:f>
              <c:numCache>
                <c:formatCode>General</c:formatCode>
                <c:ptCount val="53"/>
                <c:pt idx="0">
                  <c:v>0.17553418302758694</c:v>
                </c:pt>
                <c:pt idx="1">
                  <c:v>1.763674312204734</c:v>
                </c:pt>
                <c:pt idx="2">
                  <c:v>2.4874349468350987</c:v>
                </c:pt>
                <c:pt idx="3">
                  <c:v>3.0432172077112103</c:v>
                </c:pt>
                <c:pt idx="4">
                  <c:v>3.5117038987048876</c:v>
                </c:pt>
                <c:pt idx="5">
                  <c:v>3.9242852377117603</c:v>
                </c:pt>
                <c:pt idx="6">
                  <c:v>4.2970948502175643</c:v>
                </c:pt>
                <c:pt idx="7">
                  <c:v>4.6397300524478231</c:v>
                </c:pt>
                <c:pt idx="8">
                  <c:v>4.9584502782536326</c:v>
                </c:pt>
                <c:pt idx="9">
                  <c:v>5.2576067624845955</c:v>
                </c:pt>
                <c:pt idx="10">
                  <c:v>5.5403696798543942</c:v>
                </c:pt>
                <c:pt idx="11">
                  <c:v>5.8091336041596584</c:v>
                </c:pt>
                <c:pt idx="12">
                  <c:v>6.0657598122283218</c:v>
                </c:pt>
                <c:pt idx="13">
                  <c:v>6.3117291529536876</c:v>
                </c:pt>
                <c:pt idx="14">
                  <c:v>6.5482427975931525</c:v>
                </c:pt>
                <c:pt idx="15">
                  <c:v>6.7762910732719996</c:v>
                </c:pt>
                <c:pt idx="16">
                  <c:v>6.9967019317271628</c:v>
                </c:pt>
                <c:pt idx="17">
                  <c:v>7.2101759667041856</c:v>
                </c:pt>
                <c:pt idx="18">
                  <c:v>7.4173122797950555</c:v>
                </c:pt>
                <c:pt idx="19">
                  <c:v>7.6186279587373553</c:v>
                </c:pt>
                <c:pt idx="20">
                  <c:v>7.8145729966011217</c:v>
                </c:pt>
                <c:pt idx="21">
                  <c:v>8.0055418921344348</c:v>
                </c:pt>
                <c:pt idx="22">
                  <c:v>8.1918827914536649</c:v>
                </c:pt>
                <c:pt idx="23">
                  <c:v>8.373904779562551</c:v>
                </c:pt>
                <c:pt idx="24">
                  <c:v>8.5518837598255377</c:v>
                </c:pt>
                <c:pt idx="25">
                  <c:v>8.7260672419361924</c:v>
                </c:pt>
                <c:pt idx="26">
                  <c:v>8.8966782763137893</c:v>
                </c:pt>
                <c:pt idx="27">
                  <c:v>9.0639187138863981</c:v>
                </c:pt>
                <c:pt idx="28">
                  <c:v>9.2279719274944014</c:v>
                </c:pt>
                <c:pt idx="29">
                  <c:v>9.3890050997786432</c:v>
                </c:pt>
                <c:pt idx="30">
                  <c:v>9.5471711590985961</c:v>
                </c:pt>
                <c:pt idx="31">
                  <c:v>9.702610427493628</c:v>
                </c:pt>
                <c:pt idx="32">
                  <c:v>9.8554520313789258</c:v>
                </c:pt>
                <c:pt idx="33">
                  <c:v>10.005815115446282</c:v>
                </c:pt>
                <c:pt idx="34">
                  <c:v>10.153809892325492</c:v>
                </c:pt>
                <c:pt idx="35">
                  <c:v>10.299538554381787</c:v>
                </c:pt>
                <c:pt idx="36">
                  <c:v>10.44309606915979</c:v>
                </c:pt>
                <c:pt idx="37">
                  <c:v>10.584570876126749</c:v>
                </c:pt>
                <c:pt idx="38">
                  <c:v>10.724045499286799</c:v>
                </c:pt>
                <c:pt idx="39">
                  <c:v>10.861597087761631</c:v>
                </c:pt>
                <c:pt idx="40">
                  <c:v>10.997297894429568</c:v>
                </c:pt>
                <c:pt idx="41">
                  <c:v>11.131215701085354</c:v>
                </c:pt>
                <c:pt idx="42">
                  <c:v>11.263414197249368</c:v>
                </c:pt>
                <c:pt idx="43">
                  <c:v>11.393953318658403</c:v>
                </c:pt>
                <c:pt idx="44">
                  <c:v>11.522889550563542</c:v>
                </c:pt>
                <c:pt idx="45">
                  <c:v>11.650276200207919</c:v>
                </c:pt>
                <c:pt idx="46">
                  <c:v>11.776163642228955</c:v>
                </c:pt>
                <c:pt idx="47">
                  <c:v>11.900599540203645</c:v>
                </c:pt>
                <c:pt idx="48">
                  <c:v>12.023629047112641</c:v>
                </c:pt>
                <c:pt idx="49">
                  <c:v>12.145294987125045</c:v>
                </c:pt>
                <c:pt idx="50">
                  <c:v>12.265638020788989</c:v>
                </c:pt>
                <c:pt idx="51">
                  <c:v>12.384696795443253</c:v>
                </c:pt>
                <c:pt idx="52">
                  <c:v>12.50250808243519</c:v>
                </c:pt>
              </c:numCache>
            </c:numRef>
          </c:yVal>
          <c:smooth val="1"/>
        </c:ser>
        <c:ser>
          <c:idx val="2"/>
          <c:order val="2"/>
          <c:tx>
            <c:v>50  ITM</c:v>
          </c:tx>
          <c:spPr>
            <a:ln w="19050" cap="rnd">
              <a:solidFill>
                <a:srgbClr val="42AC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AC8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vega!$J$3:$J$55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xVal>
          <c:yVal>
            <c:numRef>
              <c:f>vega!$AK$3:$AK$55</c:f>
              <c:numCache>
                <c:formatCode>General</c:formatCode>
                <c:ptCount val="53"/>
                <c:pt idx="0">
                  <c:v>0</c:v>
                </c:pt>
                <c:pt idx="1">
                  <c:v>2.6267711899149447E-21</c:v>
                </c:pt>
                <c:pt idx="2">
                  <c:v>8.1577132767415149E-11</c:v>
                </c:pt>
                <c:pt idx="3">
                  <c:v>2.9489106191959762E-7</c:v>
                </c:pt>
                <c:pt idx="4">
                  <c:v>1.8682278693153135E-5</c:v>
                </c:pt>
                <c:pt idx="5">
                  <c:v>2.3163884515646705E-4</c:v>
                </c:pt>
                <c:pt idx="6">
                  <c:v>1.2634692487685315E-3</c:v>
                </c:pt>
                <c:pt idx="7">
                  <c:v>4.2979948846755493E-3</c:v>
                </c:pt>
                <c:pt idx="8">
                  <c:v>1.0865814276571807E-2</c:v>
                </c:pt>
                <c:pt idx="9">
                  <c:v>2.2513411230848619E-2</c:v>
                </c:pt>
                <c:pt idx="10">
                  <c:v>4.0550815093251383E-2</c:v>
                </c:pt>
                <c:pt idx="11">
                  <c:v>6.5930995517305149E-2</c:v>
                </c:pt>
                <c:pt idx="12">
                  <c:v>9.9232615134505528E-2</c:v>
                </c:pt>
                <c:pt idx="13">
                  <c:v>0.14070124474438392</c:v>
                </c:pt>
                <c:pt idx="14">
                  <c:v>0.19031421398876788</c:v>
                </c:pt>
                <c:pt idx="15">
                  <c:v>0.24784834402261069</c:v>
                </c:pt>
                <c:pt idx="16">
                  <c:v>0.3129404587671894</c:v>
                </c:pt>
                <c:pt idx="17">
                  <c:v>0.38513703651249481</c:v>
                </c:pt>
                <c:pt idx="18">
                  <c:v>0.46393275147295604</c:v>
                </c:pt>
                <c:pt idx="19">
                  <c:v>0.54879916519254723</c:v>
                </c:pt>
                <c:pt idx="20">
                  <c:v>0.63920531786216539</c:v>
                </c:pt>
                <c:pt idx="21">
                  <c:v>0.73463196214963988</c:v>
                </c:pt>
                <c:pt idx="22">
                  <c:v>0.83458096652455627</c:v>
                </c:pt>
                <c:pt idx="23">
                  <c:v>0.93858113936386922</c:v>
                </c:pt>
                <c:pt idx="24">
                  <c:v>1.046191458240767</c:v>
                </c:pt>
                <c:pt idx="25">
                  <c:v>1.1570024579648006</c:v>
                </c:pt>
                <c:pt idx="26">
                  <c:v>1.2706363428803575</c:v>
                </c:pt>
                <c:pt idx="27">
                  <c:v>1.3867462411734852</c:v>
                </c:pt>
                <c:pt idx="28">
                  <c:v>1.5050149055862301</c:v>
                </c:pt>
                <c:pt idx="29">
                  <c:v>1.6251530794295035</c:v>
                </c:pt>
                <c:pt idx="30">
                  <c:v>1.7468976830871905</c:v>
                </c:pt>
                <c:pt idx="31">
                  <c:v>1.8700099292302033</c:v>
                </c:pt>
                <c:pt idx="32">
                  <c:v>1.9942734406227531</c:v>
                </c:pt>
                <c:pt idx="33">
                  <c:v>2.1194924195153217</c:v>
                </c:pt>
                <c:pt idx="34">
                  <c:v>2.2454898997384887</c:v>
                </c:pt>
                <c:pt idx="35">
                  <c:v>2.3721060998947685</c:v>
                </c:pt>
                <c:pt idx="36">
                  <c:v>2.4991968871110171</c:v>
                </c:pt>
                <c:pt idx="37">
                  <c:v>2.6266323546357859</c:v>
                </c:pt>
                <c:pt idx="38">
                  <c:v>2.7542955123845236</c:v>
                </c:pt>
                <c:pt idx="39">
                  <c:v>2.8820810867919278</c:v>
                </c:pt>
                <c:pt idx="40">
                  <c:v>3.0098944246143113</c:v>
                </c:pt>
                <c:pt idx="41">
                  <c:v>3.1376504943357006</c:v>
                </c:pt>
                <c:pt idx="42">
                  <c:v>3.2652729783504499</c:v>
                </c:pt>
                <c:pt idx="43">
                  <c:v>3.392693448964013</c:v>
                </c:pt>
                <c:pt idx="44">
                  <c:v>3.5198506213571941</c:v>
                </c:pt>
                <c:pt idx="45">
                  <c:v>3.6466896769154711</c:v>
                </c:pt>
                <c:pt idx="46">
                  <c:v>3.77316165067508</c:v>
                </c:pt>
                <c:pt idx="47">
                  <c:v>3.8992228770400512</c:v>
                </c:pt>
                <c:pt idx="48">
                  <c:v>4.0248344883503879</c:v>
                </c:pt>
                <c:pt idx="49">
                  <c:v>4.1499619613113445</c:v>
                </c:pt>
                <c:pt idx="50">
                  <c:v>4.2745747067141204</c:v>
                </c:pt>
                <c:pt idx="51">
                  <c:v>4.3986456982807134</c:v>
                </c:pt>
                <c:pt idx="52">
                  <c:v>4.5221511368451281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3672896"/>
        <c:axId val="-1103678336"/>
      </c:scatterChart>
      <c:valAx>
        <c:axId val="-110367289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</a:t>
                </a:r>
              </a:p>
            </c:rich>
          </c:tx>
          <c:layout>
            <c:manualLayout>
              <c:xMode val="edge"/>
              <c:yMode val="edge"/>
              <c:x val="0.45405766294422323"/>
              <c:y val="0.94265139934431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8336"/>
        <c:crosses val="autoZero"/>
        <c:crossBetween val="midCat"/>
      </c:valAx>
      <c:valAx>
        <c:axId val="-1103678336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Вега</a:t>
                </a:r>
              </a:p>
            </c:rich>
          </c:tx>
          <c:layout>
            <c:manualLayout>
              <c:xMode val="edge"/>
              <c:yMode val="edge"/>
              <c:x val="1.2674271229404309E-2"/>
              <c:y val="0.44668685645063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34941069628649"/>
          <c:y val="0.7366523415342312"/>
          <c:w val="0.15520952466493018"/>
          <c:h val="0.12096858860384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22703412073487E-2"/>
          <c:y val="3.5499427813551074E-2"/>
          <c:w val="0.87021062992125986"/>
          <c:h val="0.82031926326640403"/>
        </c:manualLayout>
      </c:layout>
      <c:scatterChart>
        <c:scatterStyle val="smoothMarker"/>
        <c:varyColors val="0"/>
        <c:ser>
          <c:idx val="0"/>
          <c:order val="0"/>
          <c:tx>
            <c:v> t  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vega!$K$2:$AK$2</c:f>
              <c:numCache>
                <c:formatCode>General</c:formatCode>
                <c:ptCount val="27"/>
                <c:pt idx="0">
                  <c:v>37</c:v>
                </c:pt>
                <c:pt idx="1">
                  <c:v>37.5</c:v>
                </c:pt>
                <c:pt idx="2">
                  <c:v>38</c:v>
                </c:pt>
                <c:pt idx="3">
                  <c:v>38.5</c:v>
                </c:pt>
                <c:pt idx="4">
                  <c:v>39</c:v>
                </c:pt>
                <c:pt idx="5">
                  <c:v>39.5</c:v>
                </c:pt>
                <c:pt idx="6">
                  <c:v>40</c:v>
                </c:pt>
                <c:pt idx="7">
                  <c:v>40.5</c:v>
                </c:pt>
                <c:pt idx="8">
                  <c:v>41</c:v>
                </c:pt>
                <c:pt idx="9">
                  <c:v>41.5</c:v>
                </c:pt>
                <c:pt idx="10">
                  <c:v>42</c:v>
                </c:pt>
                <c:pt idx="11">
                  <c:v>42.5</c:v>
                </c:pt>
                <c:pt idx="12">
                  <c:v>43</c:v>
                </c:pt>
                <c:pt idx="13">
                  <c:v>43.5</c:v>
                </c:pt>
                <c:pt idx="14">
                  <c:v>44</c:v>
                </c:pt>
                <c:pt idx="15">
                  <c:v>44.5</c:v>
                </c:pt>
                <c:pt idx="16">
                  <c:v>45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47</c:v>
                </c:pt>
                <c:pt idx="21">
                  <c:v>47.5</c:v>
                </c:pt>
                <c:pt idx="22">
                  <c:v>48</c:v>
                </c:pt>
                <c:pt idx="23">
                  <c:v>48.5</c:v>
                </c:pt>
                <c:pt idx="24">
                  <c:v>49</c:v>
                </c:pt>
                <c:pt idx="25">
                  <c:v>49.5</c:v>
                </c:pt>
                <c:pt idx="26">
                  <c:v>50</c:v>
                </c:pt>
              </c:numCache>
            </c:numRef>
          </c:xVal>
          <c:yVal>
            <c:numRef>
              <c:f>vega!$K$3:$AK$3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1.5578914029160286E-279</c:v>
                </c:pt>
                <c:pt idx="11">
                  <c:v>4.6827372539959358E-156</c:v>
                </c:pt>
                <c:pt idx="12">
                  <c:v>2.1987847974247206E-69</c:v>
                </c:pt>
                <c:pt idx="13">
                  <c:v>2.9180153261235143E-18</c:v>
                </c:pt>
                <c:pt idx="14">
                  <c:v>0.17553418302758694</c:v>
                </c:pt>
                <c:pt idx="15">
                  <c:v>6.8466185997103664E-18</c:v>
                </c:pt>
                <c:pt idx="16">
                  <c:v>2.2219786361132552E-66</c:v>
                </c:pt>
                <c:pt idx="17">
                  <c:v>6.9448435800618513E-146</c:v>
                </c:pt>
                <c:pt idx="18">
                  <c:v>2.1936902140998242E-255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 t  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vega!$K$2:$AK$2</c:f>
              <c:numCache>
                <c:formatCode>General</c:formatCode>
                <c:ptCount val="27"/>
                <c:pt idx="0">
                  <c:v>37</c:v>
                </c:pt>
                <c:pt idx="1">
                  <c:v>37.5</c:v>
                </c:pt>
                <c:pt idx="2">
                  <c:v>38</c:v>
                </c:pt>
                <c:pt idx="3">
                  <c:v>38.5</c:v>
                </c:pt>
                <c:pt idx="4">
                  <c:v>39</c:v>
                </c:pt>
                <c:pt idx="5">
                  <c:v>39.5</c:v>
                </c:pt>
                <c:pt idx="6">
                  <c:v>40</c:v>
                </c:pt>
                <c:pt idx="7">
                  <c:v>40.5</c:v>
                </c:pt>
                <c:pt idx="8">
                  <c:v>41</c:v>
                </c:pt>
                <c:pt idx="9">
                  <c:v>41.5</c:v>
                </c:pt>
                <c:pt idx="10">
                  <c:v>42</c:v>
                </c:pt>
                <c:pt idx="11">
                  <c:v>42.5</c:v>
                </c:pt>
                <c:pt idx="12">
                  <c:v>43</c:v>
                </c:pt>
                <c:pt idx="13">
                  <c:v>43.5</c:v>
                </c:pt>
                <c:pt idx="14">
                  <c:v>44</c:v>
                </c:pt>
                <c:pt idx="15">
                  <c:v>44.5</c:v>
                </c:pt>
                <c:pt idx="16">
                  <c:v>45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47</c:v>
                </c:pt>
                <c:pt idx="21">
                  <c:v>47.5</c:v>
                </c:pt>
                <c:pt idx="22">
                  <c:v>48</c:v>
                </c:pt>
                <c:pt idx="23">
                  <c:v>48.5</c:v>
                </c:pt>
                <c:pt idx="24">
                  <c:v>49</c:v>
                </c:pt>
                <c:pt idx="25">
                  <c:v>49.5</c:v>
                </c:pt>
                <c:pt idx="26">
                  <c:v>50</c:v>
                </c:pt>
              </c:numCache>
            </c:numRef>
          </c:xVal>
          <c:yVal>
            <c:numRef>
              <c:f>vega!$K$7:$AK$7</c:f>
              <c:numCache>
                <c:formatCode>General</c:formatCode>
                <c:ptCount val="27"/>
                <c:pt idx="0">
                  <c:v>9.4813079792810029E-10</c:v>
                </c:pt>
                <c:pt idx="1">
                  <c:v>2.544769402806455E-8</c:v>
                </c:pt>
                <c:pt idx="2">
                  <c:v>5.0387392447108406E-7</c:v>
                </c:pt>
                <c:pt idx="3">
                  <c:v>7.4441037835744165E-6</c:v>
                </c:pt>
                <c:pt idx="4">
                  <c:v>8.2949840454067271E-5</c:v>
                </c:pt>
                <c:pt idx="5">
                  <c:v>7.0438738746410529E-4</c:v>
                </c:pt>
                <c:pt idx="6">
                  <c:v>4.6033890830482925E-3</c:v>
                </c:pt>
                <c:pt idx="7">
                  <c:v>2.3372189269330799E-2</c:v>
                </c:pt>
                <c:pt idx="8">
                  <c:v>9.3021017296667716E-2</c:v>
                </c:pt>
                <c:pt idx="9">
                  <c:v>0.29272236483015374</c:v>
                </c:pt>
                <c:pt idx="10">
                  <c:v>0.73433634779303791</c:v>
                </c:pt>
                <c:pt idx="11">
                  <c:v>1.4801859741418171</c:v>
                </c:pt>
                <c:pt idx="12">
                  <c:v>2.4154179638812132</c:v>
                </c:pt>
                <c:pt idx="13">
                  <c:v>3.2140898522202539</c:v>
                </c:pt>
                <c:pt idx="14">
                  <c:v>3.5117038987048876</c:v>
                </c:pt>
                <c:pt idx="15">
                  <c:v>3.1714108677494472</c:v>
                </c:pt>
                <c:pt idx="16">
                  <c:v>2.3824559691228164</c:v>
                </c:pt>
                <c:pt idx="17">
                  <c:v>1.4979120898116023</c:v>
                </c:pt>
                <c:pt idx="18">
                  <c:v>0.79283352047846645</c:v>
                </c:pt>
                <c:pt idx="19">
                  <c:v>0.35526803838533716</c:v>
                </c:pt>
                <c:pt idx="20">
                  <c:v>0.13550549760571354</c:v>
                </c:pt>
                <c:pt idx="21">
                  <c:v>4.4222277576227979E-2</c:v>
                </c:pt>
                <c:pt idx="22">
                  <c:v>1.2410189765438409E-2</c:v>
                </c:pt>
                <c:pt idx="23">
                  <c:v>3.0092316798707693E-3</c:v>
                </c:pt>
                <c:pt idx="24">
                  <c:v>6.3340341943424249E-4</c:v>
                </c:pt>
                <c:pt idx="25">
                  <c:v>1.1624787832774013E-4</c:v>
                </c:pt>
                <c:pt idx="26">
                  <c:v>1.8682278693153135E-5</c:v>
                </c:pt>
              </c:numCache>
            </c:numRef>
          </c:yVal>
          <c:smooth val="1"/>
        </c:ser>
        <c:ser>
          <c:idx val="2"/>
          <c:order val="2"/>
          <c:tx>
            <c:v> t 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vega!$K$2:$AK$2</c:f>
              <c:numCache>
                <c:formatCode>General</c:formatCode>
                <c:ptCount val="27"/>
                <c:pt idx="0">
                  <c:v>37</c:v>
                </c:pt>
                <c:pt idx="1">
                  <c:v>37.5</c:v>
                </c:pt>
                <c:pt idx="2">
                  <c:v>38</c:v>
                </c:pt>
                <c:pt idx="3">
                  <c:v>38.5</c:v>
                </c:pt>
                <c:pt idx="4">
                  <c:v>39</c:v>
                </c:pt>
                <c:pt idx="5">
                  <c:v>39.5</c:v>
                </c:pt>
                <c:pt idx="6">
                  <c:v>40</c:v>
                </c:pt>
                <c:pt idx="7">
                  <c:v>40.5</c:v>
                </c:pt>
                <c:pt idx="8">
                  <c:v>41</c:v>
                </c:pt>
                <c:pt idx="9">
                  <c:v>41.5</c:v>
                </c:pt>
                <c:pt idx="10">
                  <c:v>42</c:v>
                </c:pt>
                <c:pt idx="11">
                  <c:v>42.5</c:v>
                </c:pt>
                <c:pt idx="12">
                  <c:v>43</c:v>
                </c:pt>
                <c:pt idx="13">
                  <c:v>43.5</c:v>
                </c:pt>
                <c:pt idx="14">
                  <c:v>44</c:v>
                </c:pt>
                <c:pt idx="15">
                  <c:v>44.5</c:v>
                </c:pt>
                <c:pt idx="16">
                  <c:v>45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47</c:v>
                </c:pt>
                <c:pt idx="21">
                  <c:v>47.5</c:v>
                </c:pt>
                <c:pt idx="22">
                  <c:v>48</c:v>
                </c:pt>
                <c:pt idx="23">
                  <c:v>48.5</c:v>
                </c:pt>
                <c:pt idx="24">
                  <c:v>49</c:v>
                </c:pt>
                <c:pt idx="25">
                  <c:v>49.5</c:v>
                </c:pt>
                <c:pt idx="26">
                  <c:v>50</c:v>
                </c:pt>
              </c:numCache>
            </c:numRef>
          </c:xVal>
          <c:yVal>
            <c:numRef>
              <c:f>vega!$K$12:$AK$12</c:f>
              <c:numCache>
                <c:formatCode>General</c:formatCode>
                <c:ptCount val="27"/>
                <c:pt idx="0">
                  <c:v>3.0952434530980304E-4</c:v>
                </c:pt>
                <c:pt idx="1">
                  <c:v>1.3316137811474683E-3</c:v>
                </c:pt>
                <c:pt idx="2">
                  <c:v>5.0037485110091262E-3</c:v>
                </c:pt>
                <c:pt idx="3">
                  <c:v>1.6505816971694124E-2</c:v>
                </c:pt>
                <c:pt idx="4">
                  <c:v>4.8027722146841395E-2</c:v>
                </c:pt>
                <c:pt idx="5">
                  <c:v>0.12383792237009343</c:v>
                </c:pt>
                <c:pt idx="6">
                  <c:v>0.28420058627469225</c:v>
                </c:pt>
                <c:pt idx="7">
                  <c:v>0.58293961306974584</c:v>
                </c:pt>
                <c:pt idx="8">
                  <c:v>1.072967357454641</c:v>
                </c:pt>
                <c:pt idx="9">
                  <c:v>1.7789947448836745</c:v>
                </c:pt>
                <c:pt idx="10">
                  <c:v>2.6667164279611297</c:v>
                </c:pt>
                <c:pt idx="11">
                  <c:v>3.6267164688196929</c:v>
                </c:pt>
                <c:pt idx="12">
                  <c:v>4.4899440988022992</c:v>
                </c:pt>
                <c:pt idx="13">
                  <c:v>5.0763732767410596</c:v>
                </c:pt>
                <c:pt idx="14">
                  <c:v>5.2576067624845955</c:v>
                </c:pt>
                <c:pt idx="15">
                  <c:v>5.0029496694596718</c:v>
                </c:pt>
                <c:pt idx="16">
                  <c:v>4.3862853539129523</c:v>
                </c:pt>
                <c:pt idx="17">
                  <c:v>3.5528746267786633</c:v>
                </c:pt>
                <c:pt idx="18">
                  <c:v>2.6656765111248082</c:v>
                </c:pt>
                <c:pt idx="19">
                  <c:v>1.8572354638925979</c:v>
                </c:pt>
                <c:pt idx="20">
                  <c:v>1.2044897829866494</c:v>
                </c:pt>
                <c:pt idx="21">
                  <c:v>0.7288193599263546</c:v>
                </c:pt>
                <c:pt idx="22">
                  <c:v>0.41236573561692413</c:v>
                </c:pt>
                <c:pt idx="23">
                  <c:v>0.218634901857542</c:v>
                </c:pt>
                <c:pt idx="24">
                  <c:v>0.10884884841833563</c:v>
                </c:pt>
                <c:pt idx="25">
                  <c:v>5.0986504414320719E-2</c:v>
                </c:pt>
                <c:pt idx="26">
                  <c:v>2.2513411230848619E-2</c:v>
                </c:pt>
              </c:numCache>
            </c:numRef>
          </c:yVal>
          <c:smooth val="1"/>
        </c:ser>
        <c:ser>
          <c:idx val="3"/>
          <c:order val="3"/>
          <c:tx>
            <c:v> t  0.25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vega!$K$2:$AK$2</c:f>
              <c:numCache>
                <c:formatCode>General</c:formatCode>
                <c:ptCount val="27"/>
                <c:pt idx="0">
                  <c:v>37</c:v>
                </c:pt>
                <c:pt idx="1">
                  <c:v>37.5</c:v>
                </c:pt>
                <c:pt idx="2">
                  <c:v>38</c:v>
                </c:pt>
                <c:pt idx="3">
                  <c:v>38.5</c:v>
                </c:pt>
                <c:pt idx="4">
                  <c:v>39</c:v>
                </c:pt>
                <c:pt idx="5">
                  <c:v>39.5</c:v>
                </c:pt>
                <c:pt idx="6">
                  <c:v>40</c:v>
                </c:pt>
                <c:pt idx="7">
                  <c:v>40.5</c:v>
                </c:pt>
                <c:pt idx="8">
                  <c:v>41</c:v>
                </c:pt>
                <c:pt idx="9">
                  <c:v>41.5</c:v>
                </c:pt>
                <c:pt idx="10">
                  <c:v>42</c:v>
                </c:pt>
                <c:pt idx="11">
                  <c:v>42.5</c:v>
                </c:pt>
                <c:pt idx="12">
                  <c:v>43</c:v>
                </c:pt>
                <c:pt idx="13">
                  <c:v>43.5</c:v>
                </c:pt>
                <c:pt idx="14">
                  <c:v>44</c:v>
                </c:pt>
                <c:pt idx="15">
                  <c:v>44.5</c:v>
                </c:pt>
                <c:pt idx="16">
                  <c:v>45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47</c:v>
                </c:pt>
                <c:pt idx="21">
                  <c:v>47.5</c:v>
                </c:pt>
                <c:pt idx="22">
                  <c:v>48</c:v>
                </c:pt>
                <c:pt idx="23">
                  <c:v>48.5</c:v>
                </c:pt>
                <c:pt idx="24">
                  <c:v>49</c:v>
                </c:pt>
                <c:pt idx="25">
                  <c:v>49.5</c:v>
                </c:pt>
                <c:pt idx="26">
                  <c:v>50</c:v>
                </c:pt>
              </c:numCache>
            </c:numRef>
          </c:xVal>
          <c:yVal>
            <c:numRef>
              <c:f>vega!$K$27:$AK$27</c:f>
              <c:numCache>
                <c:formatCode>General</c:formatCode>
                <c:ptCount val="27"/>
                <c:pt idx="0">
                  <c:v>0.23812519964901221</c:v>
                </c:pt>
                <c:pt idx="1">
                  <c:v>0.40936677094625545</c:v>
                </c:pt>
                <c:pt idx="2">
                  <c:v>0.66895997692856801</c:v>
                </c:pt>
                <c:pt idx="3">
                  <c:v>1.041092209563272</c:v>
                </c:pt>
                <c:pt idx="4">
                  <c:v>1.545834096994994</c:v>
                </c:pt>
                <c:pt idx="5">
                  <c:v>2.1936553631874465</c:v>
                </c:pt>
                <c:pt idx="6">
                  <c:v>2.9800192913734143</c:v>
                </c:pt>
                <c:pt idx="7">
                  <c:v>3.8814702780678632</c:v>
                </c:pt>
                <c:pt idx="8">
                  <c:v>4.8545737541798255</c:v>
                </c:pt>
                <c:pt idx="9">
                  <c:v>5.8385656162996913</c:v>
                </c:pt>
                <c:pt idx="10">
                  <c:v>6.7617172134596135</c:v>
                </c:pt>
                <c:pt idx="11">
                  <c:v>7.5504632094115207</c:v>
                </c:pt>
                <c:pt idx="12">
                  <c:v>8.1395743002870073</c:v>
                </c:pt>
                <c:pt idx="13">
                  <c:v>8.4813323822429627</c:v>
                </c:pt>
                <c:pt idx="14">
                  <c:v>8.5518837598255377</c:v>
                </c:pt>
                <c:pt idx="15">
                  <c:v>8.3536287151979103</c:v>
                </c:pt>
                <c:pt idx="16">
                  <c:v>7.913433717532512</c:v>
                </c:pt>
                <c:pt idx="17">
                  <c:v>7.2773507410207943</c:v>
                </c:pt>
                <c:pt idx="18">
                  <c:v>6.5031622881534403</c:v>
                </c:pt>
                <c:pt idx="19">
                  <c:v>5.6523155371329361</c:v>
                </c:pt>
                <c:pt idx="20">
                  <c:v>4.7826684942621984</c:v>
                </c:pt>
                <c:pt idx="21">
                  <c:v>3.9430523427606712</c:v>
                </c:pt>
                <c:pt idx="22">
                  <c:v>3.1701146759154111</c:v>
                </c:pt>
                <c:pt idx="23">
                  <c:v>2.4873993737970119</c:v>
                </c:pt>
                <c:pt idx="24">
                  <c:v>1.9062460088426725</c:v>
                </c:pt>
                <c:pt idx="25">
                  <c:v>1.427898825178131</c:v>
                </c:pt>
                <c:pt idx="26">
                  <c:v>1.046191458240767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3667456"/>
        <c:axId val="-1103668000"/>
      </c:scatterChart>
      <c:valAx>
        <c:axId val="-1103667456"/>
        <c:scaling>
          <c:orientation val="minMax"/>
          <c:min val="36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Цена базового актива</a:t>
                </a:r>
                <a:endParaRPr lang="ru-RU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68000"/>
        <c:crosses val="autoZero"/>
        <c:crossBetween val="midCat"/>
      </c:valAx>
      <c:valAx>
        <c:axId val="-1103668000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Вега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67456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2495625546808"/>
          <c:y val="0.11429316127150772"/>
          <c:w val="0.14202490646116045"/>
          <c:h val="0.2764995865033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27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053608108560081E-2"/>
          <c:y val="3.9902679103282768E-2"/>
          <c:w val="0.93721310305602057"/>
          <c:h val="0.92538432695913009"/>
        </c:manualLayout>
      </c:layout>
      <c:surface3DChart>
        <c:wireframe val="0"/>
        <c:ser>
          <c:idx val="0"/>
          <c:order val="0"/>
          <c:tx>
            <c:strRef>
              <c:f>'n(d1)'!$K$2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'n(d1)'!$K$3:$K$17</c:f>
              <c:numCache>
                <c:formatCode>General</c:formatCode>
                <c:ptCount val="15"/>
                <c:pt idx="0">
                  <c:v>7.5545156741982031E-7</c:v>
                </c:pt>
                <c:pt idx="1">
                  <c:v>5.8179535218330441E-4</c:v>
                </c:pt>
                <c:pt idx="2">
                  <c:v>5.3319214667716741E-3</c:v>
                </c:pt>
                <c:pt idx="3">
                  <c:v>1.6139300569707318E-2</c:v>
                </c:pt>
                <c:pt idx="4">
                  <c:v>3.1364665697194809E-2</c:v>
                </c:pt>
                <c:pt idx="5">
                  <c:v>4.8839826213342187E-2</c:v>
                </c:pt>
                <c:pt idx="6">
                  <c:v>6.7007477260845216E-2</c:v>
                </c:pt>
                <c:pt idx="7">
                  <c:v>8.4939019739097829E-2</c:v>
                </c:pt>
                <c:pt idx="8">
                  <c:v>0.10213653047431928</c:v>
                </c:pt>
                <c:pt idx="9">
                  <c:v>0.11836352025534282</c:v>
                </c:pt>
                <c:pt idx="10">
                  <c:v>0.13353383167738442</c:v>
                </c:pt>
                <c:pt idx="11">
                  <c:v>0.14764449149734402</c:v>
                </c:pt>
                <c:pt idx="12">
                  <c:v>0.16073643774154825</c:v>
                </c:pt>
                <c:pt idx="13">
                  <c:v>0.17287192940351942</c:v>
                </c:pt>
                <c:pt idx="14">
                  <c:v>0.18412173486873243</c:v>
                </c:pt>
              </c:numCache>
            </c:numRef>
          </c:val>
        </c:ser>
        <c:ser>
          <c:idx val="1"/>
          <c:order val="1"/>
          <c:tx>
            <c:strRef>
              <c:f>'n(d1)'!$L$2</c:f>
              <c:strCache>
                <c:ptCount val="1"/>
                <c:pt idx="0">
                  <c:v>47,5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'n(d1)'!$L$3:$L$17</c:f>
              <c:numCache>
                <c:formatCode>General</c:formatCode>
                <c:ptCount val="15"/>
                <c:pt idx="0">
                  <c:v>4.7360033030955616E-5</c:v>
                </c:pt>
                <c:pt idx="1">
                  <c:v>4.5607104461985451E-3</c:v>
                </c:pt>
                <c:pt idx="2">
                  <c:v>2.0900898581762049E-2</c:v>
                </c:pt>
                <c:pt idx="3">
                  <c:v>4.4737880384419421E-2</c:v>
                </c:pt>
                <c:pt idx="4">
                  <c:v>7.0621517522669888E-2</c:v>
                </c:pt>
                <c:pt idx="5">
                  <c:v>9.5735781026524094E-2</c:v>
                </c:pt>
                <c:pt idx="6">
                  <c:v>0.11896690166512947</c:v>
                </c:pt>
                <c:pt idx="7">
                  <c:v>0.14001100067855313</c:v>
                </c:pt>
                <c:pt idx="8">
                  <c:v>0.15891111055295626</c:v>
                </c:pt>
                <c:pt idx="9">
                  <c:v>0.17584322175364042</c:v>
                </c:pt>
                <c:pt idx="10">
                  <c:v>0.19102135551580227</c:v>
                </c:pt>
                <c:pt idx="11">
                  <c:v>0.20465714136063423</c:v>
                </c:pt>
                <c:pt idx="12">
                  <c:v>0.21694407854696227</c:v>
                </c:pt>
                <c:pt idx="13">
                  <c:v>0.22805284195342093</c:v>
                </c:pt>
                <c:pt idx="14">
                  <c:v>0.23813136952254541</c:v>
                </c:pt>
              </c:numCache>
            </c:numRef>
          </c:val>
        </c:ser>
        <c:ser>
          <c:idx val="2"/>
          <c:order val="2"/>
          <c:tx>
            <c:strRef>
              <c:f>'n(d1)'!$M$2</c:f>
              <c:strCache>
                <c:ptCount val="1"/>
                <c:pt idx="0">
                  <c:v>48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'n(d1)'!$M$3:$M$17</c:f>
              <c:numCache>
                <c:formatCode>General</c:formatCode>
                <c:ptCount val="15"/>
                <c:pt idx="0">
                  <c:v>1.3223819371682578E-3</c:v>
                </c:pt>
                <c:pt idx="1">
                  <c:v>2.3862172145597698E-2</c:v>
                </c:pt>
                <c:pt idx="2">
                  <c:v>6.2577751285833497E-2</c:v>
                </c:pt>
                <c:pt idx="3">
                  <c:v>0.10132559421863516</c:v>
                </c:pt>
                <c:pt idx="4">
                  <c:v>0.1352863740733653</c:v>
                </c:pt>
                <c:pt idx="5">
                  <c:v>0.16402377402845791</c:v>
                </c:pt>
                <c:pt idx="6">
                  <c:v>0.1882031482754935</c:v>
                </c:pt>
                <c:pt idx="7">
                  <c:v>0.2086359076171263</c:v>
                </c:pt>
                <c:pt idx="8">
                  <c:v>0.22603687026000524</c:v>
                </c:pt>
                <c:pt idx="9">
                  <c:v>0.24098452569974219</c:v>
                </c:pt>
                <c:pt idx="10">
                  <c:v>0.25393490539298025</c:v>
                </c:pt>
                <c:pt idx="11">
                  <c:v>0.26524559470715853</c:v>
                </c:pt>
                <c:pt idx="12">
                  <c:v>0.27519791246749226</c:v>
                </c:pt>
                <c:pt idx="13">
                  <c:v>0.28401473572532637</c:v>
                </c:pt>
                <c:pt idx="14">
                  <c:v>0.29187415313430254</c:v>
                </c:pt>
              </c:numCache>
            </c:numRef>
          </c:val>
        </c:ser>
        <c:ser>
          <c:idx val="3"/>
          <c:order val="3"/>
          <c:tx>
            <c:strRef>
              <c:f>'n(d1)'!$N$2</c:f>
              <c:strCache>
                <c:ptCount val="1"/>
                <c:pt idx="0">
                  <c:v>48,5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'n(d1)'!$N$3:$N$17</c:f>
              <c:numCache>
                <c:formatCode>General</c:formatCode>
                <c:ptCount val="15"/>
                <c:pt idx="0">
                  <c:v>1.6855777843277304E-2</c:v>
                </c:pt>
                <c:pt idx="1">
                  <c:v>8.4363666500451323E-2</c:v>
                </c:pt>
                <c:pt idx="2">
                  <c:v>0.14428348326111412</c:v>
                </c:pt>
                <c:pt idx="3">
                  <c:v>0.18866503557200776</c:v>
                </c:pt>
                <c:pt idx="4">
                  <c:v>0.22158057125062416</c:v>
                </c:pt>
                <c:pt idx="5">
                  <c:v>0.24663497295059983</c:v>
                </c:pt>
                <c:pt idx="6">
                  <c:v>0.26622785033094221</c:v>
                </c:pt>
                <c:pt idx="7">
                  <c:v>0.2819192382978799</c:v>
                </c:pt>
                <c:pt idx="8">
                  <c:v>0.29474348170012532</c:v>
                </c:pt>
                <c:pt idx="9">
                  <c:v>0.3054059494980807</c:v>
                </c:pt>
                <c:pt idx="10">
                  <c:v>0.31440137786266403</c:v>
                </c:pt>
                <c:pt idx="11">
                  <c:v>0.32208584287623221</c:v>
                </c:pt>
                <c:pt idx="12">
                  <c:v>0.32872160810821233</c:v>
                </c:pt>
                <c:pt idx="13">
                  <c:v>0.33450583722214461</c:v>
                </c:pt>
                <c:pt idx="14">
                  <c:v>0.33958946871674922</c:v>
                </c:pt>
              </c:numCache>
            </c:numRef>
          </c:val>
        </c:ser>
        <c:ser>
          <c:idx val="4"/>
          <c:order val="4"/>
          <c:tx>
            <c:strRef>
              <c:f>'n(d1)'!$O$2</c:f>
              <c:strCache>
                <c:ptCount val="1"/>
                <c:pt idx="0">
                  <c:v>49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'n(d1)'!$O$3:$O$17</c:f>
              <c:numCache>
                <c:formatCode>General</c:formatCode>
                <c:ptCount val="15"/>
                <c:pt idx="0">
                  <c:v>0.10043745232007692</c:v>
                </c:pt>
                <c:pt idx="1">
                  <c:v>0.20394920314203605</c:v>
                </c:pt>
                <c:pt idx="2">
                  <c:v>0.25821992113398379</c:v>
                </c:pt>
                <c:pt idx="3">
                  <c:v>0.29051450907536958</c:v>
                </c:pt>
                <c:pt idx="4">
                  <c:v>0.3117669330526906</c:v>
                </c:pt>
                <c:pt idx="5">
                  <c:v>0.32676410601556005</c:v>
                </c:pt>
                <c:pt idx="6">
                  <c:v>0.33789126477023457</c:v>
                </c:pt>
                <c:pt idx="7">
                  <c:v>0.34646234294600842</c:v>
                </c:pt>
                <c:pt idx="8">
                  <c:v>0.35325860310904078</c:v>
                </c:pt>
                <c:pt idx="9">
                  <c:v>0.35877304090012302</c:v>
                </c:pt>
                <c:pt idx="10">
                  <c:v>0.36333185032704218</c:v>
                </c:pt>
                <c:pt idx="11">
                  <c:v>0.36715935686348</c:v>
                </c:pt>
                <c:pt idx="12">
                  <c:v>0.37041485280400149</c:v>
                </c:pt>
                <c:pt idx="13">
                  <c:v>0.37321454620217803</c:v>
                </c:pt>
                <c:pt idx="14">
                  <c:v>0.37564519140040648</c:v>
                </c:pt>
              </c:numCache>
            </c:numRef>
          </c:val>
        </c:ser>
        <c:ser>
          <c:idx val="5"/>
          <c:order val="5"/>
          <c:tx>
            <c:strRef>
              <c:f>'n(d1)'!$P$2</c:f>
              <c:strCache>
                <c:ptCount val="1"/>
                <c:pt idx="0">
                  <c:v>49,5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'n(d1)'!$P$3:$P$17</c:f>
              <c:numCache>
                <c:formatCode>General</c:formatCode>
                <c:ptCount val="15"/>
                <c:pt idx="0">
                  <c:v>0.28623617576874238</c:v>
                </c:pt>
                <c:pt idx="1">
                  <c:v>0.34101404125590962</c:v>
                </c:pt>
                <c:pt idx="2">
                  <c:v>0.36144908637556039</c:v>
                </c:pt>
                <c:pt idx="3">
                  <c:v>0.37207353767301915</c:v>
                </c:pt>
                <c:pt idx="4">
                  <c:v>0.37855862781062416</c:v>
                </c:pt>
                <c:pt idx="5">
                  <c:v>0.38291190613754533</c:v>
                </c:pt>
                <c:pt idx="6">
                  <c:v>0.38602367286674377</c:v>
                </c:pt>
                <c:pt idx="7">
                  <c:v>0.38834914053504854</c:v>
                </c:pt>
                <c:pt idx="8">
                  <c:v>0.39014524588971466</c:v>
                </c:pt>
                <c:pt idx="9">
                  <c:v>0.39156799092129324</c:v>
                </c:pt>
                <c:pt idx="10">
                  <c:v>0.39271757016096448</c:v>
                </c:pt>
                <c:pt idx="11">
                  <c:v>0.39366127565150888</c:v>
                </c:pt>
                <c:pt idx="12">
                  <c:v>0.39444597736133352</c:v>
                </c:pt>
                <c:pt idx="13">
                  <c:v>0.3951053236634462</c:v>
                </c:pt>
                <c:pt idx="14">
                  <c:v>0.39566409611363362</c:v>
                </c:pt>
              </c:numCache>
            </c:numRef>
          </c:val>
        </c:ser>
        <c:ser>
          <c:idx val="6"/>
          <c:order val="6"/>
          <c:tx>
            <c:strRef>
              <c:f>'n(d1)'!$Q$2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'n(d1)'!$Q$3:$Q$17</c:f>
              <c:numCache>
                <c:formatCode>General</c:formatCode>
                <c:ptCount val="15"/>
                <c:pt idx="0">
                  <c:v>0.39883980972464222</c:v>
                </c:pt>
                <c:pt idx="1">
                  <c:v>0.39873736536804927</c:v>
                </c:pt>
                <c:pt idx="2">
                  <c:v>0.3986349473248933</c:v>
                </c:pt>
                <c:pt idx="3">
                  <c:v>0.39853255558841549</c:v>
                </c:pt>
                <c:pt idx="4">
                  <c:v>0.39843019015185893</c:v>
                </c:pt>
                <c:pt idx="5">
                  <c:v>0.39832785100846824</c:v>
                </c:pt>
                <c:pt idx="6">
                  <c:v>0.39822553815148987</c:v>
                </c:pt>
                <c:pt idx="7">
                  <c:v>0.39812325157417205</c:v>
                </c:pt>
                <c:pt idx="8">
                  <c:v>0.3980209912697647</c:v>
                </c:pt>
                <c:pt idx="9">
                  <c:v>0.39791875723151943</c:v>
                </c:pt>
                <c:pt idx="10">
                  <c:v>0.39781654945268963</c:v>
                </c:pt>
                <c:pt idx="11">
                  <c:v>0.39771436792653037</c:v>
                </c:pt>
                <c:pt idx="12">
                  <c:v>0.39761221264629859</c:v>
                </c:pt>
                <c:pt idx="13">
                  <c:v>0.39751008360525281</c:v>
                </c:pt>
                <c:pt idx="14">
                  <c:v>0.39740798079665335</c:v>
                </c:pt>
              </c:numCache>
            </c:numRef>
          </c:val>
        </c:ser>
        <c:ser>
          <c:idx val="7"/>
          <c:order val="7"/>
          <c:tx>
            <c:strRef>
              <c:f>'n(d1)'!$R$2</c:f>
              <c:strCache>
                <c:ptCount val="1"/>
                <c:pt idx="0">
                  <c:v>50,5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'n(d1)'!$R$3:$R$17</c:f>
              <c:numCache>
                <c:formatCode>General</c:formatCode>
                <c:ptCount val="15"/>
                <c:pt idx="0">
                  <c:v>0.27754504533058261</c:v>
                </c:pt>
                <c:pt idx="1">
                  <c:v>0.32951343520229931</c:v>
                </c:pt>
                <c:pt idx="2">
                  <c:v>0.34885527884258016</c:v>
                </c:pt>
                <c:pt idx="3">
                  <c:v>0.35890177196057338</c:v>
                </c:pt>
                <c:pt idx="4">
                  <c:v>0.3650305043125987</c:v>
                </c:pt>
                <c:pt idx="5">
                  <c:v>0.36914274770895306</c:v>
                </c:pt>
                <c:pt idx="6">
                  <c:v>0.37208108662295902</c:v>
                </c:pt>
                <c:pt idx="7">
                  <c:v>0.37427614198768377</c:v>
                </c:pt>
                <c:pt idx="8">
                  <c:v>0.37597089266949951</c:v>
                </c:pt>
                <c:pt idx="9">
                  <c:v>0.37731283080720468</c:v>
                </c:pt>
                <c:pt idx="10">
                  <c:v>0.37839666781699904</c:v>
                </c:pt>
                <c:pt idx="11">
                  <c:v>0.37928600378318561</c:v>
                </c:pt>
                <c:pt idx="12">
                  <c:v>0.38002513179450786</c:v>
                </c:pt>
                <c:pt idx="13">
                  <c:v>0.38064584704170801</c:v>
                </c:pt>
                <c:pt idx="14">
                  <c:v>0.38117156423063858</c:v>
                </c:pt>
              </c:numCache>
            </c:numRef>
          </c:val>
        </c:ser>
        <c:ser>
          <c:idx val="8"/>
          <c:order val="8"/>
          <c:tx>
            <c:strRef>
              <c:f>'n(d1)'!$S$2</c:f>
              <c:strCache>
                <c:ptCount val="1"/>
                <c:pt idx="0">
                  <c:v>51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'n(d1)'!$S$3:$S$17</c:f>
              <c:numCache>
                <c:formatCode>General</c:formatCode>
                <c:ptCount val="15"/>
                <c:pt idx="0">
                  <c:v>9.8449489236868054E-2</c:v>
                </c:pt>
                <c:pt idx="1">
                  <c:v>0.1944339208420417</c:v>
                </c:pt>
                <c:pt idx="2">
                  <c:v>0.24390302083912588</c:v>
                </c:pt>
                <c:pt idx="3">
                  <c:v>0.27313915982346515</c:v>
                </c:pt>
                <c:pt idx="4">
                  <c:v>0.29230713545360476</c:v>
                </c:pt>
                <c:pt idx="5">
                  <c:v>0.30580120589813803</c:v>
                </c:pt>
                <c:pt idx="6">
                  <c:v>0.31579638800174564</c:v>
                </c:pt>
                <c:pt idx="7">
                  <c:v>0.32348581432030771</c:v>
                </c:pt>
                <c:pt idx="8">
                  <c:v>0.3295768771170956</c:v>
                </c:pt>
                <c:pt idx="9">
                  <c:v>0.33451501501523656</c:v>
                </c:pt>
                <c:pt idx="10">
                  <c:v>0.33859447824052352</c:v>
                </c:pt>
                <c:pt idx="11">
                  <c:v>0.34201736478799416</c:v>
                </c:pt>
                <c:pt idx="12">
                  <c:v>0.34492703383640899</c:v>
                </c:pt>
                <c:pt idx="13">
                  <c:v>0.34742797950140986</c:v>
                </c:pt>
                <c:pt idx="14">
                  <c:v>0.34959815441264402</c:v>
                </c:pt>
              </c:numCache>
            </c:numRef>
          </c:val>
        </c:ser>
        <c:ser>
          <c:idx val="9"/>
          <c:order val="9"/>
          <c:tx>
            <c:strRef>
              <c:f>'n(d1)'!$T$2</c:f>
              <c:strCache>
                <c:ptCount val="1"/>
                <c:pt idx="0">
                  <c:v>51,5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'n(d1)'!$T$3:$T$17</c:f>
              <c:numCache>
                <c:formatCode>General</c:formatCode>
                <c:ptCount val="15"/>
                <c:pt idx="0">
                  <c:v>1.815537892706337E-2</c:v>
                </c:pt>
                <c:pt idx="1">
                  <c:v>8.2730623621360799E-2</c:v>
                </c:pt>
                <c:pt idx="2">
                  <c:v>0.13713413807836947</c:v>
                </c:pt>
                <c:pt idx="3">
                  <c:v>0.17653443831340271</c:v>
                </c:pt>
                <c:pt idx="4">
                  <c:v>0.20539748864030336</c:v>
                </c:pt>
                <c:pt idx="5">
                  <c:v>0.22719655065694494</c:v>
                </c:pt>
                <c:pt idx="6">
                  <c:v>0.24415200176370372</c:v>
                </c:pt>
                <c:pt idx="7">
                  <c:v>0.25767739115849481</c:v>
                </c:pt>
                <c:pt idx="8">
                  <c:v>0.26869772340277043</c:v>
                </c:pt>
                <c:pt idx="9">
                  <c:v>0.27783810697015876</c:v>
                </c:pt>
                <c:pt idx="10">
                  <c:v>0.28553406519921298</c:v>
                </c:pt>
                <c:pt idx="11">
                  <c:v>0.29209744977822427</c:v>
                </c:pt>
                <c:pt idx="12">
                  <c:v>0.29775701479512184</c:v>
                </c:pt>
                <c:pt idx="13">
                  <c:v>0.30268416062528691</c:v>
                </c:pt>
                <c:pt idx="14">
                  <c:v>0.30700974000923126</c:v>
                </c:pt>
              </c:numCache>
            </c:numRef>
          </c:val>
        </c:ser>
        <c:ser>
          <c:idx val="10"/>
          <c:order val="10"/>
          <c:tx>
            <c:strRef>
              <c:f>'n(d1)'!$U$2</c:f>
              <c:strCache>
                <c:ptCount val="1"/>
                <c:pt idx="0">
                  <c:v>52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'n(d1)'!$U$3:$U$17</c:f>
              <c:numCache>
                <c:formatCode>General</c:formatCode>
                <c:ptCount val="15"/>
                <c:pt idx="0">
                  <c:v>1.7740776635823416E-3</c:v>
                </c:pt>
                <c:pt idx="1">
                  <c:v>2.5626361961742127E-2</c:v>
                </c:pt>
                <c:pt idx="2">
                  <c:v>6.2399918411278323E-2</c:v>
                </c:pt>
                <c:pt idx="3">
                  <c:v>9.7359149640480591E-2</c:v>
                </c:pt>
                <c:pt idx="4">
                  <c:v>0.12712992650699137</c:v>
                </c:pt>
                <c:pt idx="5">
                  <c:v>0.15186509170671791</c:v>
                </c:pt>
                <c:pt idx="6">
                  <c:v>0.17241545626360583</c:v>
                </c:pt>
                <c:pt idx="7">
                  <c:v>0.18962124062185295</c:v>
                </c:pt>
                <c:pt idx="8">
                  <c:v>0.20417041154324106</c:v>
                </c:pt>
                <c:pt idx="9">
                  <c:v>0.21659835177658504</c:v>
                </c:pt>
                <c:pt idx="10">
                  <c:v>0.22731669105535485</c:v>
                </c:pt>
                <c:pt idx="11">
                  <c:v>0.23664257356136176</c:v>
                </c:pt>
                <c:pt idx="12">
                  <c:v>0.24482224557147056</c:v>
                </c:pt>
                <c:pt idx="13">
                  <c:v>0.25204880988271505</c:v>
                </c:pt>
                <c:pt idx="14">
                  <c:v>0.2584752991307529</c:v>
                </c:pt>
              </c:numCache>
            </c:numRef>
          </c:val>
        </c:ser>
        <c:ser>
          <c:idx val="11"/>
          <c:order val="11"/>
          <c:tx>
            <c:strRef>
              <c:f>'n(d1)'!$V$2</c:f>
              <c:strCache>
                <c:ptCount val="1"/>
                <c:pt idx="0">
                  <c:v>52,5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'n(d1)'!$V$3:$V$17</c:f>
              <c:numCache>
                <c:formatCode>General</c:formatCode>
                <c:ptCount val="15"/>
                <c:pt idx="0">
                  <c:v>9.3559721571136965E-5</c:v>
                </c:pt>
                <c:pt idx="1">
                  <c:v>5.8320337600926133E-3</c:v>
                </c:pt>
                <c:pt idx="2">
                  <c:v>2.3120081211825971E-2</c:v>
                </c:pt>
                <c:pt idx="3">
                  <c:v>4.6027589961208933E-2</c:v>
                </c:pt>
                <c:pt idx="4">
                  <c:v>6.9565023709854235E-2</c:v>
                </c:pt>
                <c:pt idx="5">
                  <c:v>9.1608453231193668E-2</c:v>
                </c:pt>
                <c:pt idx="6">
                  <c:v>0.11150457421514141</c:v>
                </c:pt>
                <c:pt idx="7">
                  <c:v>0.12920598829290386</c:v>
                </c:pt>
                <c:pt idx="8">
                  <c:v>0.14488646545979866</c:v>
                </c:pt>
                <c:pt idx="9">
                  <c:v>0.15878213790670995</c:v>
                </c:pt>
                <c:pt idx="10">
                  <c:v>0.17112898832207449</c:v>
                </c:pt>
                <c:pt idx="11">
                  <c:v>0.18214053313520742</c:v>
                </c:pt>
                <c:pt idx="12">
                  <c:v>0.19200203932531523</c:v>
                </c:pt>
                <c:pt idx="13">
                  <c:v>0.20087126842181666</c:v>
                </c:pt>
                <c:pt idx="14">
                  <c:v>0.20888150902262012</c:v>
                </c:pt>
              </c:numCache>
            </c:numRef>
          </c:val>
        </c:ser>
        <c:ser>
          <c:idx val="12"/>
          <c:order val="12"/>
          <c:tx>
            <c:strRef>
              <c:f>'n(d1)'!$W$2</c:f>
              <c:strCache>
                <c:ptCount val="1"/>
                <c:pt idx="0">
                  <c:v>53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'n(d1)'!$W$3:$W$17</c:f>
              <c:numCache>
                <c:formatCode>General</c:formatCode>
                <c:ptCount val="15"/>
                <c:pt idx="0">
                  <c:v>2.7105045238294889E-6</c:v>
                </c:pt>
                <c:pt idx="1">
                  <c:v>9.8381348059517937E-4</c:v>
                </c:pt>
                <c:pt idx="2">
                  <c:v>7.0165873543481735E-3</c:v>
                </c:pt>
                <c:pt idx="3">
                  <c:v>1.8735993943331298E-2</c:v>
                </c:pt>
                <c:pt idx="4">
                  <c:v>3.3772451892542195E-2</c:v>
                </c:pt>
                <c:pt idx="5">
                  <c:v>5.0016808068883582E-2</c:v>
                </c:pt>
                <c:pt idx="6">
                  <c:v>6.6207614557576747E-2</c:v>
                </c:pt>
                <c:pt idx="7">
                  <c:v>8.1700370340706693E-2</c:v>
                </c:pt>
                <c:pt idx="8">
                  <c:v>9.621058472876419E-2</c:v>
                </c:pt>
                <c:pt idx="9">
                  <c:v>0.1096477196873458</c:v>
                </c:pt>
                <c:pt idx="10">
                  <c:v>0.12202056292008154</c:v>
                </c:pt>
                <c:pt idx="11">
                  <c:v>0.13338559998097585</c:v>
                </c:pt>
                <c:pt idx="12">
                  <c:v>0.14381943001469555</c:v>
                </c:pt>
                <c:pt idx="13">
                  <c:v>0.15340431734866861</c:v>
                </c:pt>
                <c:pt idx="14">
                  <c:v>0.16222086902734847</c:v>
                </c:pt>
              </c:numCache>
            </c:numRef>
          </c:val>
        </c:ser>
        <c:ser>
          <c:idx val="13"/>
          <c:order val="13"/>
          <c:tx>
            <c:strRef>
              <c:f>'n(d1)'!$X$2</c:f>
              <c:strCache>
                <c:ptCount val="1"/>
                <c:pt idx="0">
                  <c:v>53,5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'n(d1)'!$X$3:$X$17</c:f>
              <c:numCache>
                <c:formatCode>General</c:formatCode>
                <c:ptCount val="15"/>
                <c:pt idx="0">
                  <c:v>4.388200731325983E-8</c:v>
                </c:pt>
                <c:pt idx="1">
                  <c:v>1.2407365669076539E-4</c:v>
                </c:pt>
                <c:pt idx="2">
                  <c:v>1.7541614817416214E-3</c:v>
                </c:pt>
                <c:pt idx="3">
                  <c:v>6.5949086157238886E-3</c:v>
                </c:pt>
                <c:pt idx="4">
                  <c:v>1.4596464748302786E-2</c:v>
                </c:pt>
                <c:pt idx="5">
                  <c:v>2.4787711231367335E-2</c:v>
                </c:pt>
                <c:pt idx="6">
                  <c:v>3.6181138416980868E-2</c:v>
                </c:pt>
                <c:pt idx="7">
                  <c:v>4.8043947724800348E-2</c:v>
                </c:pt>
                <c:pt idx="8">
                  <c:v>5.9896610928676527E-2</c:v>
                </c:pt>
                <c:pt idx="9">
                  <c:v>7.1448117075069775E-2</c:v>
                </c:pt>
                <c:pt idx="10">
                  <c:v>8.2534182276023174E-2</c:v>
                </c:pt>
                <c:pt idx="11">
                  <c:v>9.3071735564203631E-2</c:v>
                </c:pt>
                <c:pt idx="12">
                  <c:v>0.10302824614629584</c:v>
                </c:pt>
                <c:pt idx="13">
                  <c:v>0.11240182537347791</c:v>
                </c:pt>
                <c:pt idx="14">
                  <c:v>0.12120855440723562</c:v>
                </c:pt>
              </c:numCache>
            </c:numRef>
          </c:val>
        </c:ser>
        <c:ser>
          <c:idx val="14"/>
          <c:order val="14"/>
          <c:tx>
            <c:strRef>
              <c:f>'n(d1)'!$Y$2</c:f>
              <c:strCache>
                <c:ptCount val="1"/>
                <c:pt idx="0">
                  <c:v>54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'n(d1)'!$Y$3:$Y$17</c:f>
              <c:numCache>
                <c:formatCode>General</c:formatCode>
                <c:ptCount val="15"/>
                <c:pt idx="0">
                  <c:v>4.0362094515174258E-10</c:v>
                </c:pt>
                <c:pt idx="1">
                  <c:v>1.1795263632283143E-5</c:v>
                </c:pt>
                <c:pt idx="2">
                  <c:v>3.6325471563117783E-4</c:v>
                </c:pt>
                <c:pt idx="3">
                  <c:v>2.0156136115274401E-3</c:v>
                </c:pt>
                <c:pt idx="4">
                  <c:v>5.6348228794109168E-3</c:v>
                </c:pt>
                <c:pt idx="5">
                  <c:v>1.1181285550344436E-2</c:v>
                </c:pt>
                <c:pt idx="6">
                  <c:v>1.8240615294049734E-2</c:v>
                </c:pt>
                <c:pt idx="7">
                  <c:v>2.6328274750443428E-2</c:v>
                </c:pt>
                <c:pt idx="8">
                  <c:v>3.5023706150856121E-2</c:v>
                </c:pt>
                <c:pt idx="9">
                  <c:v>4.400393826205555E-2</c:v>
                </c:pt>
                <c:pt idx="10">
                  <c:v>5.3036782872781192E-2</c:v>
                </c:pt>
                <c:pt idx="11">
                  <c:v>6.1962642865093856E-2</c:v>
                </c:pt>
                <c:pt idx="12">
                  <c:v>7.0676135972275012E-2</c:v>
                </c:pt>
                <c:pt idx="13">
                  <c:v>7.9110924123660123E-2</c:v>
                </c:pt>
                <c:pt idx="14">
                  <c:v>8.7228168610191614E-2</c:v>
                </c:pt>
              </c:numCache>
            </c:numRef>
          </c:val>
        </c:ser>
        <c:ser>
          <c:idx val="15"/>
          <c:order val="15"/>
          <c:tx>
            <c:strRef>
              <c:f>'n(d1)'!$Z$2</c:f>
              <c:strCache>
                <c:ptCount val="1"/>
                <c:pt idx="0">
                  <c:v>54,5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'n(d1)'!$Z$3:$Z$17</c:f>
              <c:numCache>
                <c:formatCode>General</c:formatCode>
                <c:ptCount val="15"/>
                <c:pt idx="0">
                  <c:v>2.1431061801303797E-12</c:v>
                </c:pt>
                <c:pt idx="1">
                  <c:v>8.5204450718140221E-7</c:v>
                </c:pt>
                <c:pt idx="2">
                  <c:v>6.2641300885218703E-5</c:v>
                </c:pt>
                <c:pt idx="3">
                  <c:v>5.3703702594089817E-4</c:v>
                </c:pt>
                <c:pt idx="4">
                  <c:v>1.9491518725006246E-3</c:v>
                </c:pt>
                <c:pt idx="5">
                  <c:v>4.6029485924554085E-3</c:v>
                </c:pt>
                <c:pt idx="6">
                  <c:v>8.50293486668139E-3</c:v>
                </c:pt>
                <c:pt idx="7">
                  <c:v>1.3472261588171747E-2</c:v>
                </c:pt>
                <c:pt idx="8">
                  <c:v>1.9269544367983719E-2</c:v>
                </c:pt>
                <c:pt idx="9">
                  <c:v>2.5656291653248689E-2</c:v>
                </c:pt>
                <c:pt idx="10">
                  <c:v>3.2425893927197622E-2</c:v>
                </c:pt>
                <c:pt idx="11">
                  <c:v>3.9411390546618054E-2</c:v>
                </c:pt>
                <c:pt idx="12">
                  <c:v>4.6483523545921543E-2</c:v>
                </c:pt>
                <c:pt idx="13">
                  <c:v>5.3545228231761242E-2</c:v>
                </c:pt>
                <c:pt idx="14">
                  <c:v>6.052545560388136E-2</c:v>
                </c:pt>
              </c:numCache>
            </c:numRef>
          </c:val>
        </c:ser>
        <c:ser>
          <c:idx val="16"/>
          <c:order val="16"/>
          <c:tx>
            <c:strRef>
              <c:f>'n(d1)'!$AA$2</c:f>
              <c:strCache>
                <c:ptCount val="1"/>
                <c:pt idx="0">
                  <c:v>55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'n(d1)'!$AA$3:$AA$17</c:f>
              <c:numCache>
                <c:formatCode>General</c:formatCode>
                <c:ptCount val="15"/>
                <c:pt idx="0">
                  <c:v>6.6710582137984799E-15</c:v>
                </c:pt>
                <c:pt idx="1">
                  <c:v>4.7129405168860655E-8</c:v>
                </c:pt>
                <c:pt idx="2">
                  <c:v>9.0416978686389302E-6</c:v>
                </c:pt>
                <c:pt idx="3">
                  <c:v>1.252198630070825E-4</c:v>
                </c:pt>
                <c:pt idx="4">
                  <c:v>6.06013833923164E-4</c:v>
                </c:pt>
                <c:pt idx="5">
                  <c:v>1.7337436856654479E-3</c:v>
                </c:pt>
                <c:pt idx="6">
                  <c:v>3.6730439642426085E-3</c:v>
                </c:pt>
                <c:pt idx="7">
                  <c:v>6.4495462429223207E-3</c:v>
                </c:pt>
                <c:pt idx="8">
                  <c:v>9.9924824773824795E-3</c:v>
                </c:pt>
                <c:pt idx="9">
                  <c:v>1.4182946666853848E-2</c:v>
                </c:pt>
                <c:pt idx="10">
                  <c:v>1.8887999967971275E-2</c:v>
                </c:pt>
                <c:pt idx="11">
                  <c:v>2.3980061839449198E-2</c:v>
                </c:pt>
                <c:pt idx="12">
                  <c:v>2.934601278669002E-2</c:v>
                </c:pt>
                <c:pt idx="13">
                  <c:v>3.4890208737414698E-2</c:v>
                </c:pt>
                <c:pt idx="14">
                  <c:v>4.053428924530416E-2</c:v>
                </c:pt>
              </c:numCache>
            </c:numRef>
          </c:val>
        </c:ser>
        <c:ser>
          <c:idx val="17"/>
          <c:order val="17"/>
          <c:tx>
            <c:strRef>
              <c:f>'n(d1)'!$AB$2</c:f>
              <c:strCache>
                <c:ptCount val="1"/>
                <c:pt idx="0">
                  <c:v>55,5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'n(d1)'!$J$3:$J$17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'n(d1)'!$AB$3:$AB$17</c:f>
              <c:numCache>
                <c:formatCode>General</c:formatCode>
                <c:ptCount val="15"/>
                <c:pt idx="0">
                  <c:v>1.2356659111046697E-17</c:v>
                </c:pt>
                <c:pt idx="1">
                  <c:v>2.0110977592888254E-9</c:v>
                </c:pt>
                <c:pt idx="2">
                  <c:v>1.0978327373713324E-6</c:v>
                </c:pt>
                <c:pt idx="3">
                  <c:v>2.5646723648848972E-5</c:v>
                </c:pt>
                <c:pt idx="4">
                  <c:v>1.6985748716035102E-4</c:v>
                </c:pt>
                <c:pt idx="5">
                  <c:v>5.9898513082297562E-4</c:v>
                </c:pt>
                <c:pt idx="6">
                  <c:v>1.473449065650158E-3</c:v>
                </c:pt>
                <c:pt idx="7">
                  <c:v>2.8939868334726775E-3</c:v>
                </c:pt>
                <c:pt idx="8">
                  <c:v>4.8919971896473615E-3</c:v>
                </c:pt>
                <c:pt idx="9">
                  <c:v>7.4448440380022124E-3</c:v>
                </c:pt>
                <c:pt idx="10">
                  <c:v>1.0496551746387401E-2</c:v>
                </c:pt>
                <c:pt idx="11">
                  <c:v>1.3975067987116159E-2</c:v>
                </c:pt>
                <c:pt idx="12">
                  <c:v>1.7804092707640308E-2</c:v>
                </c:pt>
                <c:pt idx="13">
                  <c:v>2.1910189020451148E-2</c:v>
                </c:pt>
                <c:pt idx="14">
                  <c:v>2.6226521286784085E-2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103677248"/>
        <c:axId val="-1103671808"/>
        <c:axId val="-1099040560"/>
      </c:surface3DChart>
      <c:catAx>
        <c:axId val="-11036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1808"/>
        <c:crosses val="autoZero"/>
        <c:auto val="1"/>
        <c:lblAlgn val="ctr"/>
        <c:lblOffset val="100"/>
        <c:noMultiLvlLbl val="0"/>
      </c:catAx>
      <c:valAx>
        <c:axId val="-1103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7248"/>
        <c:crosses val="autoZero"/>
        <c:crossBetween val="midCat"/>
      </c:valAx>
      <c:serAx>
        <c:axId val="-109904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180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812773403328E-2"/>
          <c:y val="8.8234519465554606E-2"/>
          <c:w val="0.88830074365704292"/>
          <c:h val="0.82828703703703699"/>
        </c:manualLayout>
      </c:layout>
      <c:scatterChart>
        <c:scatterStyle val="smoothMarker"/>
        <c:varyColors val="0"/>
        <c:ser>
          <c:idx val="0"/>
          <c:order val="0"/>
          <c:tx>
            <c:v>47  OTM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'n(d1)'!$J$3:$J$55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'n(d1)'!$K$3:$K$55</c:f>
              <c:numCache>
                <c:formatCode>General</c:formatCode>
                <c:ptCount val="53"/>
                <c:pt idx="0">
                  <c:v>7.5545156741982031E-7</c:v>
                </c:pt>
                <c:pt idx="1">
                  <c:v>5.8179535218330441E-4</c:v>
                </c:pt>
                <c:pt idx="2">
                  <c:v>5.3319214667716741E-3</c:v>
                </c:pt>
                <c:pt idx="3">
                  <c:v>1.6139300569707318E-2</c:v>
                </c:pt>
                <c:pt idx="4">
                  <c:v>3.1364665697194809E-2</c:v>
                </c:pt>
                <c:pt idx="5">
                  <c:v>4.8839826213342187E-2</c:v>
                </c:pt>
                <c:pt idx="6">
                  <c:v>6.7007477260845216E-2</c:v>
                </c:pt>
                <c:pt idx="7">
                  <c:v>8.4939019739097829E-2</c:v>
                </c:pt>
                <c:pt idx="8">
                  <c:v>0.10213653047431928</c:v>
                </c:pt>
                <c:pt idx="9">
                  <c:v>0.11836352025534282</c:v>
                </c:pt>
                <c:pt idx="10">
                  <c:v>0.13353383167738442</c:v>
                </c:pt>
                <c:pt idx="11">
                  <c:v>0.14764449149734402</c:v>
                </c:pt>
                <c:pt idx="12">
                  <c:v>0.16073643774154825</c:v>
                </c:pt>
                <c:pt idx="13">
                  <c:v>0.17287192940351942</c:v>
                </c:pt>
                <c:pt idx="14">
                  <c:v>0.18412173486873243</c:v>
                </c:pt>
                <c:pt idx="15">
                  <c:v>0.19455801176826304</c:v>
                </c:pt>
                <c:pt idx="16">
                  <c:v>0.20425048990203165</c:v>
                </c:pt>
                <c:pt idx="17">
                  <c:v>0.21326456418435213</c:v>
                </c:pt>
                <c:pt idx="18">
                  <c:v>0.22166048315915426</c:v>
                </c:pt>
                <c:pt idx="19">
                  <c:v>0.22949315546104476</c:v>
                </c:pt>
                <c:pt idx="20">
                  <c:v>0.23681229371036067</c:v>
                </c:pt>
                <c:pt idx="21">
                  <c:v>0.24366273140848996</c:v>
                </c:pt>
                <c:pt idx="22">
                  <c:v>0.25008481715316894</c:v>
                </c:pt>
                <c:pt idx="23">
                  <c:v>0.25611483138513896</c:v>
                </c:pt>
                <c:pt idx="24">
                  <c:v>0.26178539523485528</c:v>
                </c:pt>
                <c:pt idx="25">
                  <c:v>0.2671258555135177</c:v>
                </c:pt>
                <c:pt idx="26">
                  <c:v>0.27216263842958921</c:v>
                </c:pt>
                <c:pt idx="27">
                  <c:v>0.27691956956750163</c:v>
                </c:pt>
                <c:pt idx="28">
                  <c:v>0.28141816045950202</c:v>
                </c:pt>
                <c:pt idx="29">
                  <c:v>0.28567786357548425</c:v>
                </c:pt>
                <c:pt idx="30">
                  <c:v>0.2897162982734845</c:v>
                </c:pt>
                <c:pt idx="31">
                  <c:v>0.29354945051540809</c:v>
                </c:pt>
                <c:pt idx="32">
                  <c:v>0.29719184915392427</c:v>
                </c:pt>
                <c:pt idx="33">
                  <c:v>0.30065672145613698</c:v>
                </c:pt>
                <c:pt idx="34">
                  <c:v>0.30395613031930907</c:v>
                </c:pt>
                <c:pt idx="35">
                  <c:v>0.30710109539611652</c:v>
                </c:pt>
                <c:pt idx="36">
                  <c:v>0.31010170010626431</c:v>
                </c:pt>
                <c:pt idx="37">
                  <c:v>0.31296718628137776</c:v>
                </c:pt>
                <c:pt idx="38">
                  <c:v>0.31570603797777652</c:v>
                </c:pt>
                <c:pt idx="39">
                  <c:v>0.31832605579990064</c:v>
                </c:pt>
                <c:pt idx="40">
                  <c:v>0.32083442290629699</c:v>
                </c:pt>
                <c:pt idx="41">
                  <c:v>0.3232377637193819</c:v>
                </c:pt>
                <c:pt idx="42">
                  <c:v>0.3255421962281918</c:v>
                </c:pt>
                <c:pt idx="43">
                  <c:v>0.32775337865822735</c:v>
                </c:pt>
                <c:pt idx="44">
                  <c:v>0.32987655118244458</c:v>
                </c:pt>
                <c:pt idx="45">
                  <c:v>0.33191657326064866</c:v>
                </c:pt>
                <c:pt idx="46">
                  <c:v>0.33387795711933754</c:v>
                </c:pt>
                <c:pt idx="47">
                  <c:v>0.33576489781891194</c:v>
                </c:pt>
                <c:pt idx="48">
                  <c:v>0.33758130029876621</c:v>
                </c:pt>
                <c:pt idx="49">
                  <c:v>0.33933080374192515</c:v>
                </c:pt>
                <c:pt idx="50">
                  <c:v>0.34101680355854552</c:v>
                </c:pt>
                <c:pt idx="51">
                  <c:v>0.34264247125087888</c:v>
                </c:pt>
                <c:pt idx="52">
                  <c:v>0.34421077239040304</c:v>
                </c:pt>
              </c:numCache>
            </c:numRef>
          </c:yVal>
          <c:smooth val="1"/>
        </c:ser>
        <c:ser>
          <c:idx val="1"/>
          <c:order val="1"/>
          <c:tx>
            <c:v>50  ATM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'n(d1)'!$J$3:$J$55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'n(d1)'!$Q$3:$Q$55</c:f>
              <c:numCache>
                <c:formatCode>General</c:formatCode>
                <c:ptCount val="53"/>
                <c:pt idx="0">
                  <c:v>0.39883980972464222</c:v>
                </c:pt>
                <c:pt idx="1">
                  <c:v>0.39873736536804927</c:v>
                </c:pt>
                <c:pt idx="2">
                  <c:v>0.3986349473248933</c:v>
                </c:pt>
                <c:pt idx="3">
                  <c:v>0.39853255558841549</c:v>
                </c:pt>
                <c:pt idx="4">
                  <c:v>0.39843019015185893</c:v>
                </c:pt>
                <c:pt idx="5">
                  <c:v>0.39832785100846824</c:v>
                </c:pt>
                <c:pt idx="6">
                  <c:v>0.39822553815148987</c:v>
                </c:pt>
                <c:pt idx="7">
                  <c:v>0.39812325157417205</c:v>
                </c:pt>
                <c:pt idx="8">
                  <c:v>0.3980209912697647</c:v>
                </c:pt>
                <c:pt idx="9">
                  <c:v>0.39791875723151943</c:v>
                </c:pt>
                <c:pt idx="10">
                  <c:v>0.39781654945268963</c:v>
                </c:pt>
                <c:pt idx="11">
                  <c:v>0.39771436792653037</c:v>
                </c:pt>
                <c:pt idx="12">
                  <c:v>0.39761221264629859</c:v>
                </c:pt>
                <c:pt idx="13">
                  <c:v>0.39751008360525281</c:v>
                </c:pt>
                <c:pt idx="14">
                  <c:v>0.39740798079665335</c:v>
                </c:pt>
                <c:pt idx="15">
                  <c:v>0.39730590421376227</c:v>
                </c:pt>
                <c:pt idx="16">
                  <c:v>0.3972038538498433</c:v>
                </c:pt>
                <c:pt idx="17">
                  <c:v>0.39710182969816199</c:v>
                </c:pt>
                <c:pt idx="18">
                  <c:v>0.3969998317519855</c:v>
                </c:pt>
                <c:pt idx="19">
                  <c:v>0.39689786000458288</c:v>
                </c:pt>
                <c:pt idx="20">
                  <c:v>0.3967959144492248</c:v>
                </c:pt>
                <c:pt idx="21">
                  <c:v>0.39669399507918363</c:v>
                </c:pt>
                <c:pt idx="22">
                  <c:v>0.39659210188773353</c:v>
                </c:pt>
                <c:pt idx="23">
                  <c:v>0.39649023486815044</c:v>
                </c:pt>
                <c:pt idx="24">
                  <c:v>0.3963883940137119</c:v>
                </c:pt>
                <c:pt idx="25">
                  <c:v>0.39628657931769723</c:v>
                </c:pt>
                <c:pt idx="26">
                  <c:v>0.39618479077338753</c:v>
                </c:pt>
                <c:pt idx="27">
                  <c:v>0.39608302837406556</c:v>
                </c:pt>
                <c:pt idx="28">
                  <c:v>0.3959812921130158</c:v>
                </c:pt>
                <c:pt idx="29">
                  <c:v>0.39587958198352452</c:v>
                </c:pt>
                <c:pt idx="30">
                  <c:v>0.39577789797887963</c:v>
                </c:pt>
                <c:pt idx="31">
                  <c:v>0.3956762400923709</c:v>
                </c:pt>
                <c:pt idx="32">
                  <c:v>0.39557460831728963</c:v>
                </c:pt>
                <c:pt idx="33">
                  <c:v>0.39547300264692897</c:v>
                </c:pt>
                <c:pt idx="34">
                  <c:v>0.39537142307458384</c:v>
                </c:pt>
                <c:pt idx="35">
                  <c:v>0.3952698695935507</c:v>
                </c:pt>
                <c:pt idx="36">
                  <c:v>0.39516834219712793</c:v>
                </c:pt>
                <c:pt idx="37">
                  <c:v>0.39506684087861549</c:v>
                </c:pt>
                <c:pt idx="38">
                  <c:v>0.39496536563131512</c:v>
                </c:pt>
                <c:pt idx="39">
                  <c:v>0.39486391644853036</c:v>
                </c:pt>
                <c:pt idx="40">
                  <c:v>0.39476249332356628</c:v>
                </c:pt>
                <c:pt idx="41">
                  <c:v>0.39466109624972978</c:v>
                </c:pt>
                <c:pt idx="42">
                  <c:v>0.39455972522032956</c:v>
                </c:pt>
                <c:pt idx="43">
                  <c:v>0.39445838022867591</c:v>
                </c:pt>
                <c:pt idx="44">
                  <c:v>0.39435706126808079</c:v>
                </c:pt>
                <c:pt idx="45">
                  <c:v>0.39425576833185816</c:v>
                </c:pt>
                <c:pt idx="46">
                  <c:v>0.39415450141332331</c:v>
                </c:pt>
                <c:pt idx="47">
                  <c:v>0.39405326050579359</c:v>
                </c:pt>
                <c:pt idx="48">
                  <c:v>0.39395204560258784</c:v>
                </c:pt>
                <c:pt idx="49">
                  <c:v>0.39385085669702669</c:v>
                </c:pt>
                <c:pt idx="50">
                  <c:v>0.39374969378243257</c:v>
                </c:pt>
                <c:pt idx="51">
                  <c:v>0.39364855685212946</c:v>
                </c:pt>
                <c:pt idx="52">
                  <c:v>0.39354744589944318</c:v>
                </c:pt>
              </c:numCache>
            </c:numRef>
          </c:yVal>
          <c:smooth val="1"/>
        </c:ser>
        <c:ser>
          <c:idx val="2"/>
          <c:order val="2"/>
          <c:tx>
            <c:v>53  ITM</c:v>
          </c:tx>
          <c:spPr>
            <a:ln w="19050" cap="rnd">
              <a:solidFill>
                <a:srgbClr val="42AC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AC8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'n(d1)'!$J$3:$J$55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'n(d1)'!$W$3:$W$55</c:f>
              <c:numCache>
                <c:formatCode>General</c:formatCode>
                <c:ptCount val="53"/>
                <c:pt idx="0">
                  <c:v>2.7105045238294889E-6</c:v>
                </c:pt>
                <c:pt idx="1">
                  <c:v>9.8381348059517937E-4</c:v>
                </c:pt>
                <c:pt idx="2">
                  <c:v>7.0165873543481735E-3</c:v>
                </c:pt>
                <c:pt idx="3">
                  <c:v>1.8735993943331298E-2</c:v>
                </c:pt>
                <c:pt idx="4">
                  <c:v>3.3772451892542195E-2</c:v>
                </c:pt>
                <c:pt idx="5">
                  <c:v>5.0016808068883582E-2</c:v>
                </c:pt>
                <c:pt idx="6">
                  <c:v>6.6207614557576747E-2</c:v>
                </c:pt>
                <c:pt idx="7">
                  <c:v>8.1700370340706693E-2</c:v>
                </c:pt>
                <c:pt idx="8">
                  <c:v>9.621058472876419E-2</c:v>
                </c:pt>
                <c:pt idx="9">
                  <c:v>0.1096477196873458</c:v>
                </c:pt>
                <c:pt idx="10">
                  <c:v>0.12202056292008154</c:v>
                </c:pt>
                <c:pt idx="11">
                  <c:v>0.13338559998097585</c:v>
                </c:pt>
                <c:pt idx="12">
                  <c:v>0.14381943001469555</c:v>
                </c:pt>
                <c:pt idx="13">
                  <c:v>0.15340431734866861</c:v>
                </c:pt>
                <c:pt idx="14">
                  <c:v>0.16222086902734847</c:v>
                </c:pt>
                <c:pt idx="15">
                  <c:v>0.17034456301702533</c:v>
                </c:pt>
                <c:pt idx="16">
                  <c:v>0.17784434110704567</c:v>
                </c:pt>
                <c:pt idx="17">
                  <c:v>0.18478228908302058</c:v>
                </c:pt>
                <c:pt idx="18">
                  <c:v>0.19121386799524898</c:v>
                </c:pt>
                <c:pt idx="19">
                  <c:v>0.19718840301032203</c:v>
                </c:pt>
                <c:pt idx="20">
                  <c:v>0.20274967076137271</c:v>
                </c:pt>
                <c:pt idx="21">
                  <c:v>0.20793650094791313</c:v>
                </c:pt>
                <c:pt idx="22">
                  <c:v>0.21278334963476003</c:v>
                </c:pt>
                <c:pt idx="23">
                  <c:v>0.21732082481496756</c:v>
                </c:pt>
                <c:pt idx="24">
                  <c:v>0.22157615743250891</c:v>
                </c:pt>
                <c:pt idx="25">
                  <c:v>0.22557361776046994</c:v>
                </c:pt>
                <c:pt idx="26">
                  <c:v>0.22933488038281333</c:v>
                </c:pt>
                <c:pt idx="27">
                  <c:v>0.23287934250715667</c:v>
                </c:pt>
                <c:pt idx="28">
                  <c:v>0.23622440078754636</c:v>
                </c:pt>
                <c:pt idx="29">
                  <c:v>0.23938569174405591</c:v>
                </c:pt>
                <c:pt idx="30">
                  <c:v>0.2423773005060989</c:v>
                </c:pt>
                <c:pt idx="31">
                  <c:v>0.24521194213387118</c:v>
                </c:pt>
                <c:pt idx="32">
                  <c:v>0.24790111927259262</c:v>
                </c:pt>
                <c:pt idx="33">
                  <c:v>0.25045525941198005</c:v>
                </c:pt>
                <c:pt idx="34">
                  <c:v>0.25288383458021596</c:v>
                </c:pt>
                <c:pt idx="35">
                  <c:v>0.25519546590603681</c:v>
                </c:pt>
                <c:pt idx="36">
                  <c:v>0.25739801513572885</c:v>
                </c:pt>
                <c:pt idx="37">
                  <c:v>0.25949866489134621</c:v>
                </c:pt>
                <c:pt idx="38">
                  <c:v>0.26150398919816603</c:v>
                </c:pt>
                <c:pt idx="39">
                  <c:v>0.26342001558846362</c:v>
                </c:pt>
                <c:pt idx="40">
                  <c:v>0.26525227990032252</c:v>
                </c:pt>
                <c:pt idx="41">
                  <c:v>0.26700587472987442</c:v>
                </c:pt>
                <c:pt idx="42">
                  <c:v>0.26868549235903633</c:v>
                </c:pt>
                <c:pt idx="43">
                  <c:v>0.27029546286490563</c:v>
                </c:pt>
                <c:pt idx="44">
                  <c:v>0.27183978801838088</c:v>
                </c:pt>
                <c:pt idx="45">
                  <c:v>0.27332217149565768</c:v>
                </c:pt>
                <c:pt idx="46">
                  <c:v>0.27474604585472923</c:v>
                </c:pt>
                <c:pt idx="47">
                  <c:v>0.27611459666800403</c:v>
                </c:pt>
                <c:pt idx="48">
                  <c:v>0.27743078415000155</c:v>
                </c:pt>
                <c:pt idx="49">
                  <c:v>0.2786973625744581</c:v>
                </c:pt>
                <c:pt idx="50">
                  <c:v>0.27991689773690831</c:v>
                </c:pt>
                <c:pt idx="51">
                  <c:v>0.28109178268594193</c:v>
                </c:pt>
                <c:pt idx="52">
                  <c:v>0.28222425191805739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3675616"/>
        <c:axId val="-1103670176"/>
      </c:scatterChart>
      <c:valAx>
        <c:axId val="-110367561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Время</a:t>
                </a:r>
              </a:p>
            </c:rich>
          </c:tx>
          <c:layout>
            <c:manualLayout>
              <c:xMode val="edge"/>
              <c:yMode val="edge"/>
              <c:x val="0.45122462817147851"/>
              <c:y val="0.95136473794434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0176"/>
        <c:crosses val="autoZero"/>
        <c:crossBetween val="midCat"/>
      </c:valAx>
      <c:valAx>
        <c:axId val="-1103670176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n(d</a:t>
                </a:r>
                <a:r>
                  <a:rPr lang="en-US" sz="1600" baseline="-25000"/>
                  <a:t>1</a:t>
                </a:r>
                <a:r>
                  <a:rPr lang="ru-RU" sz="1600" baseline="0"/>
                  <a:t>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111111111111112E-2"/>
              <c:y val="1.5496355638472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66622922134729"/>
          <c:y val="0.5772561242344707"/>
          <c:w val="0.16800043744531934"/>
          <c:h val="0.11759664188317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038212973957402E-2"/>
          <c:y val="3.0365243240661498E-2"/>
          <c:w val="0.95483016663003017"/>
          <c:h val="0.92538432695913009"/>
        </c:manualLayout>
      </c:layout>
      <c:surface3DChart>
        <c:wireframe val="0"/>
        <c:ser>
          <c:idx val="0"/>
          <c:order val="0"/>
          <c:tx>
            <c:strRef>
              <c:f>'d1'!$K$2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'd1'!$K$3:$K$17</c:f>
              <c:numCache>
                <c:formatCode>General</c:formatCode>
                <c:ptCount val="15"/>
                <c:pt idx="0">
                  <c:v>-1.9772549586479848</c:v>
                </c:pt>
                <c:pt idx="1">
                  <c:v>-1.3848892446695944</c:v>
                </c:pt>
                <c:pt idx="2">
                  <c:v>-1.1199459838406733</c:v>
                </c:pt>
                <c:pt idx="3">
                  <c:v>-0.96053876964657314</c:v>
                </c:pt>
                <c:pt idx="4">
                  <c:v>-0.85075755834963751</c:v>
                </c:pt>
                <c:pt idx="5">
                  <c:v>-0.76898706432209518</c:v>
                </c:pt>
                <c:pt idx="6">
                  <c:v>-0.70486599104732706</c:v>
                </c:pt>
                <c:pt idx="7">
                  <c:v>-0.65272118815943037</c:v>
                </c:pt>
                <c:pt idx="8">
                  <c:v>-0.60914950234502718</c:v>
                </c:pt>
                <c:pt idx="9">
                  <c:v>-0.57196833894945243</c:v>
                </c:pt>
                <c:pt idx="10">
                  <c:v>-0.53970437033971663</c:v>
                </c:pt>
                <c:pt idx="11">
                  <c:v>-0.51132191963999474</c:v>
                </c:pt>
                <c:pt idx="12">
                  <c:v>-0.48606860569556026</c:v>
                </c:pt>
                <c:pt idx="13">
                  <c:v>-0.46338274608085295</c:v>
                </c:pt>
                <c:pt idx="14">
                  <c:v>-0.44283528097400515</c:v>
                </c:pt>
              </c:numCache>
            </c:numRef>
          </c:val>
        </c:ser>
        <c:ser>
          <c:idx val="1"/>
          <c:order val="1"/>
          <c:tx>
            <c:strRef>
              <c:f>'d1'!$L$2</c:f>
              <c:strCache>
                <c:ptCount val="1"/>
                <c:pt idx="0">
                  <c:v>47,5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'd1'!$L$3:$L$17</c:f>
              <c:numCache>
                <c:formatCode>General</c:formatCode>
                <c:ptCount val="15"/>
                <c:pt idx="0">
                  <c:v>-1.635896593146793</c:v>
                </c:pt>
                <c:pt idx="1">
                  <c:v>-1.1435124296089456</c:v>
                </c:pt>
                <c:pt idx="2">
                  <c:v>-0.9228626396284294</c:v>
                </c:pt>
                <c:pt idx="3">
                  <c:v>-0.78985958689597713</c:v>
                </c:pt>
                <c:pt idx="4">
                  <c:v>-0.69809745635986065</c:v>
                </c:pt>
                <c:pt idx="5">
                  <c:v>-0.62962809517069507</c:v>
                </c:pt>
                <c:pt idx="6">
                  <c:v>-0.57584465632337778</c:v>
                </c:pt>
                <c:pt idx="7">
                  <c:v>-0.53203278062910586</c:v>
                </c:pt>
                <c:pt idx="8">
                  <c:v>-0.49536338051129652</c:v>
                </c:pt>
                <c:pt idx="9">
                  <c:v>-0.46402134561585123</c:v>
                </c:pt>
                <c:pt idx="10">
                  <c:v>-0.4367809505745846</c:v>
                </c:pt>
                <c:pt idx="11">
                  <c:v>-0.41278024753387282</c:v>
                </c:pt>
                <c:pt idx="12">
                  <c:v>-0.39139282953224291</c:v>
                </c:pt>
                <c:pt idx="13">
                  <c:v>-0.37215088537980912</c:v>
                </c:pt>
                <c:pt idx="14">
                  <c:v>-0.3546969299956918</c:v>
                </c:pt>
              </c:numCache>
            </c:numRef>
          </c:val>
        </c:ser>
        <c:ser>
          <c:idx val="2"/>
          <c:order val="2"/>
          <c:tx>
            <c:strRef>
              <c:f>'d1'!$M$2</c:f>
              <c:strCache>
                <c:ptCount val="1"/>
                <c:pt idx="0">
                  <c:v>48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'd1'!$M$3:$M$17</c:f>
              <c:numCache>
                <c:formatCode>General</c:formatCode>
                <c:ptCount val="15"/>
                <c:pt idx="0">
                  <c:v>-1.2981127264598442</c:v>
                </c:pt>
                <c:pt idx="1">
                  <c:v>-0.90466316689919124</c:v>
                </c:pt>
                <c:pt idx="2">
                  <c:v>-0.72784303326880695</c:v>
                </c:pt>
                <c:pt idx="3">
                  <c:v>-0.62096765355250272</c:v>
                </c:pt>
                <c:pt idx="4">
                  <c:v>-0.54703591883691172</c:v>
                </c:pt>
                <c:pt idx="5">
                  <c:v>-0.49172840904947485</c:v>
                </c:pt>
                <c:pt idx="6">
                  <c:v>-0.44817435516002613</c:v>
                </c:pt>
                <c:pt idx="7">
                  <c:v>-0.41260814927422879</c:v>
                </c:pt>
                <c:pt idx="8">
                  <c:v>-0.3827687582823136</c:v>
                </c:pt>
                <c:pt idx="9">
                  <c:v>-0.35720470805690796</c:v>
                </c:pt>
                <c:pt idx="10">
                  <c:v>-0.33493528275312662</c:v>
                </c:pt>
                <c:pt idx="11">
                  <c:v>-0.31527044435406154</c:v>
                </c:pt>
                <c:pt idx="12">
                  <c:v>-0.29770844096575938</c:v>
                </c:pt>
                <c:pt idx="13">
                  <c:v>-0.28187434967107439</c:v>
                </c:pt>
                <c:pt idx="14">
                  <c:v>-0.26748151064261849</c:v>
                </c:pt>
              </c:numCache>
            </c:numRef>
          </c:val>
        </c:ser>
        <c:ser>
          <c:idx val="3"/>
          <c:order val="3"/>
          <c:tx>
            <c:strRef>
              <c:f>'d1'!$N$2</c:f>
              <c:strCache>
                <c:ptCount val="1"/>
                <c:pt idx="0">
                  <c:v>48,5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'd1'!$N$3:$N$17</c:f>
              <c:numCache>
                <c:formatCode>General</c:formatCode>
                <c:ptCount val="15"/>
                <c:pt idx="0">
                  <c:v>-0.9638292737002766</c:v>
                </c:pt>
                <c:pt idx="1">
                  <c:v>-0.66828907061444831</c:v>
                </c:pt>
                <c:pt idx="2">
                  <c:v>-0.53484439183243304</c:v>
                </c:pt>
                <c:pt idx="3">
                  <c:v>-0.45382592717271891</c:v>
                </c:pt>
                <c:pt idx="4">
                  <c:v>-0.39753981401216526</c:v>
                </c:pt>
                <c:pt idx="5">
                  <c:v>-0.35525776093002392</c:v>
                </c:pt>
                <c:pt idx="6">
                  <c:v>-0.3218270861020513</c:v>
                </c:pt>
                <c:pt idx="7">
                  <c:v>-0.29442110113185727</c:v>
                </c:pt>
                <c:pt idx="8">
                  <c:v>-0.27134094069579112</c:v>
                </c:pt>
                <c:pt idx="9">
                  <c:v>-0.25149499857435476</c:v>
                </c:pt>
                <c:pt idx="10">
                  <c:v>-0.2341450294414921</c:v>
                </c:pt>
                <c:pt idx="11">
                  <c:v>-0.21877112363587464</c:v>
                </c:pt>
                <c:pt idx="12">
                  <c:v>-0.20499489254546976</c:v>
                </c:pt>
                <c:pt idx="13">
                  <c:v>-0.19253333893577912</c:v>
                </c:pt>
                <c:pt idx="14">
                  <c:v>-0.18116989427925059</c:v>
                </c:pt>
              </c:numCache>
            </c:numRef>
          </c:val>
        </c:ser>
        <c:ser>
          <c:idx val="4"/>
          <c:order val="4"/>
          <c:tx>
            <c:strRef>
              <c:f>'d1'!$O$2</c:f>
              <c:strCache>
                <c:ptCount val="1"/>
                <c:pt idx="0">
                  <c:v>49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'd1'!$O$3:$O$17</c:f>
              <c:numCache>
                <c:formatCode>General</c:formatCode>
                <c:ptCount val="15"/>
                <c:pt idx="0">
                  <c:v>-0.63297442959740213</c:v>
                </c:pt>
                <c:pt idx="1">
                  <c:v>-0.43433936676088775</c:v>
                </c:pt>
                <c:pt idx="2">
                  <c:v>-0.34382525852694684</c:v>
                </c:pt>
                <c:pt idx="3">
                  <c:v>-0.28839850512128168</c:v>
                </c:pt>
                <c:pt idx="4">
                  <c:v>-0.24957702959234077</c:v>
                </c:pt>
                <c:pt idx="5">
                  <c:v>-0.2201868364333375</c:v>
                </c:pt>
                <c:pt idx="6">
                  <c:v>-0.19677570930815833</c:v>
                </c:pt>
                <c:pt idx="7">
                  <c:v>-0.17744624920507698</c:v>
                </c:pt>
                <c:pt idx="8">
                  <c:v>-0.16105599266149964</c:v>
                </c:pt>
                <c:pt idx="9">
                  <c:v>-0.14686951034785356</c:v>
                </c:pt>
                <c:pt idx="10">
                  <c:v>-0.13438854053596805</c:v>
                </c:pt>
                <c:pt idx="11">
                  <c:v>-0.12326155698313151</c:v>
                </c:pt>
                <c:pt idx="12">
                  <c:v>-0.11323226907250371</c:v>
                </c:pt>
                <c:pt idx="13">
                  <c:v>-0.10410866240810333</c:v>
                </c:pt>
                <c:pt idx="14">
                  <c:v>-9.5743540864418344E-2</c:v>
                </c:pt>
              </c:numCache>
            </c:numRef>
          </c:val>
        </c:ser>
        <c:ser>
          <c:idx val="5"/>
          <c:order val="5"/>
          <c:tx>
            <c:strRef>
              <c:f>'d1'!$P$2</c:f>
              <c:strCache>
                <c:ptCount val="1"/>
                <c:pt idx="0">
                  <c:v>49,5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'd1'!$P$3:$P$17</c:f>
              <c:numCache>
                <c:formatCode>General</c:formatCode>
                <c:ptCount val="15"/>
                <c:pt idx="0">
                  <c:v>-0.30547857591940164</c:v>
                </c:pt>
                <c:pt idx="1">
                  <c:v>-0.20276482781469618</c:v>
                </c:pt>
                <c:pt idx="2">
                  <c:v>-0.15474543924746698</c:v>
                </c:pt>
                <c:pt idx="3">
                  <c:v>-0.12465057828228146</c:v>
                </c:pt>
                <c:pt idx="4">
                  <c:v>-0.10311643135767401</c:v>
                </c:pt>
                <c:pt idx="5">
                  <c:v>-8.6487214035290388E-2</c:v>
                </c:pt>
                <c:pt idx="6">
                  <c:v>-7.2993911560045893E-2</c:v>
                </c:pt>
                <c:pt idx="7">
                  <c:v>-6.1658979731981235E-2</c:v>
                </c:pt>
                <c:pt idx="8">
                  <c:v>-5.1890708102166137E-2</c:v>
                </c:pt>
                <c:pt idx="9">
                  <c:v>-4.3306228159482249E-2</c:v>
                </c:pt>
                <c:pt idx="10">
                  <c:v>-3.5644825349871567E-2</c:v>
                </c:pt>
                <c:pt idx="11">
                  <c:v>-2.8721647343391568E-2</c:v>
                </c:pt>
                <c:pt idx="12">
                  <c:v>-2.2401261923435792E-2</c:v>
                </c:pt>
                <c:pt idx="13">
                  <c:v>-1.65817138329513E-2</c:v>
                </c:pt>
                <c:pt idx="14">
                  <c:v>-1.1184475047959873E-2</c:v>
                </c:pt>
              </c:numCache>
            </c:numRef>
          </c:val>
        </c:ser>
        <c:ser>
          <c:idx val="6"/>
          <c:order val="6"/>
          <c:tx>
            <c:strRef>
              <c:f>'d1'!$Q$2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'd1'!$Q$3:$Q$17</c:f>
              <c:numCache>
                <c:formatCode>General</c:formatCode>
                <c:ptCount val="15"/>
                <c:pt idx="0">
                  <c:v>1.8725806451612904E-2</c:v>
                </c:pt>
                <c:pt idx="1">
                  <c:v>2.6482289450244573E-2</c:v>
                </c:pt>
                <c:pt idx="2">
                  <c:v>3.2434048186894618E-2</c:v>
                </c:pt>
                <c:pt idx="3">
                  <c:v>3.7451612903225809E-2</c:v>
                </c:pt>
                <c:pt idx="4">
                  <c:v>4.187217615931059E-2</c:v>
                </c:pt>
                <c:pt idx="5">
                  <c:v>4.5868670828568874E-2</c:v>
                </c:pt>
                <c:pt idx="6">
                  <c:v>4.9543826970096606E-2</c:v>
                </c:pt>
                <c:pt idx="7">
                  <c:v>5.2964578900489147E-2</c:v>
                </c:pt>
                <c:pt idx="8">
                  <c:v>5.6177419354838713E-2</c:v>
                </c:pt>
                <c:pt idx="9">
                  <c:v>5.92161994105724E-2</c:v>
                </c:pt>
                <c:pt idx="10">
                  <c:v>6.2106473896816443E-2</c:v>
                </c:pt>
                <c:pt idx="11">
                  <c:v>6.4868096373789236E-2</c:v>
                </c:pt>
                <c:pt idx="12">
                  <c:v>6.7516855335704701E-2</c:v>
                </c:pt>
                <c:pt idx="13">
                  <c:v>7.0065552032976555E-2</c:v>
                </c:pt>
                <c:pt idx="14">
                  <c:v>7.252473653140018E-2</c:v>
                </c:pt>
              </c:numCache>
            </c:numRef>
          </c:val>
        </c:ser>
        <c:ser>
          <c:idx val="7"/>
          <c:order val="7"/>
          <c:tx>
            <c:strRef>
              <c:f>'d1'!$R$2</c:f>
              <c:strCache>
                <c:ptCount val="1"/>
                <c:pt idx="0">
                  <c:v>50,5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'd1'!$R$3:$R$17</c:f>
              <c:numCache>
                <c:formatCode>General</c:formatCode>
                <c:ptCount val="15"/>
                <c:pt idx="0">
                  <c:v>0.33970422106993842</c:v>
                </c:pt>
                <c:pt idx="1">
                  <c:v>0.25344830304136984</c:v>
                </c:pt>
                <c:pt idx="2">
                  <c:v>0.21775102227084417</c:v>
                </c:pt>
                <c:pt idx="3">
                  <c:v>0.1979408202123886</c:v>
                </c:pt>
                <c:pt idx="4">
                  <c:v>0.18541808703864823</c:v>
                </c:pt>
                <c:pt idx="5">
                  <c:v>0.17690755987230128</c:v>
                </c:pt>
                <c:pt idx="6">
                  <c:v>0.17086226429864926</c:v>
                </c:pt>
                <c:pt idx="7">
                  <c:v>0.16644758569605178</c:v>
                </c:pt>
                <c:pt idx="8">
                  <c:v>0.1631702242276139</c:v>
                </c:pt>
                <c:pt idx="9">
                  <c:v>0.16071848640495184</c:v>
                </c:pt>
                <c:pt idx="10">
                  <c:v>0.15888510726882668</c:v>
                </c:pt>
                <c:pt idx="11">
                  <c:v>0.15752658341576403</c:v>
                </c:pt>
                <c:pt idx="12">
                  <c:v>0.15654025012212877</c:v>
                </c:pt>
                <c:pt idx="13">
                  <c:v>0.15585064175095134</c:v>
                </c:pt>
                <c:pt idx="14">
                  <c:v>0.15540100681865579</c:v>
                </c:pt>
              </c:numCache>
            </c:numRef>
          </c:val>
        </c:ser>
        <c:ser>
          <c:idx val="8"/>
          <c:order val="8"/>
          <c:tx>
            <c:strRef>
              <c:f>'d1'!$S$2</c:f>
              <c:strCache>
                <c:ptCount val="1"/>
                <c:pt idx="0">
                  <c:v>51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'd1'!$S$3:$S$17</c:f>
              <c:numCache>
                <c:formatCode>General</c:formatCode>
                <c:ptCount val="15"/>
                <c:pt idx="0">
                  <c:v>0.65752023536063653</c:v>
                </c:pt>
                <c:pt idx="1">
                  <c:v>0.4781781619160031</c:v>
                </c:pt>
                <c:pt idx="2">
                  <c:v>0.4012421836743526</c:v>
                </c:pt>
                <c:pt idx="3">
                  <c:v>0.3568488273577376</c:v>
                </c:pt>
                <c:pt idx="4">
                  <c:v>0.3275497294970573</c:v>
                </c:pt>
                <c:pt idx="5">
                  <c:v>0.30665540438851741</c:v>
                </c:pt>
                <c:pt idx="6">
                  <c:v>0.29098542665392596</c:v>
                </c:pt>
                <c:pt idx="7">
                  <c:v>0.27881251513336841</c:v>
                </c:pt>
                <c:pt idx="8">
                  <c:v>0.26910889565784657</c:v>
                </c:pt>
                <c:pt idx="9">
                  <c:v>0.26122073460847473</c:v>
                </c:pt>
                <c:pt idx="10">
                  <c:v>0.2547102410659608</c:v>
                </c:pt>
                <c:pt idx="11">
                  <c:v>0.24927216411751826</c:v>
                </c:pt>
                <c:pt idx="12">
                  <c:v>0.24468655286741398</c:v>
                </c:pt>
                <c:pt idx="13">
                  <c:v>0.24079054442994011</c:v>
                </c:pt>
                <c:pt idx="14">
                  <c:v>0.23746074885238191</c:v>
                </c:pt>
              </c:numCache>
            </c:numRef>
          </c:val>
        </c:ser>
        <c:ser>
          <c:idx val="9"/>
          <c:order val="9"/>
          <c:tx>
            <c:strRef>
              <c:f>'d1'!$T$2</c:f>
              <c:strCache>
                <c:ptCount val="1"/>
                <c:pt idx="0">
                  <c:v>51,5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'd1'!$T$3:$T$17</c:f>
              <c:numCache>
                <c:formatCode>General</c:formatCode>
                <c:ptCount val="15"/>
                <c:pt idx="0">
                  <c:v>0.9722355561788526</c:v>
                </c:pt>
                <c:pt idx="1">
                  <c:v>0.70071549940986355</c:v>
                </c:pt>
                <c:pt idx="2">
                  <c:v>0.582943158866849</c:v>
                </c:pt>
                <c:pt idx="3">
                  <c:v>0.51420648776684563</c:v>
                </c:pt>
                <c:pt idx="4">
                  <c:v>0.46829469967909443</c:v>
                </c:pt>
                <c:pt idx="5">
                  <c:v>0.43513739609534036</c:v>
                </c:pt>
                <c:pt idx="6">
                  <c:v>0.4099366370349129</c:v>
                </c:pt>
                <c:pt idx="7">
                  <c:v>0.39008118388029861</c:v>
                </c:pt>
                <c:pt idx="8">
                  <c:v>0.37401400259725187</c:v>
                </c:pt>
                <c:pt idx="9">
                  <c:v>0.36074245744209166</c:v>
                </c:pt>
                <c:pt idx="10">
                  <c:v>0.34960048060508336</c:v>
                </c:pt>
                <c:pt idx="11">
                  <c:v>0.34012265171376649</c:v>
                </c:pt>
                <c:pt idx="12">
                  <c:v>0.33197287797388925</c:v>
                </c:pt>
                <c:pt idx="13">
                  <c:v>0.3249017519206836</c:v>
                </c:pt>
                <c:pt idx="14">
                  <c:v>0.31871989527406691</c:v>
                </c:pt>
              </c:numCache>
            </c:numRef>
          </c:val>
        </c:ser>
        <c:ser>
          <c:idx val="10"/>
          <c:order val="10"/>
          <c:tx>
            <c:strRef>
              <c:f>'d1'!$U$2</c:f>
              <c:strCache>
                <c:ptCount val="1"/>
                <c:pt idx="0">
                  <c:v>52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'd1'!$U$3:$U$17</c:f>
              <c:numCache>
                <c:formatCode>General</c:formatCode>
                <c:ptCount val="15"/>
                <c:pt idx="0">
                  <c:v>1.2839101017187524</c:v>
                </c:pt>
                <c:pt idx="1">
                  <c:v>0.92110268408436236</c:v>
                </c:pt>
                <c:pt idx="2">
                  <c:v>0.76288854163386466</c:v>
                </c:pt>
                <c:pt idx="3">
                  <c:v>0.6700437605367956</c:v>
                </c:pt>
                <c:pt idx="4">
                  <c:v>0.60767979381580861</c:v>
                </c:pt>
                <c:pt idx="5">
                  <c:v>0.56237799649310594</c:v>
                </c:pt>
                <c:pt idx="6">
                  <c:v>0.5277385423902915</c:v>
                </c:pt>
                <c:pt idx="7">
                  <c:v>0.50027477621754801</c:v>
                </c:pt>
                <c:pt idx="8">
                  <c:v>0.47790551777721862</c:v>
                </c:pt>
                <c:pt idx="9">
                  <c:v>0.45930260270248741</c:v>
                </c:pt>
                <c:pt idx="10">
                  <c:v>0.44357389190148211</c:v>
                </c:pt>
                <c:pt idx="11">
                  <c:v>0.43009534309727432</c:v>
                </c:pt>
                <c:pt idx="12">
                  <c:v>0.41841584375858504</c:v>
                </c:pt>
                <c:pt idx="13">
                  <c:v>0.40820027803416775</c:v>
                </c:pt>
                <c:pt idx="14">
                  <c:v>0.39919391689492012</c:v>
                </c:pt>
              </c:numCache>
            </c:numRef>
          </c:val>
        </c:ser>
        <c:ser>
          <c:idx val="11"/>
          <c:order val="11"/>
          <c:tx>
            <c:strRef>
              <c:f>'d1'!$V$2</c:f>
              <c:strCache>
                <c:ptCount val="1"/>
                <c:pt idx="0">
                  <c:v>52,5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'd1'!$V$3:$V$17</c:f>
              <c:numCache>
                <c:formatCode>General</c:formatCode>
                <c:ptCount val="15"/>
                <c:pt idx="0">
                  <c:v>1.592602069981679</c:v>
                </c:pt>
                <c:pt idx="1">
                  <c:v>1.1393808681409001</c:v>
                </c:pt>
                <c:pt idx="2">
                  <c:v>0.94111193260714066</c:v>
                </c:pt>
                <c:pt idx="3">
                  <c:v>0.82438974466825887</c:v>
                </c:pt>
                <c:pt idx="4">
                  <c:v>0.74573103884463077</c:v>
                </c:pt>
                <c:pt idx="5">
                  <c:v>0.6884009648163707</c:v>
                </c:pt>
                <c:pt idx="6">
                  <c:v>0.64441313949696966</c:v>
                </c:pt>
                <c:pt idx="7">
                  <c:v>0.60941386824581689</c:v>
                </c:pt>
                <c:pt idx="8">
                  <c:v>0.58080284053152742</c:v>
                </c:pt>
                <c:pt idx="9">
                  <c:v>0.55691957421361327</c:v>
                </c:pt>
                <c:pt idx="10">
                  <c:v>0.5366480223127934</c:v>
                </c:pt>
                <c:pt idx="11">
                  <c:v>0.51920703858391226</c:v>
                </c:pt>
                <c:pt idx="12">
                  <c:v>0.50403159144288379</c:v>
                </c:pt>
                <c:pt idx="13">
                  <c:v>0.49070167684050819</c:v>
                </c:pt>
                <c:pt idx="14">
                  <c:v>0.47889784037427363</c:v>
                </c:pt>
              </c:numCache>
            </c:numRef>
          </c:val>
        </c:ser>
        <c:ser>
          <c:idx val="12"/>
          <c:order val="12"/>
          <c:tx>
            <c:strRef>
              <c:f>'d1'!$W$2</c:f>
              <c:strCache>
                <c:ptCount val="1"/>
                <c:pt idx="0">
                  <c:v>53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'd1'!$W$3:$W$17</c:f>
              <c:numCache>
                <c:formatCode>General</c:formatCode>
                <c:ptCount val="15"/>
                <c:pt idx="0">
                  <c:v>1.8983680039992201</c:v>
                </c:pt>
                <c:pt idx="1">
                  <c:v>1.355590033540542</c:v>
                </c:pt>
                <c:pt idx="2">
                  <c:v>1.1176459769211853</c:v>
                </c:pt>
                <c:pt idx="3">
                  <c:v>0.97727271167702934</c:v>
                </c:pt>
                <c:pt idx="4">
                  <c:v>0.88247372157801829</c:v>
                </c:pt>
                <c:pt idx="5">
                  <c:v>0.81322938466111816</c:v>
                </c:pt>
                <c:pt idx="6">
                  <c:v>0.75998179961208367</c:v>
                </c:pt>
                <c:pt idx="7">
                  <c:v>0.71751845094563771</c:v>
                </c:pt>
                <c:pt idx="8">
                  <c:v>0.68272481853737454</c:v>
                </c:pt>
                <c:pt idx="9">
                  <c:v>0.65361125245203222</c:v>
                </c:pt>
                <c:pt idx="10">
                  <c:v>0.62883992020449797</c:v>
                </c:pt>
                <c:pt idx="11">
                  <c:v>0.60747406074093468</c:v>
                </c:pt>
                <c:pt idx="12">
                  <c:v>0.58883580324214402</c:v>
                </c:pt>
                <c:pt idx="13">
                  <c:v>0.57242106010054861</c:v>
                </c:pt>
                <c:pt idx="14">
                  <c:v>0.55784626506010637</c:v>
                </c:pt>
              </c:numCache>
            </c:numRef>
          </c:val>
        </c:ser>
        <c:ser>
          <c:idx val="13"/>
          <c:order val="13"/>
          <c:tx>
            <c:strRef>
              <c:f>'d1'!$X$2</c:f>
              <c:strCache>
                <c:ptCount val="1"/>
                <c:pt idx="0">
                  <c:v>53,5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'd1'!$X$3:$X$17</c:f>
              <c:numCache>
                <c:formatCode>General</c:formatCode>
                <c:ptCount val="15"/>
                <c:pt idx="0">
                  <c:v>2.2012628539940278</c:v>
                </c:pt>
                <c:pt idx="1">
                  <c:v>1.5697690359583525</c:v>
                </c:pt>
                <c:pt idx="2">
                  <c:v>1.2925224001018389</c:v>
                </c:pt>
                <c:pt idx="3">
                  <c:v>1.1287201366744333</c:v>
                </c:pt>
                <c:pt idx="4">
                  <c:v>1.0179324165026167</c:v>
                </c:pt>
                <c:pt idx="5">
                  <c:v>0.93688568936180672</c:v>
                </c:pt>
                <c:pt idx="6">
                  <c:v>0.87446529196758016</c:v>
                </c:pt>
                <c:pt idx="7">
                  <c:v>0.82460795215454308</c:v>
                </c:pt>
                <c:pt idx="8">
                  <c:v>0.78368976853564365</c:v>
                </c:pt>
                <c:pt idx="9">
                  <c:v>0.74939501420389554</c:v>
                </c:pt>
                <c:pt idx="10">
                  <c:v>0.72016615369211245</c:v>
                </c:pt>
                <c:pt idx="11">
                  <c:v>0.69491227233126152</c:v>
                </c:pt>
                <c:pt idx="12">
                  <c:v>0.67284371960600964</c:v>
                </c:pt>
                <c:pt idx="13">
                  <c:v>0.6533731138790384</c:v>
                </c:pt>
                <c:pt idx="14">
                  <c:v>0.6360533790388988</c:v>
                </c:pt>
              </c:numCache>
            </c:numRef>
          </c:val>
        </c:ser>
        <c:ser>
          <c:idx val="14"/>
          <c:order val="14"/>
          <c:tx>
            <c:strRef>
              <c:f>'d1'!$Y$2</c:f>
              <c:strCache>
                <c:ptCount val="1"/>
                <c:pt idx="0">
                  <c:v>54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'd1'!$Y$3:$Y$17</c:f>
              <c:numCache>
                <c:formatCode>General</c:formatCode>
                <c:ptCount val="15"/>
                <c:pt idx="0">
                  <c:v>2.501340036649303</c:v>
                </c:pt>
                <c:pt idx="1">
                  <c:v>1.7819556466932518</c:v>
                </c:pt>
                <c:pt idx="2">
                  <c:v>1.4657720422855267</c:v>
                </c:pt>
                <c:pt idx="3">
                  <c:v>1.2787587280020709</c:v>
                </c:pt>
                <c:pt idx="4">
                  <c:v>1.1521310122853798</c:v>
                </c:pt>
                <c:pt idx="5">
                  <c:v>1.059391686188035</c:v>
                </c:pt>
                <c:pt idx="6">
                  <c:v>0.9878838061719748</c:v>
                </c:pt>
                <c:pt idx="7">
                  <c:v>0.93070125752199273</c:v>
                </c:pt>
                <c:pt idx="8">
                  <c:v>0.88371549608740196</c:v>
                </c:pt>
                <c:pt idx="9">
                  <c:v>0.84428775130759981</c:v>
                </c:pt>
                <c:pt idx="10">
                  <c:v>0.81064282851161162</c:v>
                </c:pt>
                <c:pt idx="11">
                  <c:v>0.78153709342310529</c:v>
                </c:pt>
                <c:pt idx="12">
                  <c:v>0.75607015565680724</c:v>
                </c:pt>
                <c:pt idx="13">
                  <c:v>0.73357211438506864</c:v>
                </c:pt>
                <c:pt idx="14">
                  <c:v>0.71353297443894692</c:v>
                </c:pt>
              </c:numCache>
            </c:numRef>
          </c:val>
        </c:ser>
        <c:ser>
          <c:idx val="15"/>
          <c:order val="15"/>
          <c:tx>
            <c:strRef>
              <c:f>'d1'!$Z$2</c:f>
              <c:strCache>
                <c:ptCount val="1"/>
                <c:pt idx="0">
                  <c:v>54,5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'd1'!$Z$3:$Z$17</c:f>
              <c:numCache>
                <c:formatCode>General</c:formatCode>
                <c:ptCount val="15"/>
                <c:pt idx="0">
                  <c:v>2.7986514916468521</c:v>
                </c:pt>
                <c:pt idx="1">
                  <c:v>1.9921865926464577</c:v>
                </c:pt>
                <c:pt idx="2">
                  <c:v>1.6374248908615205</c:v>
                </c:pt>
                <c:pt idx="3">
                  <c:v>1.4274144555008454</c:v>
                </c:pt>
                <c:pt idx="4">
                  <c:v>1.2850927370581577</c:v>
                </c:pt>
                <c:pt idx="5">
                  <c:v>1.1807685794261082</c:v>
                </c:pt>
                <c:pt idx="6">
                  <c:v>1.1002569735797301</c:v>
                </c:pt>
                <c:pt idx="7">
                  <c:v>1.0358167304985957</c:v>
                </c:pt>
                <c:pt idx="8">
                  <c:v>0.98281931441991854</c:v>
                </c:pt>
                <c:pt idx="9">
                  <c:v>0.93830588853269037</c:v>
                </c:pt>
                <c:pt idx="10">
                  <c:v>0.90028560506629396</c:v>
                </c:pt>
                <c:pt idx="11">
                  <c:v>0.86736351771110243</c:v>
                </c:pt>
                <c:pt idx="12">
                  <c:v>0.83852951687038157</c:v>
                </c:pt>
                <c:pt idx="13">
                  <c:v>0.81303194308250348</c:v>
                </c:pt>
                <c:pt idx="14">
                  <c:v>0.79029846202842702</c:v>
                </c:pt>
              </c:numCache>
            </c:numRef>
          </c:val>
        </c:ser>
        <c:ser>
          <c:idx val="16"/>
          <c:order val="16"/>
          <c:tx>
            <c:strRef>
              <c:f>'d1'!$AA$2</c:f>
              <c:strCache>
                <c:ptCount val="1"/>
                <c:pt idx="0">
                  <c:v>55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'd1'!$AA$3:$AA$17</c:f>
              <c:numCache>
                <c:formatCode>General</c:formatCode>
                <c:ptCount val="15"/>
                <c:pt idx="0">
                  <c:v>3.0932477356233847</c:v>
                </c:pt>
                <c:pt idx="1">
                  <c:v>2.200497594474351</c:v>
                </c:pt>
                <c:pt idx="2">
                  <c:v>1.8075101116236247</c:v>
                </c:pt>
                <c:pt idx="3">
                  <c:v>1.574712577489112</c:v>
                </c:pt>
                <c:pt idx="4">
                  <c:v>1.416840182547686</c:v>
                </c:pt>
                <c:pt idx="5">
                  <c:v>1.301036992406603</c:v>
                </c:pt>
                <c:pt idx="6">
                  <c:v>1.2116038876848181</c:v>
                </c:pt>
                <c:pt idx="7">
                  <c:v>1.1399722314125422</c:v>
                </c:pt>
                <c:pt idx="8">
                  <c:v>1.081018062412096</c:v>
                </c:pt>
                <c:pt idx="9">
                  <c:v>1.0314654006423407</c:v>
                </c:pt>
                <c:pt idx="10">
                  <c:v>0.98910971469521736</c:v>
                </c:pt>
                <c:pt idx="11">
                  <c:v>0.95240612809215441</c:v>
                </c:pt>
                <c:pt idx="12">
                  <c:v>0.92023581404088084</c:v>
                </c:pt>
                <c:pt idx="13">
                  <c:v>0.89176610111040722</c:v>
                </c:pt>
                <c:pt idx="14">
                  <c:v>0.86636288514685178</c:v>
                </c:pt>
              </c:numCache>
            </c:numRef>
          </c:val>
        </c:ser>
        <c:ser>
          <c:idx val="17"/>
          <c:order val="17"/>
          <c:tx>
            <c:strRef>
              <c:f>'d1'!$AB$2</c:f>
              <c:strCache>
                <c:ptCount val="1"/>
                <c:pt idx="0">
                  <c:v>55,5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'd1'!$J$3:$J$17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'd1'!$AB$3:$AB$17</c:f>
              <c:numCache>
                <c:formatCode>General</c:formatCode>
                <c:ptCount val="15"/>
                <c:pt idx="0">
                  <c:v>3.3851779136852533</c:v>
                </c:pt>
                <c:pt idx="1">
                  <c:v>2.4069234030148943</c:v>
                </c:pt>
                <c:pt idx="2">
                  <c:v>1.9760560785122199</c:v>
                </c:pt>
                <c:pt idx="3">
                  <c:v>1.7206776665200461</c:v>
                </c:pt>
                <c:pt idx="4">
                  <c:v>1.5473953271136769</c:v>
                </c:pt>
                <c:pt idx="5">
                  <c:v>1.4202169885351719</c:v>
                </c:pt>
                <c:pt idx="6">
                  <c:v>1.321943123591462</c:v>
                </c:pt>
                <c:pt idx="7">
                  <c:v>1.2431851356828141</c:v>
                </c:pt>
                <c:pt idx="8">
                  <c:v>1.1783281217660522</c:v>
                </c:pt>
                <c:pt idx="9">
                  <c:v>1.1237818286837431</c:v>
                </c:pt>
                <c:pt idx="10">
                  <c:v>1.0771299752054773</c:v>
                </c:pt>
                <c:pt idx="11">
                  <c:v>1.036679111536452</c:v>
                </c:pt>
                <c:pt idx="12">
                  <c:v>1.0012026775683731</c:v>
                </c:pt>
                <c:pt idx="13">
                  <c:v>0.96978772305093741</c:v>
                </c:pt>
                <c:pt idx="14">
                  <c:v>0.94173893300611722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103682144"/>
        <c:axId val="-1103672352"/>
        <c:axId val="-1099054288"/>
      </c:surface3DChart>
      <c:catAx>
        <c:axId val="-11036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2352"/>
        <c:crosses val="autoZero"/>
        <c:auto val="1"/>
        <c:lblAlgn val="ctr"/>
        <c:lblOffset val="100"/>
        <c:noMultiLvlLbl val="0"/>
      </c:catAx>
      <c:valAx>
        <c:axId val="-1103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82144"/>
        <c:crosses val="autoZero"/>
        <c:crossBetween val="midCat"/>
      </c:valAx>
      <c:serAx>
        <c:axId val="-109905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235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33814523184602E-2"/>
          <c:y val="8.2680988144687953E-2"/>
          <c:w val="0.87942585301837273"/>
          <c:h val="0.86639310405915071"/>
        </c:manualLayout>
      </c:layout>
      <c:scatterChart>
        <c:scatterStyle val="smoothMarker"/>
        <c:varyColors val="0"/>
        <c:ser>
          <c:idx val="0"/>
          <c:order val="0"/>
          <c:tx>
            <c:v>47  OTM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'd1'!$J$3:$J$55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'd1'!$K$3:$K$55</c:f>
              <c:numCache>
                <c:formatCode>General</c:formatCode>
                <c:ptCount val="53"/>
                <c:pt idx="0">
                  <c:v>-1.9772549586479848</c:v>
                </c:pt>
                <c:pt idx="1">
                  <c:v>-1.3848892446695944</c:v>
                </c:pt>
                <c:pt idx="2">
                  <c:v>-1.1199459838406733</c:v>
                </c:pt>
                <c:pt idx="3">
                  <c:v>-0.96053876964657314</c:v>
                </c:pt>
                <c:pt idx="4">
                  <c:v>-0.85075755834963751</c:v>
                </c:pt>
                <c:pt idx="5">
                  <c:v>-0.76898706432209518</c:v>
                </c:pt>
                <c:pt idx="6">
                  <c:v>-0.70486599104732706</c:v>
                </c:pt>
                <c:pt idx="7">
                  <c:v>-0.65272118815943037</c:v>
                </c:pt>
                <c:pt idx="8">
                  <c:v>-0.60914950234502718</c:v>
                </c:pt>
                <c:pt idx="9">
                  <c:v>-0.57196833894945243</c:v>
                </c:pt>
                <c:pt idx="10">
                  <c:v>-0.53970437033971663</c:v>
                </c:pt>
                <c:pt idx="11">
                  <c:v>-0.51132191963999474</c:v>
                </c:pt>
                <c:pt idx="12">
                  <c:v>-0.48606860569556026</c:v>
                </c:pt>
                <c:pt idx="13">
                  <c:v>-0.46338274608085295</c:v>
                </c:pt>
                <c:pt idx="14">
                  <c:v>-0.44283528097400515</c:v>
                </c:pt>
                <c:pt idx="15">
                  <c:v>-0.4240919654684478</c:v>
                </c:pt>
                <c:pt idx="16">
                  <c:v>-0.4068879644990564</c:v>
                </c:pt>
                <c:pt idx="17">
                  <c:v>-0.39101030968921258</c:v>
                </c:pt>
                <c:pt idx="18">
                  <c:v>-0.37628549405796691</c:v>
                </c:pt>
                <c:pt idx="19">
                  <c:v>-0.36257051493585279</c:v>
                </c:pt>
                <c:pt idx="20">
                  <c:v>-0.34974628599804747</c:v>
                </c:pt>
                <c:pt idx="21">
                  <c:v>-0.33771271125520513</c:v>
                </c:pt>
                <c:pt idx="22">
                  <c:v>-0.32638494682383645</c:v>
                </c:pt>
                <c:pt idx="23">
                  <c:v>-0.31569052591819419</c:v>
                </c:pt>
                <c:pt idx="24">
                  <c:v>-0.30556712076185499</c:v>
                </c:pt>
                <c:pt idx="25">
                  <c:v>-0.29596078095695272</c:v>
                </c:pt>
                <c:pt idx="26">
                  <c:v>-0.28682453278183867</c:v>
                </c:pt>
                <c:pt idx="27">
                  <c:v>-0.27811725506851853</c:v>
                </c:pt>
                <c:pt idx="28">
                  <c:v>-0.26980276928162239</c:v>
                </c:pt>
                <c:pt idx="29">
                  <c:v>-0.26184909712024829</c:v>
                </c:pt>
                <c:pt idx="30">
                  <c:v>-0.25422785032880352</c:v>
                </c:pt>
                <c:pt idx="31">
                  <c:v>-0.24691372572898135</c:v>
                </c:pt>
                <c:pt idx="32">
                  <c:v>-0.23988408465296193</c:v>
                </c:pt>
                <c:pt idx="33">
                  <c:v>-0.2331186005747046</c:v>
                </c:pt>
                <c:pt idx="34">
                  <c:v>-0.22659896222541742</c:v>
                </c:pt>
                <c:pt idx="35">
                  <c:v>-0.22030862214025543</c:v>
                </c:pt>
                <c:pt idx="36">
                  <c:v>-0.21423258262985834</c:v>
                </c:pt>
                <c:pt idx="37">
                  <c:v>-0.20835721275691399</c:v>
                </c:pt>
                <c:pt idx="38">
                  <c:v>-0.20267009113714538</c:v>
                </c:pt>
                <c:pt idx="39">
                  <c:v>-0.19715987035886748</c:v>
                </c:pt>
                <c:pt idx="40">
                  <c:v>-0.19181615958710321</c:v>
                </c:pt>
                <c:pt idx="41">
                  <c:v>-0.18662942253329085</c:v>
                </c:pt>
                <c:pt idx="42">
                  <c:v>-0.18159088846463756</c:v>
                </c:pt>
                <c:pt idx="43">
                  <c:v>-0.17669247432463353</c:v>
                </c:pt>
                <c:pt idx="44">
                  <c:v>-0.17192671635838416</c:v>
                </c:pt>
                <c:pt idx="45">
                  <c:v>-0.16728670989885799</c:v>
                </c:pt>
                <c:pt idx="46">
                  <c:v>-0.16276605618499423</c:v>
                </c:pt>
                <c:pt idx="47">
                  <c:v>-0.15835881525931339</c:v>
                </c:pt>
                <c:pt idx="48">
                  <c:v>-0.1540594641386521</c:v>
                </c:pt>
                <c:pt idx="49">
                  <c:v>-0.14986285957274484</c:v>
                </c:pt>
                <c:pt idx="50">
                  <c:v>-0.14576420480625599</c:v>
                </c:pt>
                <c:pt idx="51">
                  <c:v>-0.14175901984422293</c:v>
                </c:pt>
                <c:pt idx="52">
                  <c:v>-0.13784311479167638</c:v>
                </c:pt>
              </c:numCache>
            </c:numRef>
          </c:yVal>
          <c:smooth val="1"/>
        </c:ser>
        <c:ser>
          <c:idx val="1"/>
          <c:order val="1"/>
          <c:tx>
            <c:v>50  ATM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'd1'!$J$3:$J$55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'd1'!$Q$3:$Q$55</c:f>
              <c:numCache>
                <c:formatCode>General</c:formatCode>
                <c:ptCount val="53"/>
                <c:pt idx="0">
                  <c:v>1.8725806451612904E-2</c:v>
                </c:pt>
                <c:pt idx="1">
                  <c:v>2.6482289450244573E-2</c:v>
                </c:pt>
                <c:pt idx="2">
                  <c:v>3.2434048186894618E-2</c:v>
                </c:pt>
                <c:pt idx="3">
                  <c:v>3.7451612903225809E-2</c:v>
                </c:pt>
                <c:pt idx="4">
                  <c:v>4.187217615931059E-2</c:v>
                </c:pt>
                <c:pt idx="5">
                  <c:v>4.5868670828568874E-2</c:v>
                </c:pt>
                <c:pt idx="6">
                  <c:v>4.9543826970096606E-2</c:v>
                </c:pt>
                <c:pt idx="7">
                  <c:v>5.2964578900489147E-2</c:v>
                </c:pt>
                <c:pt idx="8">
                  <c:v>5.6177419354838713E-2</c:v>
                </c:pt>
                <c:pt idx="9">
                  <c:v>5.92161994105724E-2</c:v>
                </c:pt>
                <c:pt idx="10">
                  <c:v>6.2106473896816443E-2</c:v>
                </c:pt>
                <c:pt idx="11">
                  <c:v>6.4868096373789236E-2</c:v>
                </c:pt>
                <c:pt idx="12">
                  <c:v>6.7516855335704701E-2</c:v>
                </c:pt>
                <c:pt idx="13">
                  <c:v>7.0065552032976555E-2</c:v>
                </c:pt>
                <c:pt idx="14">
                  <c:v>7.252473653140018E-2</c:v>
                </c:pt>
                <c:pt idx="15">
                  <c:v>7.4903225806451618E-2</c:v>
                </c:pt>
                <c:pt idx="16">
                  <c:v>7.7208477924872662E-2</c:v>
                </c:pt>
                <c:pt idx="17">
                  <c:v>7.9446868350733724E-2</c:v>
                </c:pt>
                <c:pt idx="18">
                  <c:v>8.1623897958882627E-2</c:v>
                </c:pt>
                <c:pt idx="19">
                  <c:v>8.3744352318621165E-2</c:v>
                </c:pt>
                <c:pt idx="20">
                  <c:v>8.581242551360857E-2</c:v>
                </c:pt>
                <c:pt idx="21">
                  <c:v>8.783181769604842E-2</c:v>
                </c:pt>
                <c:pt idx="22">
                  <c:v>8.9805812880097868E-2</c:v>
                </c:pt>
                <c:pt idx="23">
                  <c:v>9.1737341657137747E-2</c:v>
                </c:pt>
                <c:pt idx="24">
                  <c:v>9.3629032258064543E-2</c:v>
                </c:pt>
                <c:pt idx="25">
                  <c:v>9.548325250453589E-2</c:v>
                </c:pt>
                <c:pt idx="26">
                  <c:v>9.7302144560683895E-2</c:v>
                </c:pt>
                <c:pt idx="27">
                  <c:v>9.908765394019324E-2</c:v>
                </c:pt>
                <c:pt idx="28">
                  <c:v>0.10084155388843807</c:v>
                </c:pt>
                <c:pt idx="29">
                  <c:v>0.10256546601024162</c:v>
                </c:pt>
                <c:pt idx="30">
                  <c:v>0.10426087782654285</c:v>
                </c:pt>
                <c:pt idx="31">
                  <c:v>0.10592915780097831</c:v>
                </c:pt>
                <c:pt idx="32">
                  <c:v>0.10757156826823634</c:v>
                </c:pt>
                <c:pt idx="33">
                  <c:v>0.10918927661153863</c:v>
                </c:pt>
                <c:pt idx="34">
                  <c:v>0.11078336497062348</c:v>
                </c:pt>
                <c:pt idx="35">
                  <c:v>0.11235483870967745</c:v>
                </c:pt>
                <c:pt idx="36">
                  <c:v>0.11390463383348766</c:v>
                </c:pt>
                <c:pt idx="37">
                  <c:v>0.11543362350720943</c:v>
                </c:pt>
                <c:pt idx="38">
                  <c:v>0.11694262380871845</c:v>
                </c:pt>
                <c:pt idx="39">
                  <c:v>0.11843239882114481</c:v>
                </c:pt>
                <c:pt idx="40">
                  <c:v>0.11990366515579902</c:v>
                </c:pt>
                <c:pt idx="41">
                  <c:v>0.12135709598147626</c:v>
                </c:pt>
                <c:pt idx="42">
                  <c:v>0.12279332462442943</c:v>
                </c:pt>
                <c:pt idx="43">
                  <c:v>0.12421294779363291</c:v>
                </c:pt>
                <c:pt idx="44">
                  <c:v>0.12561652847793178</c:v>
                </c:pt>
                <c:pt idx="45">
                  <c:v>0.12700459855497481</c:v>
                </c:pt>
                <c:pt idx="46">
                  <c:v>0.1283776611462196</c:v>
                </c:pt>
                <c:pt idx="47">
                  <c:v>0.12973619274757853</c:v>
                </c:pt>
                <c:pt idx="48">
                  <c:v>0.13108064516129037</c:v>
                </c:pt>
                <c:pt idx="49">
                  <c:v>0.13241144725122289</c:v>
                </c:pt>
                <c:pt idx="50">
                  <c:v>0.13372900654093955</c:v>
                </c:pt>
                <c:pt idx="51">
                  <c:v>0.13503371067140943</c:v>
                </c:pt>
                <c:pt idx="52">
                  <c:v>0.13632592873314006</c:v>
                </c:pt>
              </c:numCache>
            </c:numRef>
          </c:yVal>
          <c:smooth val="1"/>
        </c:ser>
        <c:ser>
          <c:idx val="2"/>
          <c:order val="2"/>
          <c:tx>
            <c:v>53  ITM</c:v>
          </c:tx>
          <c:spPr>
            <a:ln w="19050" cap="rnd">
              <a:solidFill>
                <a:srgbClr val="42AC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AC81"/>
              </a:solidFill>
              <a:ln w="9525">
                <a:solidFill>
                  <a:srgbClr val="42AC81"/>
                </a:solidFill>
              </a:ln>
              <a:effectLst/>
            </c:spPr>
          </c:marker>
          <c:xVal>
            <c:numRef>
              <c:f>'d1'!$J$3:$J$55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'd1'!$W$3:$W$55</c:f>
              <c:numCache>
                <c:formatCode>General</c:formatCode>
                <c:ptCount val="53"/>
                <c:pt idx="0">
                  <c:v>1.8983680039992201</c:v>
                </c:pt>
                <c:pt idx="1">
                  <c:v>1.355590033540542</c:v>
                </c:pt>
                <c:pt idx="2">
                  <c:v>1.1176459769211853</c:v>
                </c:pt>
                <c:pt idx="3">
                  <c:v>0.97727271167702934</c:v>
                </c:pt>
                <c:pt idx="4">
                  <c:v>0.88247372157801829</c:v>
                </c:pt>
                <c:pt idx="5">
                  <c:v>0.81322938466111816</c:v>
                </c:pt>
                <c:pt idx="6">
                  <c:v>0.75998179961208367</c:v>
                </c:pt>
                <c:pt idx="7">
                  <c:v>0.71751845094563771</c:v>
                </c:pt>
                <c:pt idx="8">
                  <c:v>0.68272481853737454</c:v>
                </c:pt>
                <c:pt idx="9">
                  <c:v>0.65361125245203222</c:v>
                </c:pt>
                <c:pt idx="10">
                  <c:v>0.62883992020449797</c:v>
                </c:pt>
                <c:pt idx="11">
                  <c:v>0.60747406074093468</c:v>
                </c:pt>
                <c:pt idx="12">
                  <c:v>0.58883580324214402</c:v>
                </c:pt>
                <c:pt idx="13">
                  <c:v>0.57242106010054861</c:v>
                </c:pt>
                <c:pt idx="14">
                  <c:v>0.55784626506010637</c:v>
                </c:pt>
                <c:pt idx="15">
                  <c:v>0.5448137751933535</c:v>
                </c:pt>
                <c:pt idx="16">
                  <c:v>0.53308867315174802</c:v>
                </c:pt>
                <c:pt idx="17">
                  <c:v>0.5224827830474994</c:v>
                </c:pt>
                <c:pt idx="18">
                  <c:v>0.51284339212334229</c:v>
                </c:pt>
                <c:pt idx="19">
                  <c:v>0.50404512502797494</c:v>
                </c:pt>
                <c:pt idx="20">
                  <c:v>0.49598398026099183</c:v>
                </c:pt>
                <c:pt idx="21">
                  <c:v>0.48857288070543203</c:v>
                </c:pt>
                <c:pt idx="22">
                  <c:v>0.48173830433868947</c:v>
                </c:pt>
                <c:pt idx="23">
                  <c:v>0.47541769857341232</c:v>
                </c:pt>
                <c:pt idx="24">
                  <c:v>0.46955747176758594</c:v>
                </c:pt>
                <c:pt idx="25">
                  <c:v>0.46411141573021564</c:v>
                </c:pt>
                <c:pt idx="26">
                  <c:v>0.45903945413878078</c:v>
                </c:pt>
                <c:pt idx="27">
                  <c:v>0.45430664026118678</c:v>
                </c:pt>
                <c:pt idx="28">
                  <c:v>0.44988234741389782</c:v>
                </c:pt>
                <c:pt idx="29">
                  <c:v>0.44573960988871025</c:v>
                </c:pt>
                <c:pt idx="30">
                  <c:v>0.44185458241935166</c:v>
                </c:pt>
                <c:pt idx="31">
                  <c:v>0.43820609382355252</c:v>
                </c:pt>
                <c:pt idx="32">
                  <c:v>0.43477527605274047</c:v>
                </c:pt>
                <c:pt idx="33">
                  <c:v>0.4315452540651093</c:v>
                </c:pt>
                <c:pt idx="34">
                  <c:v>0.42850088509554723</c:v>
                </c:pt>
                <c:pt idx="35">
                  <c:v>0.42562853830094532</c:v>
                </c:pt>
                <c:pt idx="36">
                  <c:v>0.42291590760673053</c:v>
                </c:pt>
                <c:pt idx="37">
                  <c:v>0.42035185201073166</c:v>
                </c:pt>
                <c:pt idx="38">
                  <c:v>0.41792625871615363</c:v>
                </c:pt>
                <c:pt idx="39">
                  <c:v>0.4156299253418746</c:v>
                </c:pt>
                <c:pt idx="40">
                  <c:v>0.41345445815137521</c:v>
                </c:pt>
                <c:pt idx="41">
                  <c:v>0.4113921837931801</c:v>
                </c:pt>
                <c:pt idx="42">
                  <c:v>0.4094360724872747</c:v>
                </c:pt>
                <c:pt idx="43">
                  <c:v>0.4075796709474736</c:v>
                </c:pt>
                <c:pt idx="44">
                  <c:v>0.40581704361750098</c:v>
                </c:pt>
                <c:pt idx="45">
                  <c:v>0.40414272103268356</c:v>
                </c:pt>
                <c:pt idx="46">
                  <c:v>0.40255165431058509</c:v>
                </c:pt>
                <c:pt idx="47">
                  <c:v>0.4010391749311511</c:v>
                </c:pt>
                <c:pt idx="48">
                  <c:v>0.39960095909666282</c:v>
                </c:pt>
                <c:pt idx="49">
                  <c:v>0.39823299606928225</c:v>
                </c:pt>
                <c:pt idx="50">
                  <c:v>0.39693155997339513</c:v>
                </c:pt>
                <c:pt idx="51">
                  <c:v>0.39569318462462905</c:v>
                </c:pt>
                <c:pt idx="52">
                  <c:v>0.39451464101003242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3669632"/>
        <c:axId val="-1103676704"/>
      </c:scatterChart>
      <c:valAx>
        <c:axId val="-110366963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76704"/>
        <c:crosses val="autoZero"/>
        <c:crossBetween val="midCat"/>
      </c:valAx>
      <c:valAx>
        <c:axId val="-110367670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</a:t>
                </a:r>
                <a:r>
                  <a:rPr lang="en-US" sz="1600" baseline="-25000"/>
                  <a:t>1</a:t>
                </a:r>
                <a:endParaRPr lang="ru-RU" sz="1600" baseline="-25000"/>
              </a:p>
            </c:rich>
          </c:tx>
          <c:layout>
            <c:manualLayout>
              <c:xMode val="edge"/>
              <c:yMode val="edge"/>
              <c:x val="2.2222222222222223E-2"/>
              <c:y val="2.905320671505759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3669632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13845144356959"/>
          <c:y val="0.15586094366978548"/>
          <c:w val="0.17008377077865267"/>
          <c:h val="0.11989426721304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41619073559645"/>
          <c:y val="9.3691552444833279E-2"/>
          <c:w val="0.8531505086175446"/>
          <c:h val="0.79001531058617669"/>
        </c:manualLayout>
      </c:layout>
      <c:scatterChart>
        <c:scatterStyle val="smoothMarker"/>
        <c:varyColors val="0"/>
        <c:ser>
          <c:idx val="0"/>
          <c:order val="0"/>
          <c:tx>
            <c:v>43  ITM</c:v>
          </c:tx>
          <c:spPr>
            <a:ln w="28575" cap="rnd">
              <a:solidFill>
                <a:srgbClr val="42AC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AC81"/>
              </a:solidFill>
              <a:ln w="9525">
                <a:solidFill>
                  <a:srgbClr val="42AC81"/>
                </a:solidFill>
              </a:ln>
              <a:effectLst/>
            </c:spPr>
          </c:marker>
          <c:xVal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xVal>
          <c:yVal>
            <c:numRef>
              <c:f>'delta time'!$W$3:$W$55</c:f>
              <c:numCache>
                <c:formatCode>General</c:formatCode>
                <c:ptCount val="53"/>
                <c:pt idx="0">
                  <c:v>1</c:v>
                </c:pt>
                <c:pt idx="1">
                  <c:v>0.99997267978649285</c:v>
                </c:pt>
                <c:pt idx="2">
                  <c:v>0.99804969307571612</c:v>
                </c:pt>
                <c:pt idx="3">
                  <c:v>0.99133514668025779</c:v>
                </c:pt>
                <c:pt idx="4">
                  <c:v>0.98123944731543422</c:v>
                </c:pt>
                <c:pt idx="5">
                  <c:v>0.96976472204753716</c:v>
                </c:pt>
                <c:pt idx="6">
                  <c:v>0.95810105071777274</c:v>
                </c:pt>
                <c:pt idx="7">
                  <c:v>0.94683186775459216</c:v>
                </c:pt>
                <c:pt idx="8">
                  <c:v>0.9362098172825547</c:v>
                </c:pt>
                <c:pt idx="9">
                  <c:v>0.92632041491960815</c:v>
                </c:pt>
                <c:pt idx="10">
                  <c:v>0.91716767135067878</c:v>
                </c:pt>
                <c:pt idx="11">
                  <c:v>0.90871767469197906</c:v>
                </c:pt>
                <c:pt idx="12">
                  <c:v>0.90092064915329573</c:v>
                </c:pt>
                <c:pt idx="13">
                  <c:v>0.89372204119685161</c:v>
                </c:pt>
                <c:pt idx="14">
                  <c:v>0.88706796942071287</c:v>
                </c:pt>
                <c:pt idx="15">
                  <c:v>0.88090775768406693</c:v>
                </c:pt>
                <c:pt idx="16">
                  <c:v>0.87519495723227037</c:v>
                </c:pt>
                <c:pt idx="17">
                  <c:v>0.86988759465158039</c:v>
                </c:pt>
                <c:pt idx="18">
                  <c:v>0.86494803583401048</c:v>
                </c:pt>
                <c:pt idx="19">
                  <c:v>0.86034267340236636</c:v>
                </c:pt>
                <c:pt idx="20">
                  <c:v>0.85604154731843962</c:v>
                </c:pt>
                <c:pt idx="21">
                  <c:v>0.8520179555779106</c:v>
                </c:pt>
                <c:pt idx="22">
                  <c:v>0.84824808319668343</c:v>
                </c:pt>
                <c:pt idx="23">
                  <c:v>0.8447106621286693</c:v>
                </c:pt>
                <c:pt idx="24">
                  <c:v>0.84138666641504656</c:v>
                </c:pt>
                <c:pt idx="25">
                  <c:v>0.83825904252241024</c:v>
                </c:pt>
                <c:pt idx="26">
                  <c:v>0.83531247269685782</c:v>
                </c:pt>
                <c:pt idx="27">
                  <c:v>0.83253316824614099</c:v>
                </c:pt>
                <c:pt idx="28">
                  <c:v>0.82990868940246787</c:v>
                </c:pt>
                <c:pt idx="29">
                  <c:v>0.82742778849922138</c:v>
                </c:pt>
                <c:pt idx="30">
                  <c:v>0.8250802734391619</c:v>
                </c:pt>
                <c:pt idx="31">
                  <c:v>0.82285688874182883</c:v>
                </c:pt>
                <c:pt idx="32">
                  <c:v>0.82074921178112248</c:v>
                </c:pt>
                <c:pt idx="33">
                  <c:v>0.81874956213327155</c:v>
                </c:pt>
                <c:pt idx="34">
                  <c:v>0.81685092223794742</c:v>
                </c:pt>
                <c:pt idx="35">
                  <c:v>0.81504686782653402</c:v>
                </c:pt>
                <c:pt idx="36">
                  <c:v>0.81333150679122002</c:v>
                </c:pt>
                <c:pt idx="37">
                  <c:v>0.81169942535852979</c:v>
                </c:pt>
                <c:pt idx="38">
                  <c:v>0.81014564059401339</c:v>
                </c:pt>
                <c:pt idx="39">
                  <c:v>0.80866555840425325</c:v>
                </c:pt>
                <c:pt idx="40">
                  <c:v>0.80725493632122713</c:v>
                </c:pt>
                <c:pt idx="41">
                  <c:v>0.80590985045527974</c:v>
                </c:pt>
                <c:pt idx="42">
                  <c:v>0.80462666608908362</c:v>
                </c:pt>
                <c:pt idx="43">
                  <c:v>0.80340201145827717</c:v>
                </c:pt>
                <c:pt idx="44">
                  <c:v>0.80223275432689156</c:v>
                </c:pt>
                <c:pt idx="45">
                  <c:v>0.80111598101890857</c:v>
                </c:pt>
                <c:pt idx="46">
                  <c:v>0.80004897761271476</c:v>
                </c:pt>
                <c:pt idx="47">
                  <c:v>0.79902921304406282</c:v>
                </c:pt>
                <c:pt idx="48">
                  <c:v>0.79805432389640663</c:v>
                </c:pt>
                <c:pt idx="49">
                  <c:v>0.79712210068600042</c:v>
                </c:pt>
                <c:pt idx="50">
                  <c:v>0.7962304754736742</c:v>
                </c:pt>
                <c:pt idx="51">
                  <c:v>0.79537751065629558</c:v>
                </c:pt>
                <c:pt idx="52">
                  <c:v>0.79456138880914029</c:v>
                </c:pt>
              </c:numCache>
            </c:numRef>
          </c:yVal>
          <c:smooth val="1"/>
        </c:ser>
        <c:ser>
          <c:idx val="1"/>
          <c:order val="1"/>
          <c:tx>
            <c:v>40  ATM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xVal>
          <c:yVal>
            <c:numRef>
              <c:f>'delta time'!$Q$3:$Q$55</c:f>
              <c:numCache>
                <c:formatCode>General</c:formatCode>
                <c:ptCount val="53"/>
                <c:pt idx="0">
                  <c:v>0.50146721774586567</c:v>
                </c:pt>
                <c:pt idx="1">
                  <c:v>0.51474203242850902</c:v>
                </c:pt>
                <c:pt idx="2">
                  <c:v>0.52079202678009495</c:v>
                </c:pt>
                <c:pt idx="3">
                  <c:v>0.52543807154520061</c:v>
                </c:pt>
                <c:pt idx="4">
                  <c:v>0.52935454006464155</c:v>
                </c:pt>
                <c:pt idx="5">
                  <c:v>0.53280379819755008</c:v>
                </c:pt>
                <c:pt idx="6">
                  <c:v>0.53592069220172911</c:v>
                </c:pt>
                <c:pt idx="7">
                  <c:v>0.5387854362022404</c:v>
                </c:pt>
                <c:pt idx="8">
                  <c:v>0.54145034569503947</c:v>
                </c:pt>
                <c:pt idx="9">
                  <c:v>0.54395178723559778</c:v>
                </c:pt>
                <c:pt idx="10">
                  <c:v>0.54631625602899203</c:v>
                </c:pt>
                <c:pt idx="11">
                  <c:v>0.54856376482859548</c:v>
                </c:pt>
                <c:pt idx="12">
                  <c:v>0.55070986914244213</c:v>
                </c:pt>
                <c:pt idx="13">
                  <c:v>0.55276694492388612</c:v>
                </c:pt>
                <c:pt idx="14">
                  <c:v>0.55474503064502834</c:v>
                </c:pt>
                <c:pt idx="15">
                  <c:v>0.55665240260540449</c:v>
                </c:pt>
                <c:pt idx="16">
                  <c:v>0.55849598003014356</c:v>
                </c:pt>
                <c:pt idx="17">
                  <c:v>0.56028161774105656</c:v>
                </c:pt>
                <c:pt idx="18">
                  <c:v>0.56201432233886284</c:v>
                </c:pt>
                <c:pt idx="19">
                  <c:v>0.56369841499852136</c:v>
                </c:pt>
                <c:pt idx="20">
                  <c:v>0.5653376561597856</c:v>
                </c:pt>
                <c:pt idx="21">
                  <c:v>0.56693534247921629</c:v>
                </c:pt>
                <c:pt idx="22">
                  <c:v>0.56849438323309265</c:v>
                </c:pt>
                <c:pt idx="23">
                  <c:v>0.57001736125692082</c:v>
                </c:pt>
                <c:pt idx="24">
                  <c:v>0.57150658208336547</c:v>
                </c:pt>
                <c:pt idx="25">
                  <c:v>0.57296411395765789</c:v>
                </c:pt>
                <c:pt idx="26">
                  <c:v>0.57439182071909922</c:v>
                </c:pt>
                <c:pt idx="27">
                  <c:v>0.57579138904436356</c:v>
                </c:pt>
                <c:pt idx="28">
                  <c:v>0.57716435119122145</c:v>
                </c:pt>
                <c:pt idx="29">
                  <c:v>0.57851210411911647</c:v>
                </c:pt>
                <c:pt idx="30">
                  <c:v>0.57983592566813003</c:v>
                </c:pt>
                <c:pt idx="31">
                  <c:v>0.58113698833134131</c:v>
                </c:pt>
                <c:pt idx="32">
                  <c:v>0.58241637104424382</c:v>
                </c:pt>
                <c:pt idx="33">
                  <c:v>0.58367506932945723</c:v>
                </c:pt>
                <c:pt idx="34">
                  <c:v>0.58491400406882321</c:v>
                </c:pt>
                <c:pt idx="35">
                  <c:v>0.58613402912331924</c:v>
                </c:pt>
                <c:pt idx="36">
                  <c:v>0.58733593798056749</c:v>
                </c:pt>
                <c:pt idx="37">
                  <c:v>0.58852046957747284</c:v>
                </c:pt>
                <c:pt idx="38">
                  <c:v>0.58968831341977079</c:v>
                </c:pt>
                <c:pt idx="39">
                  <c:v>0.59084011409957626</c:v>
                </c:pt>
                <c:pt idx="40">
                  <c:v>0.59197647529527286</c:v>
                </c:pt>
                <c:pt idx="41">
                  <c:v>0.59309796332446796</c:v>
                </c:pt>
                <c:pt idx="42">
                  <c:v>0.59420511030959122</c:v>
                </c:pt>
                <c:pt idx="43">
                  <c:v>0.59529841700654695</c:v>
                </c:pt>
                <c:pt idx="44">
                  <c:v>0.59637835533925954</c:v>
                </c:pt>
                <c:pt idx="45">
                  <c:v>0.59744537067665304</c:v>
                </c:pt>
                <c:pt idx="46">
                  <c:v>0.5984998838833625</c:v>
                </c:pt>
                <c:pt idx="47">
                  <c:v>0.5995422931710741</c:v>
                </c:pt>
                <c:pt idx="48">
                  <c:v>0.60057297577369062</c:v>
                </c:pt>
                <c:pt idx="49">
                  <c:v>0.60159228946639809</c:v>
                </c:pt>
                <c:pt idx="50">
                  <c:v>0.60260057394605593</c:v>
                </c:pt>
                <c:pt idx="51">
                  <c:v>0.60359815208808332</c:v>
                </c:pt>
                <c:pt idx="52">
                  <c:v>0.60458533109308843</c:v>
                </c:pt>
              </c:numCache>
            </c:numRef>
          </c:yVal>
          <c:smooth val="1"/>
        </c:ser>
        <c:ser>
          <c:idx val="2"/>
          <c:order val="2"/>
          <c:tx>
            <c:v>37  OTM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'delta time'!$J$3:$J$55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xVal>
          <c:yVal>
            <c:numRef>
              <c:f>'delta time'!$K$3:$K$55</c:f>
              <c:numCache>
                <c:formatCode>General</c:formatCode>
                <c:ptCount val="53"/>
                <c:pt idx="0">
                  <c:v>0</c:v>
                </c:pt>
                <c:pt idx="1">
                  <c:v>9.6542501502802432E-6</c:v>
                </c:pt>
                <c:pt idx="2">
                  <c:v>1.3373249079510767E-3</c:v>
                </c:pt>
                <c:pt idx="3">
                  <c:v>7.4943237210443334E-3</c:v>
                </c:pt>
                <c:pt idx="4">
                  <c:v>1.8342657388799994E-2</c:v>
                </c:pt>
                <c:pt idx="5">
                  <c:v>3.1961523869074672E-2</c:v>
                </c:pt>
                <c:pt idx="6">
                  <c:v>4.6813281615189488E-2</c:v>
                </c:pt>
                <c:pt idx="7">
                  <c:v>6.1963680420978627E-2</c:v>
                </c:pt>
                <c:pt idx="8">
                  <c:v>7.6895951153069145E-2</c:v>
                </c:pt>
                <c:pt idx="9">
                  <c:v>9.1342021999934325E-2</c:v>
                </c:pt>
                <c:pt idx="10">
                  <c:v>0.10517553337311276</c:v>
                </c:pt>
                <c:pt idx="11">
                  <c:v>0.11834944589918429</c:v>
                </c:pt>
                <c:pt idx="12">
                  <c:v>0.13086041132464751</c:v>
                </c:pt>
                <c:pt idx="13">
                  <c:v>0.1427284722908283</c:v>
                </c:pt>
                <c:pt idx="14">
                  <c:v>0.15398547265111934</c:v>
                </c:pt>
                <c:pt idx="15">
                  <c:v>0.16466844313868037</c:v>
                </c:pt>
                <c:pt idx="16">
                  <c:v>0.17481585436576261</c:v>
                </c:pt>
                <c:pt idx="17">
                  <c:v>0.18446553641568308</c:v>
                </c:pt>
                <c:pt idx="18">
                  <c:v>0.1936535727031852</c:v>
                </c:pt>
                <c:pt idx="19">
                  <c:v>0.20241376401264333</c:v>
                </c:pt>
                <c:pt idx="20">
                  <c:v>0.21077742430788979</c:v>
                </c:pt>
                <c:pt idx="21">
                  <c:v>0.21877336648581189</c:v>
                </c:pt>
                <c:pt idx="22">
                  <c:v>0.22642799327808569</c:v>
                </c:pt>
                <c:pt idx="23">
                  <c:v>0.23376544257021814</c:v>
                </c:pt>
                <c:pt idx="24">
                  <c:v>0.24080775694433953</c:v>
                </c:pt>
                <c:pt idx="25">
                  <c:v>0.24757505971889188</c:v>
                </c:pt>
                <c:pt idx="26">
                  <c:v>0.25408572735514107</c:v>
                </c:pt>
                <c:pt idx="27">
                  <c:v>0.26035655273014446</c:v>
                </c:pt>
                <c:pt idx="28">
                  <c:v>0.26640289658377098</c:v>
                </c:pt>
                <c:pt idx="29">
                  <c:v>0.27223882613065814</c:v>
                </c:pt>
                <c:pt idx="30">
                  <c:v>0.2778772408149312</c:v>
                </c:pt>
                <c:pt idx="31">
                  <c:v>0.28332998574142509</c:v>
                </c:pt>
                <c:pt idx="32">
                  <c:v>0.28860795360745384</c:v>
                </c:pt>
                <c:pt idx="33">
                  <c:v>0.29372117608744497</c:v>
                </c:pt>
                <c:pt idx="34">
                  <c:v>0.29867890565398392</c:v>
                </c:pt>
                <c:pt idx="35">
                  <c:v>0.30348968879377902</c:v>
                </c:pt>
                <c:pt idx="36">
                  <c:v>0.30816143152120978</c:v>
                </c:pt>
                <c:pt idx="37">
                  <c:v>0.31270145802124577</c:v>
                </c:pt>
                <c:pt idx="38">
                  <c:v>0.3171165631772182</c:v>
                </c:pt>
                <c:pt idx="39">
                  <c:v>0.32141305966290779</c:v>
                </c:pt>
                <c:pt idx="40">
                  <c:v>0.32559682020591674</c:v>
                </c:pt>
                <c:pt idx="41">
                  <c:v>0.32967331556201129</c:v>
                </c:pt>
                <c:pt idx="42">
                  <c:v>0.33364764867878405</c:v>
                </c:pt>
                <c:pt idx="43">
                  <c:v>0.33752458547175385</c:v>
                </c:pt>
                <c:pt idx="44">
                  <c:v>0.34130858258669472</c:v>
                </c:pt>
                <c:pt idx="45">
                  <c:v>0.34500381247820999</c:v>
                </c:pt>
                <c:pt idx="46">
                  <c:v>0.34861418609586597</c:v>
                </c:pt>
                <c:pt idx="47">
                  <c:v>0.35214337343509045</c:v>
                </c:pt>
                <c:pt idx="48">
                  <c:v>0.35559482218003347</c:v>
                </c:pt>
                <c:pt idx="49">
                  <c:v>0.3589717746392167</c:v>
                </c:pt>
                <c:pt idx="50">
                  <c:v>0.36227728315164209</c:v>
                </c:pt>
                <c:pt idx="51">
                  <c:v>0.3655142241206964</c:v>
                </c:pt>
                <c:pt idx="52">
                  <c:v>0.36868531081533373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6798384"/>
        <c:axId val="-1106812528"/>
      </c:scatterChart>
      <c:valAx>
        <c:axId val="-110679838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6812528"/>
        <c:crosses val="autoZero"/>
        <c:crossBetween val="midCat"/>
      </c:valAx>
      <c:valAx>
        <c:axId val="-11068125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1.2970211736968579E-2"/>
              <c:y val="1.23537739040733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6798384"/>
        <c:crossesAt val="0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960548269715913"/>
          <c:y val="8.8918051910177889E-2"/>
          <c:w val="0.15815001679887475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bg1">
          <a:alpha val="37000"/>
        </a:schemeClr>
      </a:glow>
      <a:softEdge rad="5080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394408104332172E-2"/>
          <c:y val="6.5707602339181298E-2"/>
          <c:w val="0.93983421894089525"/>
          <c:h val="0.80546576414790261"/>
        </c:manualLayout>
      </c:layout>
      <c:surface3DChart>
        <c:wireframe val="0"/>
        <c:ser>
          <c:idx val="0"/>
          <c:order val="0"/>
          <c:tx>
            <c:strRef>
              <c:f>'Стоимость опциона'!$J$2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опциона'!$J$3:$J$55</c:f>
              <c:numCache>
                <c:formatCode>General</c:formatCode>
                <c:ptCount val="53"/>
                <c:pt idx="0">
                  <c:v>0</c:v>
                </c:pt>
                <c:pt idx="1">
                  <c:v>9.8092274651386847E-6</c:v>
                </c:pt>
                <c:pt idx="2">
                  <c:v>1.0294180712979162E-3</c:v>
                </c:pt>
                <c:pt idx="3">
                  <c:v>5.9943261570710171E-3</c:v>
                </c:pt>
                <c:pt idx="4">
                  <c:v>1.5882181845072507E-2</c:v>
                </c:pt>
                <c:pt idx="5">
                  <c:v>3.003389349426655E-2</c:v>
                </c:pt>
                <c:pt idx="6">
                  <c:v>4.7489126588390107E-2</c:v>
                </c:pt>
                <c:pt idx="7">
                  <c:v>6.7411195638105603E-2</c:v>
                </c:pt>
                <c:pt idx="8">
                  <c:v>8.9151682443698643E-2</c:v>
                </c:pt>
                <c:pt idx="9">
                  <c:v>0.11222491649203548</c:v>
                </c:pt>
                <c:pt idx="10">
                  <c:v>0.1362696889807804</c:v>
                </c:pt>
                <c:pt idx="11">
                  <c:v>0.16101654312368563</c:v>
                </c:pt>
                <c:pt idx="12">
                  <c:v>0.18626310195741436</c:v>
                </c:pt>
                <c:pt idx="13">
                  <c:v>0.2118561728449766</c:v>
                </c:pt>
                <c:pt idx="14">
                  <c:v>0.23767889839766365</c:v>
                </c:pt>
                <c:pt idx="15">
                  <c:v>0.26364151477374609</c:v>
                </c:pt>
                <c:pt idx="16">
                  <c:v>0.28967465823860294</c:v>
                </c:pt>
                <c:pt idx="17">
                  <c:v>0.31572447256548131</c:v>
                </c:pt>
                <c:pt idx="18">
                  <c:v>0.34174899680262438</c:v>
                </c:pt>
                <c:pt idx="19">
                  <c:v>0.36771547127441195</c:v>
                </c:pt>
                <c:pt idx="20">
                  <c:v>0.39359830856886013</c:v>
                </c:pt>
                <c:pt idx="21">
                  <c:v>0.41937755099124008</c:v>
                </c:pt>
                <c:pt idx="22">
                  <c:v>0.44503768746266736</c:v>
                </c:pt>
                <c:pt idx="23">
                  <c:v>0.4705667385919412</c:v>
                </c:pt>
                <c:pt idx="24">
                  <c:v>0.49595554368448802</c:v>
                </c:pt>
                <c:pt idx="25">
                  <c:v>0.52119720115133639</c:v>
                </c:pt>
                <c:pt idx="26">
                  <c:v>0.54628662641588299</c:v>
                </c:pt>
                <c:pt idx="27">
                  <c:v>0.5712202005216227</c:v>
                </c:pt>
                <c:pt idx="28">
                  <c:v>0.59599548926902735</c:v>
                </c:pt>
                <c:pt idx="29">
                  <c:v>0.62061101757249482</c:v>
                </c:pt>
                <c:pt idx="30">
                  <c:v>0.64506608732948756</c:v>
                </c:pt>
                <c:pt idx="31">
                  <c:v>0.66936062978277633</c:v>
                </c:pt>
                <c:pt idx="32">
                  <c:v>0.69349508538001281</c:v>
                </c:pt>
                <c:pt idx="33">
                  <c:v>0.71747030566908343</c:v>
                </c:pt>
                <c:pt idx="34">
                  <c:v>0.74128747293939412</c:v>
                </c:pt>
                <c:pt idx="35">
                  <c:v>0.76494803421991442</c:v>
                </c:pt>
                <c:pt idx="36">
                  <c:v>0.78845364694175935</c:v>
                </c:pt>
                <c:pt idx="37">
                  <c:v>0.81180613411586044</c:v>
                </c:pt>
                <c:pt idx="38">
                  <c:v>0.83500744730097232</c:v>
                </c:pt>
                <c:pt idx="39">
                  <c:v>0.85805963597202251</c:v>
                </c:pt>
                <c:pt idx="40">
                  <c:v>0.88096482216334948</c:v>
                </c:pt>
                <c:pt idx="41">
                  <c:v>0.90372517947225184</c:v>
                </c:pt>
                <c:pt idx="42">
                  <c:v>0.92634291567633831</c:v>
                </c:pt>
                <c:pt idx="43">
                  <c:v>0.94882025835346262</c:v>
                </c:pt>
                <c:pt idx="44">
                  <c:v>0.97115944300191082</c:v>
                </c:pt>
                <c:pt idx="45">
                  <c:v>0.99336270324664255</c:v>
                </c:pt>
                <c:pt idx="46">
                  <c:v>1.0154322627891315</c:v>
                </c:pt>
                <c:pt idx="47">
                  <c:v>1.0373703288166958</c:v>
                </c:pt>
                <c:pt idx="48">
                  <c:v>1.0591790866351918</c:v>
                </c:pt>
                <c:pt idx="49">
                  <c:v>1.0808606953280329</c:v>
                </c:pt>
                <c:pt idx="50">
                  <c:v>1.1024172842770668</c:v>
                </c:pt>
                <c:pt idx="51">
                  <c:v>1.123850950407391</c:v>
                </c:pt>
                <c:pt idx="52">
                  <c:v>1.1451637560405405</c:v>
                </c:pt>
              </c:numCache>
            </c:numRef>
          </c:val>
        </c:ser>
        <c:ser>
          <c:idx val="1"/>
          <c:order val="1"/>
          <c:tx>
            <c:strRef>
              <c:f>'Стоимость опциона'!$K$2</c:f>
              <c:strCache>
                <c:ptCount val="1"/>
                <c:pt idx="0">
                  <c:v>37,5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опциона'!$K$3:$K$55</c:f>
              <c:numCache>
                <c:formatCode>General</c:formatCode>
                <c:ptCount val="53"/>
                <c:pt idx="0">
                  <c:v>2.3369781843861942E-231</c:v>
                </c:pt>
                <c:pt idx="1">
                  <c:v>1.437261778060861E-4</c:v>
                </c:pt>
                <c:pt idx="2">
                  <c:v>4.4914950723775049E-3</c:v>
                </c:pt>
                <c:pt idx="3">
                  <c:v>1.7213418343491327E-2</c:v>
                </c:pt>
                <c:pt idx="4">
                  <c:v>3.6766342204911151E-2</c:v>
                </c:pt>
                <c:pt idx="5">
                  <c:v>6.087868329627355E-2</c:v>
                </c:pt>
                <c:pt idx="6">
                  <c:v>8.7907007669603576E-2</c:v>
                </c:pt>
                <c:pt idx="7">
                  <c:v>0.11677344818354207</c:v>
                </c:pt>
                <c:pt idx="8">
                  <c:v>0.14677679825896295</c:v>
                </c:pt>
                <c:pt idx="9">
                  <c:v>0.17745517020341506</c:v>
                </c:pt>
                <c:pt idx="10">
                  <c:v>0.20849936118685708</c:v>
                </c:pt>
                <c:pt idx="11">
                  <c:v>0.23969930809894535</c:v>
                </c:pt>
                <c:pt idx="12">
                  <c:v>0.27091064595654935</c:v>
                </c:pt>
                <c:pt idx="13">
                  <c:v>0.3020334129573925</c:v>
                </c:pt>
                <c:pt idx="14">
                  <c:v>0.33299819796742902</c:v>
                </c:pt>
                <c:pt idx="15">
                  <c:v>0.3637569405122747</c:v>
                </c:pt>
                <c:pt idx="16">
                  <c:v>0.39427670194216269</c:v>
                </c:pt>
                <c:pt idx="17">
                  <c:v>0.4245353738609321</c:v>
                </c:pt>
                <c:pt idx="18">
                  <c:v>0.45451867453622441</c:v>
                </c:pt>
                <c:pt idx="19">
                  <c:v>0.48421801713599244</c:v>
                </c:pt>
                <c:pt idx="20">
                  <c:v>0.51362897786635919</c:v>
                </c:pt>
                <c:pt idx="21">
                  <c:v>0.54275018311309431</c:v>
                </c:pt>
                <c:pt idx="22">
                  <c:v>0.57158249323406629</c:v>
                </c:pt>
                <c:pt idx="23">
                  <c:v>0.60012839897588854</c:v>
                </c:pt>
                <c:pt idx="24">
                  <c:v>0.62839157199434048</c:v>
                </c:pt>
                <c:pt idx="25">
                  <c:v>0.65637652819366821</c:v>
                </c:pt>
                <c:pt idx="26">
                  <c:v>0.68408837441305614</c:v>
                </c:pt>
                <c:pt idx="27">
                  <c:v>0.71153261719164895</c:v>
                </c:pt>
                <c:pt idx="28">
                  <c:v>0.73871501810932827</c:v>
                </c:pt>
                <c:pt idx="29">
                  <c:v>0.76564148429952894</c:v>
                </c:pt>
                <c:pt idx="30">
                  <c:v>0.79231798567418821</c:v>
                </c:pt>
                <c:pt idx="31">
                  <c:v>0.81875049253662624</c:v>
                </c:pt>
                <c:pt idx="32">
                  <c:v>0.84494492882070915</c:v>
                </c:pt>
                <c:pt idx="33">
                  <c:v>0.87090713734824732</c:v>
                </c:pt>
                <c:pt idx="34">
                  <c:v>0.8966428543541678</c:v>
                </c:pt>
                <c:pt idx="35">
                  <c:v>0.92215769117179214</c:v>
                </c:pt>
                <c:pt idx="36">
                  <c:v>0.94745712145503269</c:v>
                </c:pt>
                <c:pt idx="37">
                  <c:v>0.97254647268241179</c:v>
                </c:pt>
                <c:pt idx="38">
                  <c:v>0.99743092096818131</c:v>
                </c:pt>
                <c:pt idx="39">
                  <c:v>1.0221154884216475</c:v>
                </c:pt>
                <c:pt idx="40">
                  <c:v>1.0466050424616746</c:v>
                </c:pt>
                <c:pt idx="41">
                  <c:v>1.0709042966223024</c:v>
                </c:pt>
                <c:pt idx="42">
                  <c:v>1.0950178124853291</c:v>
                </c:pt>
                <c:pt idx="43">
                  <c:v>1.1189500024542216</c:v>
                </c:pt>
                <c:pt idx="44">
                  <c:v>1.1427051331446307</c:v>
                </c:pt>
                <c:pt idx="45">
                  <c:v>1.1662873292154341</c:v>
                </c:pt>
                <c:pt idx="46">
                  <c:v>1.1897005775017728</c:v>
                </c:pt>
                <c:pt idx="47">
                  <c:v>1.2129487313418466</c:v>
                </c:pt>
                <c:pt idx="48">
                  <c:v>1.2360355150129312</c:v>
                </c:pt>
                <c:pt idx="49">
                  <c:v>1.2589645282108766</c:v>
                </c:pt>
                <c:pt idx="50">
                  <c:v>1.2817392505223388</c:v>
                </c:pt>
                <c:pt idx="51">
                  <c:v>1.3043630458509128</c:v>
                </c:pt>
                <c:pt idx="52">
                  <c:v>1.3268391667677761</c:v>
                </c:pt>
              </c:numCache>
            </c:numRef>
          </c:val>
        </c:ser>
        <c:ser>
          <c:idx val="2"/>
          <c:order val="2"/>
          <c:tx>
            <c:strRef>
              <c:f>'Стоимость опциона'!$L$2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опциона'!$L$3:$L$55</c:f>
              <c:numCache>
                <c:formatCode>General</c:formatCode>
                <c:ptCount val="53"/>
                <c:pt idx="0">
                  <c:v>7.1662564898528294E-148</c:v>
                </c:pt>
                <c:pt idx="1">
                  <c:v>1.3781224436794914E-3</c:v>
                </c:pt>
                <c:pt idx="2">
                  <c:v>1.5984720658005713E-2</c:v>
                </c:pt>
                <c:pt idx="3">
                  <c:v>4.3299083389026549E-2</c:v>
                </c:pt>
                <c:pt idx="4">
                  <c:v>7.7196472920562975E-2</c:v>
                </c:pt>
                <c:pt idx="5">
                  <c:v>0.11424262193060386</c:v>
                </c:pt>
                <c:pt idx="6">
                  <c:v>0.15268830150813528</c:v>
                </c:pt>
                <c:pt idx="7">
                  <c:v>0.19161501821460281</c:v>
                </c:pt>
                <c:pt idx="8">
                  <c:v>0.23052353385050584</c:v>
                </c:pt>
                <c:pt idx="9">
                  <c:v>0.26913681537761747</c:v>
                </c:pt>
                <c:pt idx="10">
                  <c:v>0.30730101718034319</c:v>
                </c:pt>
                <c:pt idx="11">
                  <c:v>0.34493310832600343</c:v>
                </c:pt>
                <c:pt idx="12">
                  <c:v>0.38199188623510238</c:v>
                </c:pt>
                <c:pt idx="13">
                  <c:v>0.41846130883215693</c:v>
                </c:pt>
                <c:pt idx="14">
                  <c:v>0.45434060311341185</c:v>
                </c:pt>
                <c:pt idx="15">
                  <c:v>0.48963824332199302</c:v>
                </c:pt>
                <c:pt idx="16">
                  <c:v>0.52436821046540594</c:v>
                </c:pt>
                <c:pt idx="17">
                  <c:v>0.55854763380212269</c:v>
                </c:pt>
                <c:pt idx="18">
                  <c:v>0.59219528892327133</c:v>
                </c:pt>
                <c:pt idx="19">
                  <c:v>0.62533063709745385</c:v>
                </c:pt>
                <c:pt idx="20">
                  <c:v>0.6579732120936761</c:v>
                </c:pt>
                <c:pt idx="21">
                  <c:v>0.69014223292024468</c:v>
                </c:pt>
                <c:pt idx="22">
                  <c:v>0.72185636485186855</c:v>
                </c:pt>
                <c:pt idx="23">
                  <c:v>0.75313357840480677</c:v>
                </c:pt>
                <c:pt idx="24">
                  <c:v>0.78399107318486472</c:v>
                </c:pt>
                <c:pt idx="25">
                  <c:v>0.81444524463725543</c:v>
                </c:pt>
                <c:pt idx="26">
                  <c:v>0.84451167897352342</c:v>
                </c:pt>
                <c:pt idx="27">
                  <c:v>0.87420516634040446</c:v>
                </c:pt>
                <c:pt idx="28">
                  <c:v>0.90353972549690198</c:v>
                </c:pt>
                <c:pt idx="29">
                  <c:v>0.93252863542663</c:v>
                </c:pt>
                <c:pt idx="30">
                  <c:v>0.96118447078256786</c:v>
                </c:pt>
                <c:pt idx="31">
                  <c:v>0.98951913906870281</c:v>
                </c:pt>
                <c:pt idx="32">
                  <c:v>1.0175439181563011</c:v>
                </c:pt>
                <c:pt idx="33">
                  <c:v>1.0452694932117623</c:v>
                </c:pt>
                <c:pt idx="34">
                  <c:v>1.0727059924447371</c:v>
                </c:pt>
                <c:pt idx="35">
                  <c:v>1.0998630213144889</c:v>
                </c:pt>
                <c:pt idx="36">
                  <c:v>1.1267496949908189</c:v>
                </c:pt>
                <c:pt idx="37">
                  <c:v>1.1533746689743811</c:v>
                </c:pt>
                <c:pt idx="38">
                  <c:v>1.1797461678545371</c:v>
                </c:pt>
                <c:pt idx="39">
                  <c:v>1.2058720122322555</c:v>
                </c:pt>
                <c:pt idx="40">
                  <c:v>1.2317596438669636</c:v>
                </c:pt>
                <c:pt idx="41">
                  <c:v>1.2574161491262092</c:v>
                </c:pt>
                <c:pt idx="42">
                  <c:v>1.2828482808280768</c:v>
                </c:pt>
                <c:pt idx="43">
                  <c:v>1.3080624785718538</c:v>
                </c:pt>
                <c:pt idx="44">
                  <c:v>1.3330648876536486</c:v>
                </c:pt>
                <c:pt idx="45">
                  <c:v>1.3578613766625605</c:v>
                </c:pt>
                <c:pt idx="46">
                  <c:v>1.3824575538498021</c:v>
                </c:pt>
                <c:pt idx="47">
                  <c:v>1.4068587823591283</c:v>
                </c:pt>
                <c:pt idx="48">
                  <c:v>1.4310701944020519</c:v>
                </c:pt>
                <c:pt idx="49">
                  <c:v>1.4550967044561887</c:v>
                </c:pt>
                <c:pt idx="50">
                  <c:v>1.4789430215600436</c:v>
                </c:pt>
                <c:pt idx="51">
                  <c:v>1.5026136607721323</c:v>
                </c:pt>
                <c:pt idx="52">
                  <c:v>1.5261129538576679</c:v>
                </c:pt>
              </c:numCache>
            </c:numRef>
          </c:val>
        </c:ser>
        <c:ser>
          <c:idx val="3"/>
          <c:order val="3"/>
          <c:tx>
            <c:strRef>
              <c:f>'Стоимость опциона'!$M$2</c:f>
              <c:strCache>
                <c:ptCount val="1"/>
                <c:pt idx="0">
                  <c:v>38,5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опциона'!$M$3:$M$55</c:f>
              <c:numCache>
                <c:formatCode>General</c:formatCode>
                <c:ptCount val="53"/>
                <c:pt idx="0">
                  <c:v>4.2901418329410249E-84</c:v>
                </c:pt>
                <c:pt idx="1">
                  <c:v>8.9119038523823857E-3</c:v>
                </c:pt>
                <c:pt idx="2">
                  <c:v>4.7115994114490967E-2</c:v>
                </c:pt>
                <c:pt idx="3">
                  <c:v>9.6361183149675789E-2</c:v>
                </c:pt>
                <c:pt idx="4">
                  <c:v>0.14808465703274543</c:v>
                </c:pt>
                <c:pt idx="5">
                  <c:v>0.1996005572994104</c:v>
                </c:pt>
                <c:pt idx="6">
                  <c:v>0.25000159314973658</c:v>
                </c:pt>
                <c:pt idx="7">
                  <c:v>0.29899675581151008</c:v>
                </c:pt>
                <c:pt idx="8">
                  <c:v>0.34653100790901981</c:v>
                </c:pt>
                <c:pt idx="9">
                  <c:v>0.39264349012307953</c:v>
                </c:pt>
                <c:pt idx="10">
                  <c:v>0.43740967102785255</c:v>
                </c:pt>
                <c:pt idx="11">
                  <c:v>0.48091640717890272</c:v>
                </c:pt>
                <c:pt idx="12">
                  <c:v>0.52325096104498137</c:v>
                </c:pt>
                <c:pt idx="13">
                  <c:v>0.56449627438888328</c:v>
                </c:pt>
                <c:pt idx="14">
                  <c:v>0.60472914350564366</c:v>
                </c:pt>
                <c:pt idx="15">
                  <c:v>0.64401975818770296</c:v>
                </c:pt>
                <c:pt idx="16">
                  <c:v>0.68243187187532151</c:v>
                </c:pt>
                <c:pt idx="17">
                  <c:v>0.72002324561604958</c:v>
                </c:pt>
                <c:pt idx="18">
                  <c:v>0.75684618986281826</c:v>
                </c:pt>
                <c:pt idx="19">
                  <c:v>0.79294811833276313</c:v>
                </c:pt>
                <c:pt idx="20">
                  <c:v>0.82837207381458988</c:v>
                </c:pt>
                <c:pt idx="21">
                  <c:v>0.86315720910573823</c:v>
                </c:pt>
                <c:pt idx="22">
                  <c:v>0.89733921806455008</c:v>
                </c:pt>
                <c:pt idx="23">
                  <c:v>0.93095071758076031</c:v>
                </c:pt>
                <c:pt idx="24">
                  <c:v>0.96402158394602466</c:v>
                </c:pt>
                <c:pt idx="25">
                  <c:v>0.99657924814490251</c:v>
                </c:pt>
                <c:pt idx="26">
                  <c:v>1.0286489547852291</c:v>
                </c:pt>
                <c:pt idx="27">
                  <c:v>1.0602539891739688</c:v>
                </c:pt>
                <c:pt idx="28">
                  <c:v>1.0914158766494619</c:v>
                </c:pt>
                <c:pt idx="29">
                  <c:v>1.1221545578254428</c:v>
                </c:pt>
                <c:pt idx="30">
                  <c:v>1.1524885429473564</c:v>
                </c:pt>
                <c:pt idx="31">
                  <c:v>1.1824350481377639</c:v>
                </c:pt>
                <c:pt idx="32">
                  <c:v>1.2120101159269012</c:v>
                </c:pt>
                <c:pt idx="33">
                  <c:v>1.2412287221295291</c:v>
                </c:pt>
                <c:pt idx="34">
                  <c:v>1.2701048708391856</c:v>
                </c:pt>
                <c:pt idx="35">
                  <c:v>1.2986516790610132</c:v>
                </c:pt>
                <c:pt idx="36">
                  <c:v>1.3268814522904808</c:v>
                </c:pt>
                <c:pt idx="37">
                  <c:v>1.3548057521631041</c:v>
                </c:pt>
                <c:pt idx="38">
                  <c:v>1.3824354571443482</c:v>
                </c:pt>
                <c:pt idx="39">
                  <c:v>1.4097808170967028</c:v>
                </c:pt>
                <c:pt idx="40">
                  <c:v>1.4368515024476416</c:v>
                </c:pt>
                <c:pt idx="41">
                  <c:v>1.463656648585788</c:v>
                </c:pt>
                <c:pt idx="42">
                  <c:v>1.490204896030269</c:v>
                </c:pt>
                <c:pt idx="43">
                  <c:v>1.5165044268476162</c:v>
                </c:pt>
                <c:pt idx="44">
                  <c:v>1.5425629977300659</c:v>
                </c:pt>
                <c:pt idx="45">
                  <c:v>1.5683879700971612</c:v>
                </c:pt>
                <c:pt idx="46">
                  <c:v>1.5939863375378582</c:v>
                </c:pt>
                <c:pt idx="47">
                  <c:v>1.6193647508715934</c:v>
                </c:pt>
                <c:pt idx="48">
                  <c:v>1.6445295410735259</c:v>
                </c:pt>
                <c:pt idx="49">
                  <c:v>1.6694867402802007</c:v>
                </c:pt>
                <c:pt idx="50">
                  <c:v>1.6942421010667115</c:v>
                </c:pt>
                <c:pt idx="51">
                  <c:v>1.7188011141646466</c:v>
                </c:pt>
                <c:pt idx="52">
                  <c:v>1.7431690247710936</c:v>
                </c:pt>
              </c:numCache>
            </c:numRef>
          </c:val>
        </c:ser>
        <c:ser>
          <c:idx val="4"/>
          <c:order val="4"/>
          <c:tx>
            <c:strRef>
              <c:f>'Стоимость опциона'!$N$2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опциона'!$N$3:$N$55</c:f>
              <c:numCache>
                <c:formatCode>General</c:formatCode>
                <c:ptCount val="53"/>
                <c:pt idx="0">
                  <c:v>3.1184304397449991E-39</c:v>
                </c:pt>
                <c:pt idx="1">
                  <c:v>4.0191357401966776E-2</c:v>
                </c:pt>
                <c:pt idx="2">
                  <c:v>0.11690102040734107</c:v>
                </c:pt>
                <c:pt idx="3">
                  <c:v>0.19169472934802201</c:v>
                </c:pt>
                <c:pt idx="4">
                  <c:v>0.26145732544080857</c:v>
                </c:pt>
                <c:pt idx="5">
                  <c:v>0.32654378878145174</c:v>
                </c:pt>
                <c:pt idx="6">
                  <c:v>0.38764242716049502</c:v>
                </c:pt>
                <c:pt idx="7">
                  <c:v>0.44536732484449004</c:v>
                </c:pt>
                <c:pt idx="8">
                  <c:v>0.50021563301460148</c:v>
                </c:pt>
                <c:pt idx="9">
                  <c:v>0.55258385798606291</c:v>
                </c:pt>
                <c:pt idx="10">
                  <c:v>0.60278997075660889</c:v>
                </c:pt>
                <c:pt idx="11">
                  <c:v>0.65109184324124847</c:v>
                </c:pt>
                <c:pt idx="12">
                  <c:v>0.69770122996009576</c:v>
                </c:pt>
                <c:pt idx="13">
                  <c:v>0.7427941384008534</c:v>
                </c:pt>
                <c:pt idx="14">
                  <c:v>0.78651852379026899</c:v>
                </c:pt>
                <c:pt idx="15">
                  <c:v>0.82900004801194349</c:v>
                </c:pt>
                <c:pt idx="16">
                  <c:v>0.87034643999591843</c:v>
                </c:pt>
                <c:pt idx="17">
                  <c:v>0.91065083847536243</c:v>
                </c:pt>
                <c:pt idx="18">
                  <c:v>0.94999438631642619</c:v>
                </c:pt>
                <c:pt idx="19">
                  <c:v>0.98844826781381379</c:v>
                </c:pt>
                <c:pt idx="20">
                  <c:v>1.0260753263521458</c:v>
                </c:pt>
                <c:pt idx="21">
                  <c:v>1.0629313621906817</c:v>
                </c:pt>
                <c:pt idx="22">
                  <c:v>1.0990661836530009</c:v>
                </c:pt>
                <c:pt idx="23">
                  <c:v>1.1345244661827518</c:v>
                </c:pt>
                <c:pt idx="24">
                  <c:v>1.1693464601973851</c:v>
                </c:pt>
                <c:pt idx="25">
                  <c:v>1.20356857883462</c:v>
                </c:pt>
                <c:pt idx="26">
                  <c:v>1.2372238894551888</c:v>
                </c:pt>
                <c:pt idx="27">
                  <c:v>1.2703425273916693</c:v>
                </c:pt>
                <c:pt idx="28">
                  <c:v>1.302952046399934</c:v>
                </c:pt>
                <c:pt idx="29">
                  <c:v>1.3350777172122221</c:v>
                </c:pt>
                <c:pt idx="30">
                  <c:v>1.3667427832522669</c:v>
                </c:pt>
                <c:pt idx="31">
                  <c:v>1.3979686807682938</c:v>
                </c:pt>
                <c:pt idx="32">
                  <c:v>1.4287752292358071</c:v>
                </c:pt>
                <c:pt idx="33">
                  <c:v>1.4591807967811512</c:v>
                </c:pt>
                <c:pt idx="34">
                  <c:v>1.4892024445078675</c:v>
                </c:pt>
                <c:pt idx="35">
                  <c:v>1.5188560529159716</c:v>
                </c:pt>
                <c:pt idx="36">
                  <c:v>1.5481564330511226</c:v>
                </c:pt>
                <c:pt idx="37">
                  <c:v>1.5771174245746984</c:v>
                </c:pt>
                <c:pt idx="38">
                  <c:v>1.6057519825842697</c:v>
                </c:pt>
                <c:pt idx="39">
                  <c:v>1.6340722547200102</c:v>
                </c:pt>
                <c:pt idx="40">
                  <c:v>1.6620896498509232</c:v>
                </c:pt>
                <c:pt idx="41">
                  <c:v>1.6898148994365059</c:v>
                </c:pt>
                <c:pt idx="42">
                  <c:v>1.7172581124950774</c:v>
                </c:pt>
                <c:pt idx="43">
                  <c:v>1.7444288249734221</c:v>
                </c:pt>
                <c:pt idx="44">
                  <c:v>1.7713360441984456</c:v>
                </c:pt>
                <c:pt idx="45">
                  <c:v>1.7979882889959491</c:v>
                </c:pt>
                <c:pt idx="46">
                  <c:v>1.8243936259812266</c:v>
                </c:pt>
                <c:pt idx="47">
                  <c:v>1.850559702458245</c:v>
                </c:pt>
                <c:pt idx="48">
                  <c:v>1.876493776306507</c:v>
                </c:pt>
                <c:pt idx="49">
                  <c:v>1.9022027431856046</c:v>
                </c:pt>
                <c:pt idx="50">
                  <c:v>1.9276931613458324</c:v>
                </c:pt>
                <c:pt idx="51">
                  <c:v>1.9529712742970595</c:v>
                </c:pt>
                <c:pt idx="52">
                  <c:v>1.9780430315574655</c:v>
                </c:pt>
              </c:numCache>
            </c:numRef>
          </c:val>
        </c:ser>
        <c:ser>
          <c:idx val="5"/>
          <c:order val="5"/>
          <c:tx>
            <c:strRef>
              <c:f>'Стоимость опциона'!$O$2</c:f>
              <c:strCache>
                <c:ptCount val="1"/>
                <c:pt idx="0">
                  <c:v>39,5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опциона'!$O$3:$O$55</c:f>
              <c:numCache>
                <c:formatCode>General</c:formatCode>
                <c:ptCount val="53"/>
                <c:pt idx="0">
                  <c:v>1.9360644320195781E-12</c:v>
                </c:pt>
                <c:pt idx="1">
                  <c:v>0.13132211015901163</c:v>
                </c:pt>
                <c:pt idx="2">
                  <c:v>0.24840678556259022</c:v>
                </c:pt>
                <c:pt idx="3">
                  <c:v>0.34453400934630807</c:v>
                </c:pt>
                <c:pt idx="4">
                  <c:v>0.42809055044724786</c:v>
                </c:pt>
                <c:pt idx="5">
                  <c:v>0.5030996239577803</c:v>
                </c:pt>
                <c:pt idx="6">
                  <c:v>0.57182131064774921</c:v>
                </c:pt>
                <c:pt idx="7">
                  <c:v>0.63566982483828127</c:v>
                </c:pt>
                <c:pt idx="8">
                  <c:v>0.69559843041496094</c:v>
                </c:pt>
                <c:pt idx="9">
                  <c:v>0.75228537718101052</c:v>
                </c:pt>
                <c:pt idx="10">
                  <c:v>0.80623344516139284</c:v>
                </c:pt>
                <c:pt idx="11">
                  <c:v>0.85782752641940263</c:v>
                </c:pt>
                <c:pt idx="12">
                  <c:v>0.90737000170734561</c:v>
                </c:pt>
                <c:pt idx="13">
                  <c:v>0.95510354822398824</c:v>
                </c:pt>
                <c:pt idx="14">
                  <c:v>1.0012264357952816</c:v>
                </c:pt>
                <c:pt idx="15">
                  <c:v>1.0459031284498401</c:v>
                </c:pt>
                <c:pt idx="16">
                  <c:v>1.0892718397877843</c:v>
                </c:pt>
                <c:pt idx="17">
                  <c:v>1.1314500476470108</c:v>
                </c:pt>
                <c:pt idx="18">
                  <c:v>1.1725386035693646</c:v>
                </c:pt>
                <c:pt idx="19">
                  <c:v>1.2126248512319258</c:v>
                </c:pt>
                <c:pt idx="20">
                  <c:v>1.2517850310887901</c:v>
                </c:pt>
                <c:pt idx="21">
                  <c:v>1.2900861612464318</c:v>
                </c:pt>
                <c:pt idx="22">
                  <c:v>1.3275875275722235</c:v>
                </c:pt>
                <c:pt idx="23">
                  <c:v>1.3643418778846268</c:v>
                </c:pt>
                <c:pt idx="24">
                  <c:v>1.4003963890160591</c:v>
                </c:pt>
                <c:pt idx="25">
                  <c:v>1.4357934574065467</c:v>
                </c:pt>
                <c:pt idx="26">
                  <c:v>1.4705713510536533</c:v>
                </c:pt>
                <c:pt idx="27">
                  <c:v>1.5047647514217353</c:v>
                </c:pt>
                <c:pt idx="28">
                  <c:v>1.5384052071915164</c:v>
                </c:pt>
                <c:pt idx="29">
                  <c:v>1.5715215167684633</c:v>
                </c:pt>
                <c:pt idx="30">
                  <c:v>1.6041400527606307</c:v>
                </c:pt>
                <c:pt idx="31">
                  <c:v>1.6362850388357835</c:v>
                </c:pt>
                <c:pt idx="32">
                  <c:v>1.6679787872304885</c:v>
                </c:pt>
                <c:pt idx="33">
                  <c:v>1.6992419035372635</c:v>
                </c:pt>
                <c:pt idx="34">
                  <c:v>1.7300934641164289</c:v>
                </c:pt>
                <c:pt idx="35">
                  <c:v>1.760551170476603</c:v>
                </c:pt>
                <c:pt idx="36">
                  <c:v>1.7906314841758224</c:v>
                </c:pt>
                <c:pt idx="37">
                  <c:v>1.820349745165732</c:v>
                </c:pt>
                <c:pt idx="38">
                  <c:v>1.8497202759966562</c:v>
                </c:pt>
                <c:pt idx="39">
                  <c:v>1.878756473895038</c:v>
                </c:pt>
                <c:pt idx="40">
                  <c:v>1.9074708923948833</c:v>
                </c:pt>
                <c:pt idx="41">
                  <c:v>1.9358753139362683</c:v>
                </c:pt>
                <c:pt idx="42">
                  <c:v>1.9639808146231523</c:v>
                </c:pt>
                <c:pt idx="43">
                  <c:v>1.9917978221515575</c:v>
                </c:pt>
                <c:pt idx="44">
                  <c:v>2.0193361677681274</c:v>
                </c:pt>
                <c:pt idx="45">
                  <c:v>2.0466051329943653</c:v>
                </c:pt>
                <c:pt idx="46">
                  <c:v>2.0736134917468299</c:v>
                </c:pt>
                <c:pt idx="47">
                  <c:v>2.1003695483961486</c:v>
                </c:pt>
                <c:pt idx="48">
                  <c:v>2.1268811722331797</c:v>
                </c:pt>
                <c:pt idx="49">
                  <c:v>2.1531558287486376</c:v>
                </c:pt>
                <c:pt idx="50">
                  <c:v>2.1792006080788795</c:v>
                </c:pt>
                <c:pt idx="51">
                  <c:v>2.2050222509255235</c:v>
                </c:pt>
                <c:pt idx="52">
                  <c:v>2.2306271722179183</c:v>
                </c:pt>
              </c:numCache>
            </c:numRef>
          </c:val>
        </c:ser>
        <c:ser>
          <c:idx val="6"/>
          <c:order val="6"/>
          <c:tx>
            <c:strRef>
              <c:f>'Стоимость опциона'!$P$2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опциона'!$P$3:$P$55</c:f>
              <c:numCache>
                <c:formatCode>General</c:formatCode>
                <c:ptCount val="53"/>
                <c:pt idx="0">
                  <c:v>3.195536111520525E-2</c:v>
                </c:pt>
                <c:pt idx="1">
                  <c:v>0.32476362026743288</c:v>
                </c:pt>
                <c:pt idx="2">
                  <c:v>0.46045639839697472</c:v>
                </c:pt>
                <c:pt idx="3">
                  <c:v>0.56563647577031162</c:v>
                </c:pt>
                <c:pt idx="4">
                  <c:v>0.65496779184702092</c:v>
                </c:pt>
                <c:pt idx="5">
                  <c:v>0.73415437743503631</c:v>
                </c:pt>
                <c:pt idx="6">
                  <c:v>0.80612740090181489</c:v>
                </c:pt>
                <c:pt idx="7">
                  <c:v>0.87263019828482058</c:v>
                </c:pt>
                <c:pt idx="8">
                  <c:v>0.93479958368310534</c:v>
                </c:pt>
                <c:pt idx="9">
                  <c:v>0.99342567212105592</c:v>
                </c:pt>
                <c:pt idx="10">
                  <c:v>1.0490840155861392</c:v>
                </c:pt>
                <c:pt idx="11">
                  <c:v>1.1022092776432189</c:v>
                </c:pt>
                <c:pt idx="12">
                  <c:v>1.1531392583145106</c:v>
                </c:pt>
                <c:pt idx="13">
                  <c:v>1.2021426671797535</c:v>
                </c:pt>
                <c:pt idx="14">
                  <c:v>1.2494374262145946</c:v>
                </c:pt>
                <c:pt idx="15">
                  <c:v>1.2952031735129133</c:v>
                </c:pt>
                <c:pt idx="16">
                  <c:v>1.3395900670553047</c:v>
                </c:pt>
                <c:pt idx="17">
                  <c:v>1.3827251447243611</c:v>
                </c:pt>
                <c:pt idx="18">
                  <c:v>1.42471702182144</c:v>
                </c:pt>
                <c:pt idx="19">
                  <c:v>1.4656594282725308</c:v>
                </c:pt>
                <c:pt idx="20">
                  <c:v>1.5056339177093001</c:v>
                </c:pt>
                <c:pt idx="21">
                  <c:v>1.5447119737453505</c:v>
                </c:pt>
                <c:pt idx="22">
                  <c:v>1.5829566697101676</c:v>
                </c:pt>
                <c:pt idx="23">
                  <c:v>1.6204239923735138</c:v>
                </c:pt>
                <c:pt idx="24">
                  <c:v>1.6571639092431738</c:v>
                </c:pt>
                <c:pt idx="25">
                  <c:v>1.693221237657486</c:v>
                </c:pt>
                <c:pt idx="26">
                  <c:v>1.728636358887762</c:v>
                </c:pt>
                <c:pt idx="27">
                  <c:v>1.7634458097525894</c:v>
                </c:pt>
                <c:pt idx="28">
                  <c:v>1.797682776485459</c:v>
                </c:pt>
                <c:pt idx="29">
                  <c:v>1.8313775098990241</c:v>
                </c:pt>
                <c:pt idx="30">
                  <c:v>1.864557676654119</c:v>
                </c:pt>
                <c:pt idx="31">
                  <c:v>1.8972486582571477</c:v>
                </c:pt>
                <c:pt idx="32">
                  <c:v>1.9294738069902948</c:v>
                </c:pt>
                <c:pt idx="33">
                  <c:v>1.9612546661224215</c:v>
                </c:pt>
                <c:pt idx="34">
                  <c:v>1.9926111603115189</c:v>
                </c:pt>
                <c:pt idx="35">
                  <c:v>2.0235617609871355</c:v>
                </c:pt>
                <c:pt idx="36">
                  <c:v>2.0541236306176884</c:v>
                </c:pt>
                <c:pt idx="37">
                  <c:v>2.0843127490674149</c:v>
                </c:pt>
                <c:pt idx="38">
                  <c:v>2.1141440246878211</c:v>
                </c:pt>
                <c:pt idx="39">
                  <c:v>2.1436313923393477</c:v>
                </c:pt>
                <c:pt idx="40">
                  <c:v>2.1727879001748427</c:v>
                </c:pt>
                <c:pt idx="41">
                  <c:v>2.2016257867208253</c:v>
                </c:pt>
                <c:pt idx="42">
                  <c:v>2.2301565495502444</c:v>
                </c:pt>
                <c:pt idx="43">
                  <c:v>2.2583910066415811</c:v>
                </c:pt>
                <c:pt idx="44">
                  <c:v>2.2863393513542505</c:v>
                </c:pt>
                <c:pt idx="45">
                  <c:v>2.314011201813976</c:v>
                </c:pt>
                <c:pt idx="46">
                  <c:v>2.3414156453874426</c:v>
                </c:pt>
                <c:pt idx="47">
                  <c:v>2.3685612788304127</c:v>
                </c:pt>
                <c:pt idx="48">
                  <c:v>2.3954562446127667</c:v>
                </c:pt>
                <c:pt idx="49">
                  <c:v>2.4221082638563018</c:v>
                </c:pt>
                <c:pt idx="50">
                  <c:v>2.44852466626363</c:v>
                </c:pt>
                <c:pt idx="51">
                  <c:v>2.4747124173673427</c:v>
                </c:pt>
                <c:pt idx="52">
                  <c:v>2.5006781433871446</c:v>
                </c:pt>
              </c:numCache>
            </c:numRef>
          </c:val>
        </c:ser>
        <c:ser>
          <c:idx val="7"/>
          <c:order val="7"/>
          <c:tx>
            <c:strRef>
              <c:f>'Стоимость опциона'!$Q$2</c:f>
              <c:strCache>
                <c:ptCount val="1"/>
                <c:pt idx="0">
                  <c:v>40,5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опциона'!$Q$3:$Q$55</c:f>
              <c:numCache>
                <c:formatCode>General</c:formatCode>
                <c:ptCount val="53"/>
                <c:pt idx="0">
                  <c:v>0.50007999992322993</c:v>
                </c:pt>
                <c:pt idx="1">
                  <c:v>0.63839125411184483</c:v>
                </c:pt>
                <c:pt idx="2">
                  <c:v>0.75901574141147066</c:v>
                </c:pt>
                <c:pt idx="3">
                  <c:v>0.85779262145613444</c:v>
                </c:pt>
                <c:pt idx="4">
                  <c:v>0.94355665639604069</c:v>
                </c:pt>
                <c:pt idx="5">
                  <c:v>1.020497040605516</c:v>
                </c:pt>
                <c:pt idx="6">
                  <c:v>1.090956673053185</c:v>
                </c:pt>
                <c:pt idx="7">
                  <c:v>1.1563980631268649</c:v>
                </c:pt>
                <c:pt idx="8">
                  <c:v>1.2178055243262413</c:v>
                </c:pt>
                <c:pt idx="9">
                  <c:v>1.2758786571002751</c:v>
                </c:pt>
                <c:pt idx="10">
                  <c:v>1.331135664503833</c:v>
                </c:pt>
                <c:pt idx="11">
                  <c:v>1.3839730080834869</c:v>
                </c:pt>
                <c:pt idx="12">
                  <c:v>1.434702010206518</c:v>
                </c:pt>
                <c:pt idx="13">
                  <c:v>1.4835724279699249</c:v>
                </c:pt>
                <c:pt idx="14">
                  <c:v>1.5307882504020291</c:v>
                </c:pt>
                <c:pt idx="15">
                  <c:v>1.5765186400676789</c:v>
                </c:pt>
                <c:pt idx="16">
                  <c:v>1.6209057264918236</c:v>
                </c:pt>
                <c:pt idx="17">
                  <c:v>1.6640702919504164</c:v>
                </c:pt>
                <c:pt idx="18">
                  <c:v>1.7061160067788599</c:v>
                </c:pt>
                <c:pt idx="19">
                  <c:v>1.7471326421955347</c:v>
                </c:pt>
                <c:pt idx="20">
                  <c:v>1.7871985469872484</c:v>
                </c:pt>
                <c:pt idx="21">
                  <c:v>1.8263825842236763</c:v>
                </c:pt>
                <c:pt idx="22">
                  <c:v>1.8647456652432659</c:v>
                </c:pt>
                <c:pt idx="23">
                  <c:v>1.9023419787488329</c:v>
                </c:pt>
                <c:pt idx="24">
                  <c:v>1.9392199859484585</c:v>
                </c:pt>
                <c:pt idx="25">
                  <c:v>1.975423233964321</c:v>
                </c:pt>
                <c:pt idx="26">
                  <c:v>2.0109910264922313</c:v>
                </c:pt>
                <c:pt idx="27">
                  <c:v>2.0459589811832863</c:v>
                </c:pt>
                <c:pt idx="28">
                  <c:v>2.0803594962878336</c:v>
                </c:pt>
                <c:pt idx="29">
                  <c:v>2.1142221439866553</c:v>
                </c:pt>
                <c:pt idx="30">
                  <c:v>2.1475740040125331</c:v>
                </c:pt>
                <c:pt idx="31">
                  <c:v>2.1804399482801209</c:v>
                </c:pt>
                <c:pt idx="32">
                  <c:v>2.2128428850396489</c:v>
                </c:pt>
                <c:pt idx="33">
                  <c:v>2.2448039693747077</c:v>
                </c:pt>
                <c:pt idx="34">
                  <c:v>2.2763427855461273</c:v>
                </c:pt>
                <c:pt idx="35">
                  <c:v>2.3074775056519883</c:v>
                </c:pt>
                <c:pt idx="36">
                  <c:v>2.338225028258158</c:v>
                </c:pt>
                <c:pt idx="37">
                  <c:v>2.3686011000059146</c:v>
                </c:pt>
                <c:pt idx="38">
                  <c:v>2.3986204226835959</c:v>
                </c:pt>
                <c:pt idx="39">
                  <c:v>2.4282967478312649</c:v>
                </c:pt>
                <c:pt idx="40">
                  <c:v>2.4576429606079664</c:v>
                </c:pt>
                <c:pt idx="41">
                  <c:v>2.4866711543744415</c:v>
                </c:pt>
                <c:pt idx="42">
                  <c:v>2.515392697217564</c:v>
                </c:pt>
                <c:pt idx="43">
                  <c:v>2.5438182914558283</c:v>
                </c:pt>
                <c:pt idx="44">
                  <c:v>2.5719580270102931</c:v>
                </c:pt>
                <c:pt idx="45">
                  <c:v>2.5998214293966946</c:v>
                </c:pt>
                <c:pt idx="46">
                  <c:v>2.6274175029868765</c:v>
                </c:pt>
                <c:pt idx="47">
                  <c:v>2.6547547700973482</c:v>
                </c:pt>
                <c:pt idx="48">
                  <c:v>2.6818413063865307</c:v>
                </c:pt>
                <c:pt idx="49">
                  <c:v>2.7086847729781098</c:v>
                </c:pt>
                <c:pt idx="50">
                  <c:v>2.7352924456731778</c:v>
                </c:pt>
                <c:pt idx="51">
                  <c:v>2.7616712415672033</c:v>
                </c:pt>
                <c:pt idx="52">
                  <c:v>2.7878277433483802</c:v>
                </c:pt>
              </c:numCache>
            </c:numRef>
          </c:val>
        </c:ser>
        <c:ser>
          <c:idx val="8"/>
          <c:order val="8"/>
          <c:tx>
            <c:strRef>
              <c:f>'Стоимость опциона'!$R$2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опциона'!$R$3:$R$55</c:f>
              <c:numCache>
                <c:formatCode>General</c:formatCode>
                <c:ptCount val="53"/>
                <c:pt idx="0">
                  <c:v>1.000079999919997</c:v>
                </c:pt>
                <c:pt idx="1">
                  <c:v>1.0502442340730482</c:v>
                </c:pt>
                <c:pt idx="2">
                  <c:v>1.1345701050841726</c:v>
                </c:pt>
                <c:pt idx="3">
                  <c:v>1.2151016122812095</c:v>
                </c:pt>
                <c:pt idx="4">
                  <c:v>1.2895977798093909</c:v>
                </c:pt>
                <c:pt idx="5">
                  <c:v>1.3587872422556622</c:v>
                </c:pt>
                <c:pt idx="6">
                  <c:v>1.4235504053795971</c:v>
                </c:pt>
                <c:pt idx="7">
                  <c:v>1.4846138439818084</c:v>
                </c:pt>
                <c:pt idx="8">
                  <c:v>1.5425467525572785</c:v>
                </c:pt>
                <c:pt idx="9">
                  <c:v>1.5977948544385896</c:v>
                </c:pt>
                <c:pt idx="10">
                  <c:v>1.6507114172872406</c:v>
                </c:pt>
                <c:pt idx="11">
                  <c:v>1.7015806015235988</c:v>
                </c:pt>
                <c:pt idx="12">
                  <c:v>1.7506343414569372</c:v>
                </c:pt>
                <c:pt idx="13">
                  <c:v>1.798064522121976</c:v>
                </c:pt>
                <c:pt idx="14">
                  <c:v>1.8440318502941473</c:v>
                </c:pt>
                <c:pt idx="15">
                  <c:v>1.8886724078691479</c:v>
                </c:pt>
                <c:pt idx="16">
                  <c:v>1.932102565698127</c:v>
                </c:pt>
                <c:pt idx="17">
                  <c:v>1.9744227222186872</c:v>
                </c:pt>
                <c:pt idx="18">
                  <c:v>2.0157201874972657</c:v>
                </c:pt>
                <c:pt idx="19">
                  <c:v>2.0560714368194013</c:v>
                </c:pt>
                <c:pt idx="20">
                  <c:v>2.0955438926972434</c:v>
                </c:pt>
                <c:pt idx="21">
                  <c:v>2.1341973494915223</c:v>
                </c:pt>
                <c:pt idx="22">
                  <c:v>2.1720851238639156</c:v>
                </c:pt>
                <c:pt idx="23">
                  <c:v>2.209254992494337</c:v>
                </c:pt>
                <c:pt idx="24">
                  <c:v>2.2457499629797724</c:v>
                </c:pt>
                <c:pt idx="25">
                  <c:v>2.2816089126314232</c:v>
                </c:pt>
                <c:pt idx="26">
                  <c:v>2.316867121704302</c:v>
                </c:pt>
                <c:pt idx="27">
                  <c:v>2.3515567215459114</c:v>
                </c:pt>
                <c:pt idx="28">
                  <c:v>2.3857070736312238</c:v>
                </c:pt>
                <c:pt idx="29">
                  <c:v>2.4193450920395598</c:v>
                </c:pt>
                <c:pt idx="30">
                  <c:v>2.4524955193285152</c:v>
                </c:pt>
                <c:pt idx="31">
                  <c:v>2.4851811637593393</c:v>
                </c:pt>
                <c:pt idx="32">
                  <c:v>2.5174231042764568</c:v>
                </c:pt>
                <c:pt idx="33">
                  <c:v>2.5492408684296777</c:v>
                </c:pt>
                <c:pt idx="34">
                  <c:v>2.5806525874717252</c:v>
                </c:pt>
                <c:pt idx="35">
                  <c:v>2.6116751321039438</c:v>
                </c:pt>
                <c:pt idx="36">
                  <c:v>2.6423242317368718</c:v>
                </c:pt>
                <c:pt idx="37">
                  <c:v>2.6726145796445984</c:v>
                </c:pt>
                <c:pt idx="38">
                  <c:v>2.702559925996745</c:v>
                </c:pt>
                <c:pt idx="39">
                  <c:v>2.7321731604314685</c:v>
                </c:pt>
                <c:pt idx="40">
                  <c:v>2.7614663855696016</c:v>
                </c:pt>
                <c:pt idx="41">
                  <c:v>2.7904509826544022</c:v>
                </c:pt>
                <c:pt idx="42">
                  <c:v>2.8191376703225508</c:v>
                </c:pt>
                <c:pt idx="43">
                  <c:v>2.8475365573643465</c:v>
                </c:pt>
                <c:pt idx="44">
                  <c:v>2.8756571902066206</c:v>
                </c:pt>
                <c:pt idx="45">
                  <c:v>2.9035085957493507</c:v>
                </c:pt>
                <c:pt idx="46">
                  <c:v>2.9310993200989977</c:v>
                </c:pt>
                <c:pt idx="47">
                  <c:v>2.9584374636688509</c:v>
                </c:pt>
                <c:pt idx="48">
                  <c:v>2.9855307130538549</c:v>
                </c:pt>
                <c:pt idx="49">
                  <c:v>3.0123863700347719</c:v>
                </c:pt>
                <c:pt idx="50">
                  <c:v>3.0390113780212467</c:v>
                </c:pt>
                <c:pt idx="51">
                  <c:v>3.0654123462046705</c:v>
                </c:pt>
                <c:pt idx="52">
                  <c:v>3.0915955716585515</c:v>
                </c:pt>
              </c:numCache>
            </c:numRef>
          </c:val>
        </c:ser>
        <c:ser>
          <c:idx val="9"/>
          <c:order val="9"/>
          <c:tx>
            <c:strRef>
              <c:f>'Стоимость опциона'!$S$2</c:f>
              <c:strCache>
                <c:ptCount val="1"/>
                <c:pt idx="0">
                  <c:v>41,5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опциона'!$S$3:$S$55</c:f>
              <c:numCache>
                <c:formatCode>General</c:formatCode>
                <c:ptCount val="53"/>
                <c:pt idx="0">
                  <c:v>1.500079999919997</c:v>
                </c:pt>
                <c:pt idx="1">
                  <c:v>1.5185985155724566</c:v>
                </c:pt>
                <c:pt idx="2">
                  <c:v>1.5672766518159023</c:v>
                </c:pt>
                <c:pt idx="3">
                  <c:v>1.6252750002191121</c:v>
                </c:pt>
                <c:pt idx="4">
                  <c:v>1.6844154033770238</c:v>
                </c:pt>
                <c:pt idx="5">
                  <c:v>1.7424073388884302</c:v>
                </c:pt>
                <c:pt idx="6">
                  <c:v>1.7985978724760194</c:v>
                </c:pt>
                <c:pt idx="7">
                  <c:v>1.8528603754732345</c:v>
                </c:pt>
                <c:pt idx="8">
                  <c:v>1.9052506710301067</c:v>
                </c:pt>
                <c:pt idx="9">
                  <c:v>1.9558859052356645</c:v>
                </c:pt>
                <c:pt idx="10">
                  <c:v>2.0048984841089599</c:v>
                </c:pt>
                <c:pt idx="11">
                  <c:v>2.0524181262260015</c:v>
                </c:pt>
                <c:pt idx="12">
                  <c:v>2.0985652080751187</c:v>
                </c:pt>
                <c:pt idx="13">
                  <c:v>2.1434488219888443</c:v>
                </c:pt>
                <c:pt idx="14">
                  <c:v>2.1871668060675837</c:v>
                </c:pt>
                <c:pt idx="15">
                  <c:v>2.2298065564010869</c:v>
                </c:pt>
                <c:pt idx="16">
                  <c:v>2.271446094768482</c:v>
                </c:pt>
                <c:pt idx="17">
                  <c:v>2.3121551601924715</c:v>
                </c:pt>
                <c:pt idx="18">
                  <c:v>2.3519962276818802</c:v>
                </c:pt>
                <c:pt idx="19">
                  <c:v>2.3910254198169945</c:v>
                </c:pt>
                <c:pt idx="20">
                  <c:v>2.4292933052674925</c:v>
                </c:pt>
                <c:pt idx="21">
                  <c:v>2.4668455906863187</c:v>
                </c:pt>
                <c:pt idx="22">
                  <c:v>2.5037237171107591</c:v>
                </c:pt>
                <c:pt idx="23">
                  <c:v>2.539965373088247</c:v>
                </c:pt>
                <c:pt idx="24">
                  <c:v>2.5756049362138036</c:v>
                </c:pt>
                <c:pt idx="25">
                  <c:v>2.6106738535881213</c:v>
                </c:pt>
                <c:pt idx="26">
                  <c:v>2.645200970347112</c:v>
                </c:pt>
                <c:pt idx="27">
                  <c:v>2.6792128140912688</c:v>
                </c:pt>
                <c:pt idx="28">
                  <c:v>2.7127338418454841</c:v>
                </c:pt>
                <c:pt idx="29">
                  <c:v>2.7457866551364916</c:v>
                </c:pt>
                <c:pt idx="30">
                  <c:v>2.7783921878850499</c:v>
                </c:pt>
                <c:pt idx="31">
                  <c:v>2.810569871058938</c:v>
                </c:pt>
                <c:pt idx="32">
                  <c:v>2.8423377774056391</c:v>
                </c:pt>
                <c:pt idx="33">
                  <c:v>2.8737127490589423</c:v>
                </c:pt>
                <c:pt idx="34">
                  <c:v>2.9047105103780275</c:v>
                </c:pt>
                <c:pt idx="35">
                  <c:v>2.9353457680142618</c:v>
                </c:pt>
                <c:pt idx="36">
                  <c:v>2.9656322998977167</c:v>
                </c:pt>
                <c:pt idx="37">
                  <c:v>2.9955830345833867</c:v>
                </c:pt>
                <c:pt idx="38">
                  <c:v>3.0252101221846424</c:v>
                </c:pt>
                <c:pt idx="39">
                  <c:v>3.0545249979449878</c:v>
                </c:pt>
                <c:pt idx="40">
                  <c:v>3.0835384393493648</c:v>
                </c:pt>
                <c:pt idx="41">
                  <c:v>3.1122606175509269</c:v>
                </c:pt>
                <c:pt idx="42">
                  <c:v>3.1407011437827457</c:v>
                </c:pt>
                <c:pt idx="43">
                  <c:v>3.1688691113339225</c:v>
                </c:pt>
                <c:pt idx="44">
                  <c:v>3.1967731335928669</c:v>
                </c:pt>
                <c:pt idx="45">
                  <c:v>3.2244213785952134</c:v>
                </c:pt>
                <c:pt idx="46">
                  <c:v>3.2518216004581504</c:v>
                </c:pt>
                <c:pt idx="47">
                  <c:v>3.2789811680348997</c:v>
                </c:pt>
                <c:pt idx="48">
                  <c:v>3.3059070910819663</c:v>
                </c:pt>
                <c:pt idx="49">
                  <c:v>3.3326060441965524</c:v>
                </c:pt>
                <c:pt idx="50">
                  <c:v>3.3590843887505279</c:v>
                </c:pt>
                <c:pt idx="51">
                  <c:v>3.3853481930210805</c:v>
                </c:pt>
                <c:pt idx="52">
                  <c:v>3.4114032506951339</c:v>
                </c:pt>
              </c:numCache>
            </c:numRef>
          </c:val>
        </c:ser>
        <c:ser>
          <c:idx val="10"/>
          <c:order val="10"/>
          <c:tx>
            <c:strRef>
              <c:f>'Стоимость опциона'!$T$2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опциона'!$T$3:$T$55</c:f>
              <c:numCache>
                <c:formatCode>General</c:formatCode>
                <c:ptCount val="53"/>
                <c:pt idx="0">
                  <c:v>2.000079999919997</c:v>
                </c:pt>
                <c:pt idx="1">
                  <c:v>2.0100797527882648</c:v>
                </c:pt>
                <c:pt idx="2">
                  <c:v>2.0355844263495371</c:v>
                </c:pt>
                <c:pt idx="3">
                  <c:v>2.0735664998376393</c:v>
                </c:pt>
                <c:pt idx="4">
                  <c:v>2.1171201295710844</c:v>
                </c:pt>
                <c:pt idx="5">
                  <c:v>2.1628599163339359</c:v>
                </c:pt>
                <c:pt idx="6">
                  <c:v>2.2091987080860775</c:v>
                </c:pt>
                <c:pt idx="7">
                  <c:v>2.2553652185902848</c:v>
                </c:pt>
                <c:pt idx="8">
                  <c:v>2.3009767153028022</c:v>
                </c:pt>
                <c:pt idx="9">
                  <c:v>2.3458460938297421</c:v>
                </c:pt>
                <c:pt idx="10">
                  <c:v>2.3898891621535761</c:v>
                </c:pt>
                <c:pt idx="11">
                  <c:v>2.4330774892703211</c:v>
                </c:pt>
                <c:pt idx="12">
                  <c:v>2.4754132853561828</c:v>
                </c:pt>
                <c:pt idx="13">
                  <c:v>2.5169155204212714</c:v>
                </c:pt>
                <c:pt idx="14">
                  <c:v>2.5576120394618194</c:v>
                </c:pt>
                <c:pt idx="15">
                  <c:v>2.5975349985453811</c:v>
                </c:pt>
                <c:pt idx="16">
                  <c:v>2.6367181969718345</c:v>
                </c:pt>
                <c:pt idx="17">
                  <c:v>2.6751955187927763</c:v>
                </c:pt>
                <c:pt idx="18">
                  <c:v>2.7130000357848409</c:v>
                </c:pt>
                <c:pt idx="19">
                  <c:v>2.7501635101737563</c:v>
                </c:pt>
                <c:pt idx="20">
                  <c:v>2.7867161408468526</c:v>
                </c:pt>
                <c:pt idx="21">
                  <c:v>2.822686458070617</c:v>
                </c:pt>
                <c:pt idx="22">
                  <c:v>2.8581013081528646</c:v>
                </c:pt>
                <c:pt idx="23">
                  <c:v>2.8929858915629225</c:v>
                </c:pt>
                <c:pt idx="24">
                  <c:v>2.9273638316230297</c:v>
                </c:pt>
                <c:pt idx="25">
                  <c:v>2.9612572593814619</c:v>
                </c:pt>
                <c:pt idx="26">
                  <c:v>2.9946869056464287</c:v>
                </c:pt>
                <c:pt idx="27">
                  <c:v>3.0276721945823013</c:v>
                </c:pt>
                <c:pt idx="28">
                  <c:v>3.0602313354640884</c:v>
                </c:pt>
                <c:pt idx="29">
                  <c:v>3.0923814105972838</c:v>
                </c:pt>
                <c:pt idx="30">
                  <c:v>3.1241384583172618</c:v>
                </c:pt>
                <c:pt idx="31">
                  <c:v>3.1555175505623048</c:v>
                </c:pt>
                <c:pt idx="32">
                  <c:v>3.186532864880526</c:v>
                </c:pt>
                <c:pt idx="33">
                  <c:v>3.2171977509576877</c:v>
                </c:pt>
                <c:pt idx="34">
                  <c:v>3.2475247918883348</c:v>
                </c:pt>
                <c:pt idx="35">
                  <c:v>3.2775258604878132</c:v>
                </c:pt>
                <c:pt idx="36">
                  <c:v>3.3072121709796853</c:v>
                </c:pt>
                <c:pt idx="37">
                  <c:v>3.3365943264049349</c:v>
                </c:pt>
                <c:pt idx="38">
                  <c:v>3.3656823620953169</c:v>
                </c:pt>
                <c:pt idx="39">
                  <c:v>3.3944857855404642</c:v>
                </c:pt>
                <c:pt idx="40">
                  <c:v>3.4230136129596218</c:v>
                </c:pt>
                <c:pt idx="41">
                  <c:v>3.451274402867341</c:v>
                </c:pt>
                <c:pt idx="42">
                  <c:v>3.4792762869007916</c:v>
                </c:pt>
                <c:pt idx="43">
                  <c:v>3.5070269981537088</c:v>
                </c:pt>
                <c:pt idx="44">
                  <c:v>3.5345338972408697</c:v>
                </c:pt>
                <c:pt idx="45">
                  <c:v>3.5618039962968204</c:v>
                </c:pt>
                <c:pt idx="46">
                  <c:v>3.5888439810936994</c:v>
                </c:pt>
                <c:pt idx="47">
                  <c:v>3.6156602314458439</c:v>
                </c:pt>
                <c:pt idx="48">
                  <c:v>3.6422588400528042</c:v>
                </c:pt>
                <c:pt idx="49">
                  <c:v>3.6686456299181387</c:v>
                </c:pt>
                <c:pt idx="50">
                  <c:v>3.6948261704681897</c:v>
                </c:pt>
                <c:pt idx="51">
                  <c:v>3.7208057924831373</c:v>
                </c:pt>
                <c:pt idx="52">
                  <c:v>3.7465896019421798</c:v>
                </c:pt>
              </c:numCache>
            </c:numRef>
          </c:val>
        </c:ser>
        <c:ser>
          <c:idx val="11"/>
          <c:order val="11"/>
          <c:tx>
            <c:strRef>
              <c:f>'Стоимость опциона'!$U$2</c:f>
              <c:strCache>
                <c:ptCount val="1"/>
                <c:pt idx="0">
                  <c:v>42,5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опциона'!$U$3:$U$55</c:f>
              <c:numCache>
                <c:formatCode>General</c:formatCode>
                <c:ptCount val="53"/>
                <c:pt idx="0">
                  <c:v>2.500079999919997</c:v>
                </c:pt>
                <c:pt idx="1">
                  <c:v>2.508367725958351</c:v>
                </c:pt>
                <c:pt idx="2">
                  <c:v>2.5226135942943841</c:v>
                </c:pt>
                <c:pt idx="3">
                  <c:v>2.5463833928070301</c:v>
                </c:pt>
                <c:pt idx="4">
                  <c:v>2.5768335779811764</c:v>
                </c:pt>
                <c:pt idx="5">
                  <c:v>2.6112506110919327</c:v>
                </c:pt>
                <c:pt idx="6">
                  <c:v>2.6479130981024568</c:v>
                </c:pt>
                <c:pt idx="7">
                  <c:v>2.6857798488313662</c:v>
                </c:pt>
                <c:pt idx="8">
                  <c:v>2.7242158476971028</c:v>
                </c:pt>
                <c:pt idx="9">
                  <c:v>2.7628271438624168</c:v>
                </c:pt>
                <c:pt idx="10">
                  <c:v>2.8013658375050525</c:v>
                </c:pt>
                <c:pt idx="11">
                  <c:v>2.8396747727591602</c:v>
                </c:pt>
                <c:pt idx="12">
                  <c:v>2.8776545266833509</c:v>
                </c:pt>
                <c:pt idx="13">
                  <c:v>2.9152431645095476</c:v>
                </c:pt>
                <c:pt idx="14">
                  <c:v>2.9524035020680657</c:v>
                </c:pt>
                <c:pt idx="15">
                  <c:v>2.9891149049031931</c:v>
                </c:pt>
                <c:pt idx="16">
                  <c:v>3.0253679004274794</c:v>
                </c:pt>
                <c:pt idx="17">
                  <c:v>3.0611605757877562</c:v>
                </c:pt>
                <c:pt idx="18">
                  <c:v>3.0964961334904793</c:v>
                </c:pt>
                <c:pt idx="19">
                  <c:v>3.1313812119322328</c:v>
                </c:pt>
                <c:pt idx="20">
                  <c:v>3.1658247198082847</c:v>
                </c:pt>
                <c:pt idx="21">
                  <c:v>3.199837020894126</c:v>
                </c:pt>
                <c:pt idx="22">
                  <c:v>3.2334293608414413</c:v>
                </c:pt>
                <c:pt idx="23">
                  <c:v>3.2666134630456973</c:v>
                </c:pt>
                <c:pt idx="24">
                  <c:v>3.299401243786356</c:v>
                </c:pt>
                <c:pt idx="25">
                  <c:v>3.3318046122070974</c:v>
                </c:pt>
                <c:pt idx="26">
                  <c:v>3.3638353310555722</c:v>
                </c:pt>
                <c:pt idx="27">
                  <c:v>3.3955049211692554</c:v>
                </c:pt>
                <c:pt idx="28">
                  <c:v>3.4268245975771237</c:v>
                </c:pt>
                <c:pt idx="29">
                  <c:v>3.457805228498998</c:v>
                </c:pt>
                <c:pt idx="30">
                  <c:v>3.488457310932187</c:v>
                </c:pt>
                <c:pt idx="31">
                  <c:v>3.5187909582307455</c:v>
                </c:pt>
                <c:pt idx="32">
                  <c:v>3.5488158963145473</c:v>
                </c:pt>
                <c:pt idx="33">
                  <c:v>3.5785414660370662</c:v>
                </c:pt>
                <c:pt idx="34">
                  <c:v>3.6079766298908993</c:v>
                </c:pt>
                <c:pt idx="35">
                  <c:v>3.6371299817064298</c:v>
                </c:pt>
                <c:pt idx="36">
                  <c:v>3.6660097583501283</c:v>
                </c:pt>
                <c:pt idx="37">
                  <c:v>3.6946238526894568</c:v>
                </c:pt>
                <c:pt idx="38">
                  <c:v>3.7229798272844654</c:v>
                </c:pt>
                <c:pt idx="39">
                  <c:v>3.7510849284107763</c:v>
                </c:pt>
                <c:pt idx="40">
                  <c:v>3.7789461001264115</c:v>
                </c:pt>
                <c:pt idx="41">
                  <c:v>3.806569998175874</c:v>
                </c:pt>
                <c:pt idx="42">
                  <c:v>3.8339630035854704</c:v>
                </c:pt>
                <c:pt idx="43">
                  <c:v>3.8611312358494381</c:v>
                </c:pt>
                <c:pt idx="44">
                  <c:v>3.8880805656402373</c:v>
                </c:pt>
                <c:pt idx="45">
                  <c:v>3.9148166270020219</c:v>
                </c:pt>
                <c:pt idx="46">
                  <c:v>3.9413448290049011</c:v>
                </c:pt>
                <c:pt idx="47">
                  <c:v>3.9676703668518023</c:v>
                </c:pt>
                <c:pt idx="48">
                  <c:v>3.9937982324395875</c:v>
                </c:pt>
                <c:pt idx="49">
                  <c:v>4.0197332243836819</c:v>
                </c:pt>
                <c:pt idx="50">
                  <c:v>4.0454799575204596</c:v>
                </c:pt>
                <c:pt idx="51">
                  <c:v>4.071042871905231</c:v>
                </c:pt>
                <c:pt idx="52">
                  <c:v>4.096426241325922</c:v>
                </c:pt>
              </c:numCache>
            </c:numRef>
          </c:val>
        </c:ser>
        <c:ser>
          <c:idx val="12"/>
          <c:order val="12"/>
          <c:tx>
            <c:strRef>
              <c:f>'Стоимость опциона'!$V$2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опциона'!$V$3:$V$55</c:f>
              <c:numCache>
                <c:formatCode>General</c:formatCode>
                <c:ptCount val="53"/>
                <c:pt idx="0">
                  <c:v>3.000079999919997</c:v>
                </c:pt>
                <c:pt idx="1">
                  <c:v>3.0081107195482417</c:v>
                </c:pt>
                <c:pt idx="2">
                  <c:v>3.0180012524482294</c:v>
                </c:pt>
                <c:pt idx="3">
                  <c:v>3.0333361593322365</c:v>
                </c:pt>
                <c:pt idx="4">
                  <c:v>3.0542704277672286</c:v>
                </c:pt>
                <c:pt idx="5">
                  <c:v>3.0794716787097229</c:v>
                </c:pt>
                <c:pt idx="6">
                  <c:v>3.1076603653226016</c:v>
                </c:pt>
                <c:pt idx="7">
                  <c:v>3.1378775390662881</c:v>
                </c:pt>
                <c:pt idx="8">
                  <c:v>3.1694448350969537</c:v>
                </c:pt>
                <c:pt idx="9">
                  <c:v>3.2018873952437872</c:v>
                </c:pt>
                <c:pt idx="10">
                  <c:v>3.2348714665770402</c:v>
                </c:pt>
                <c:pt idx="11">
                  <c:v>3.2681605321900307</c:v>
                </c:pt>
                <c:pt idx="12">
                  <c:v>3.3015855521755384</c:v>
                </c:pt>
                <c:pt idx="13">
                  <c:v>3.3350248547893955</c:v>
                </c:pt>
                <c:pt idx="14">
                  <c:v>3.3683904427275948</c:v>
                </c:pt>
                <c:pt idx="15">
                  <c:v>3.4016185543458022</c:v>
                </c:pt>
                <c:pt idx="16">
                  <c:v>3.4346630695944995</c:v>
                </c:pt>
                <c:pt idx="17">
                  <c:v>3.4674908408946621</c:v>
                </c:pt>
                <c:pt idx="18">
                  <c:v>3.5000783442433487</c:v>
                </c:pt>
                <c:pt idx="19">
                  <c:v>3.5324092482655978</c:v>
                </c:pt>
                <c:pt idx="20">
                  <c:v>3.5644726300308847</c:v>
                </c:pt>
                <c:pt idx="21">
                  <c:v>3.5962616523374322</c:v>
                </c:pt>
                <c:pt idx="22">
                  <c:v>3.6277725741621296</c:v>
                </c:pt>
                <c:pt idx="23">
                  <c:v>3.6590040042986445</c:v>
                </c:pt>
                <c:pt idx="24">
                  <c:v>3.6899563343183956</c:v>
                </c:pt>
                <c:pt idx="25">
                  <c:v>3.7206313050055222</c:v>
                </c:pt>
                <c:pt idx="26">
                  <c:v>3.7510316730002877</c:v>
                </c:pt>
                <c:pt idx="27">
                  <c:v>3.7811609532737087</c:v>
                </c:pt>
                <c:pt idx="28">
                  <c:v>3.8110232194043938</c:v>
                </c:pt>
                <c:pt idx="29">
                  <c:v>3.8406229482073293</c:v>
                </c:pt>
                <c:pt idx="30">
                  <c:v>3.8699648986005641</c:v>
                </c:pt>
                <c:pt idx="31">
                  <c:v>3.8990540170462822</c:v>
                </c:pt>
                <c:pt idx="32">
                  <c:v>3.9278953637201433</c:v>
                </c:pt>
                <c:pt idx="33">
                  <c:v>3.956494054919542</c:v>
                </c:pt>
                <c:pt idx="34">
                  <c:v>3.9848552182432684</c:v>
                </c:pt>
                <c:pt idx="35">
                  <c:v>4.0129839578489914</c:v>
                </c:pt>
                <c:pt idx="36">
                  <c:v>4.0408853276856149</c:v>
                </c:pt>
                <c:pt idx="37">
                  <c:v>4.0685643110509595</c:v>
                </c:pt>
                <c:pt idx="38">
                  <c:v>4.0960258051749072</c:v>
                </c:pt>
                <c:pt idx="39">
                  <c:v>4.1232746098001627</c:v>
                </c:pt>
                <c:pt idx="40">
                  <c:v>4.1503154189443947</c:v>
                </c:pt>
                <c:pt idx="41">
                  <c:v>4.1771528151935584</c:v>
                </c:pt>
                <c:pt idx="42">
                  <c:v>4.2037912660074319</c:v>
                </c:pt>
                <c:pt idx="43">
                  <c:v>4.230235121621277</c:v>
                </c:pt>
                <c:pt idx="44">
                  <c:v>4.256488614209907</c:v>
                </c:pt>
                <c:pt idx="45">
                  <c:v>4.2825558580457646</c:v>
                </c:pt>
                <c:pt idx="46">
                  <c:v>4.3084408504347529</c:v>
                </c:pt>
                <c:pt idx="47">
                  <c:v>4.3341474732557366</c:v>
                </c:pt>
                <c:pt idx="48">
                  <c:v>4.3596794949629007</c:v>
                </c:pt>
                <c:pt idx="49">
                  <c:v>4.3850405729376511</c:v>
                </c:pt>
                <c:pt idx="50">
                  <c:v>4.4102342560986116</c:v>
                </c:pt>
                <c:pt idx="51">
                  <c:v>4.4352639876957021</c:v>
                </c:pt>
                <c:pt idx="52">
                  <c:v>4.460133108229428</c:v>
                </c:pt>
              </c:numCache>
            </c:numRef>
          </c:val>
        </c:ser>
        <c:ser>
          <c:idx val="13"/>
          <c:order val="13"/>
          <c:tx>
            <c:strRef>
              <c:f>'Стоимость опциона'!$W$2</c:f>
              <c:strCache>
                <c:ptCount val="1"/>
                <c:pt idx="0">
                  <c:v>43,5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опциона'!$W$3:$W$55</c:f>
              <c:numCache>
                <c:formatCode>General</c:formatCode>
                <c:ptCount val="53"/>
                <c:pt idx="0">
                  <c:v>3.500079999919997</c:v>
                </c:pt>
                <c:pt idx="1">
                  <c:v>3.5080818012188857</c:v>
                </c:pt>
                <c:pt idx="2">
                  <c:v>3.5165746615704023</c:v>
                </c:pt>
                <c:pt idx="3">
                  <c:v>3.527615280590318</c:v>
                </c:pt>
                <c:pt idx="4">
                  <c:v>3.5424438512027407</c:v>
                </c:pt>
                <c:pt idx="5">
                  <c:v>3.560894647532983</c:v>
                </c:pt>
                <c:pt idx="6">
                  <c:v>3.5823242630847076</c:v>
                </c:pt>
                <c:pt idx="7">
                  <c:v>3.6060661766528668</c:v>
                </c:pt>
                <c:pt idx="8">
                  <c:v>3.6315583427486544</c:v>
                </c:pt>
                <c:pt idx="9">
                  <c:v>3.6583572116235956</c:v>
                </c:pt>
                <c:pt idx="10">
                  <c:v>3.6861207674801477</c:v>
                </c:pt>
                <c:pt idx="11">
                  <c:v>3.7145869719696236</c:v>
                </c:pt>
                <c:pt idx="12">
                  <c:v>3.7435549232555587</c:v>
                </c:pt>
                <c:pt idx="13">
                  <c:v>3.7728700269414759</c:v>
                </c:pt>
                <c:pt idx="14">
                  <c:v>3.8024127634444369</c:v>
                </c:pt>
                <c:pt idx="15">
                  <c:v>3.8320902924438514</c:v>
                </c:pt>
                <c:pt idx="16">
                  <c:v>3.8618301918320057</c:v>
                </c:pt>
                <c:pt idx="17">
                  <c:v>3.8915757739037744</c:v>
                </c:pt>
                <c:pt idx="18">
                  <c:v>3.9212825612763993</c:v>
                </c:pt>
                <c:pt idx="19">
                  <c:v>3.9509156168285529</c:v>
                </c:pt>
                <c:pt idx="20">
                  <c:v>3.9804475055571515</c:v>
                </c:pt>
                <c:pt idx="21">
                  <c:v>4.0098567270493604</c:v>
                </c:pt>
                <c:pt idx="22">
                  <c:v>4.0391265009987265</c:v>
                </c:pt>
                <c:pt idx="23">
                  <c:v>4.0682438195797204</c:v>
                </c:pt>
                <c:pt idx="24">
                  <c:v>4.0971987030693384</c:v>
                </c:pt>
                <c:pt idx="25">
                  <c:v>4.1259836114214679</c:v>
                </c:pt>
                <c:pt idx="26">
                  <c:v>4.1545929763652936</c:v>
                </c:pt>
                <c:pt idx="27">
                  <c:v>4.1830228272898431</c:v>
                </c:pt>
                <c:pt idx="28">
                  <c:v>4.2112704905864717</c:v>
                </c:pt>
                <c:pt idx="29">
                  <c:v>4.2393343468849238</c:v>
                </c:pt>
                <c:pt idx="30">
                  <c:v>4.2672136341842268</c:v>
                </c:pt>
                <c:pt idx="31">
                  <c:v>4.2949082875679885</c:v>
                </c:pt>
                <c:pt idx="32">
                  <c:v>4.3224188082345449</c:v>
                </c:pt>
                <c:pt idx="33">
                  <c:v>4.3497461561315127</c:v>
                </c:pt>
                <c:pt idx="34">
                  <c:v>4.3768916616848514</c:v>
                </c:pt>
                <c:pt idx="35">
                  <c:v>4.403856953040254</c:v>
                </c:pt>
                <c:pt idx="36">
                  <c:v>4.4306438959577541</c:v>
                </c:pt>
                <c:pt idx="37">
                  <c:v>4.4572545440665934</c:v>
                </c:pt>
                <c:pt idx="38">
                  <c:v>4.4836910976322351</c:v>
                </c:pt>
                <c:pt idx="39">
                  <c:v>4.5099558693406756</c:v>
                </c:pt>
                <c:pt idx="40">
                  <c:v>4.5360512558847823</c:v>
                </c:pt>
                <c:pt idx="41">
                  <c:v>4.5619797143614278</c:v>
                </c:pt>
                <c:pt idx="42">
                  <c:v>4.5877437426680849</c:v>
                </c:pt>
                <c:pt idx="43">
                  <c:v>4.6133458632320874</c:v>
                </c:pt>
                <c:pt idx="44">
                  <c:v>4.6387886095225959</c:v>
                </c:pt>
                <c:pt idx="45">
                  <c:v>4.6640745148912153</c:v>
                </c:pt>
                <c:pt idx="46">
                  <c:v>4.6892061033639543</c:v>
                </c:pt>
                <c:pt idx="47">
                  <c:v>4.7141858820712237</c:v>
                </c:pt>
                <c:pt idx="48">
                  <c:v>4.7390163350544157</c:v>
                </c:pt>
                <c:pt idx="49">
                  <c:v>4.7636999182306141</c:v>
                </c:pt>
                <c:pt idx="50">
                  <c:v>4.7882390553323333</c:v>
                </c:pt>
                <c:pt idx="51">
                  <c:v>4.8126361346686508</c:v>
                </c:pt>
                <c:pt idx="52">
                  <c:v>4.8368935065785124</c:v>
                </c:pt>
              </c:numCache>
            </c:numRef>
          </c:val>
        </c:ser>
        <c:ser>
          <c:idx val="14"/>
          <c:order val="14"/>
          <c:tx>
            <c:strRef>
              <c:f>'Стоимость опциона'!$X$2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опциона'!$X$3:$X$55</c:f>
              <c:numCache>
                <c:formatCode>General</c:formatCode>
                <c:ptCount val="53"/>
                <c:pt idx="0">
                  <c:v>4.000079999919997</c:v>
                </c:pt>
                <c:pt idx="1">
                  <c:v>4.008079349586346</c:v>
                </c:pt>
                <c:pt idx="2">
                  <c:v>4.0161900901077487</c:v>
                </c:pt>
                <c:pt idx="3">
                  <c:v>4.0253211555540673</c:v>
                </c:pt>
                <c:pt idx="4">
                  <c:v>4.0366380790919365</c:v>
                </c:pt>
                <c:pt idx="5">
                  <c:v>4.0505794604216945</c:v>
                </c:pt>
                <c:pt idx="6">
                  <c:v>4.0670352059265724</c:v>
                </c:pt>
                <c:pt idx="7">
                  <c:v>4.0856792077646347</c:v>
                </c:pt>
                <c:pt idx="8">
                  <c:v>4.1061441524851929</c:v>
                </c:pt>
                <c:pt idx="9">
                  <c:v>4.1280904132188567</c:v>
                </c:pt>
                <c:pt idx="10">
                  <c:v>4.1512265558556791</c:v>
                </c:pt>
                <c:pt idx="11">
                  <c:v>4.1753105554311887</c:v>
                </c:pt>
                <c:pt idx="12">
                  <c:v>4.2001443312218854</c:v>
                </c:pt>
                <c:pt idx="13">
                  <c:v>4.2255667048065177</c:v>
                </c:pt>
                <c:pt idx="14">
                  <c:v>4.2514466940362468</c:v>
                </c:pt>
                <c:pt idx="15">
                  <c:v>4.2776777437045581</c:v>
                </c:pt>
                <c:pt idx="16">
                  <c:v>4.304172977156135</c:v>
                </c:pt>
                <c:pt idx="17">
                  <c:v>4.3308613684006971</c:v>
                </c:pt>
                <c:pt idx="18">
                  <c:v>4.357684684790911</c:v>
                </c:pt>
                <c:pt idx="19">
                  <c:v>4.384595052854813</c:v>
                </c:pt>
                <c:pt idx="20">
                  <c:v>4.4115530197238755</c:v>
                </c:pt>
                <c:pt idx="21">
                  <c:v>4.4385260057506954</c:v>
                </c:pt>
                <c:pt idx="22">
                  <c:v>4.4654870651557346</c:v>
                </c:pt>
                <c:pt idx="23">
                  <c:v>4.492413889354637</c:v>
                </c:pt>
                <c:pt idx="24">
                  <c:v>4.5192880019269666</c:v>
                </c:pt>
                <c:pt idx="25">
                  <c:v>4.5460941054354578</c:v>
                </c:pt>
                <c:pt idx="26">
                  <c:v>4.5728195490517365</c:v>
                </c:pt>
                <c:pt idx="27">
                  <c:v>4.5994538927108408</c:v>
                </c:pt>
                <c:pt idx="28">
                  <c:v>4.6259885487460863</c:v>
                </c:pt>
                <c:pt idx="29">
                  <c:v>4.6524164859995736</c:v>
                </c:pt>
                <c:pt idx="30">
                  <c:v>4.678731984539013</c:v>
                </c:pt>
                <c:pt idx="31">
                  <c:v>4.7049304315493679</c:v>
                </c:pt>
                <c:pt idx="32">
                  <c:v>4.7310081508714674</c:v>
                </c:pt>
                <c:pt idx="33">
                  <c:v>4.7569622601518411</c:v>
                </c:pt>
                <c:pt idx="34">
                  <c:v>4.782790550742817</c:v>
                </c:pt>
                <c:pt idx="35">
                  <c:v>4.8084913864208687</c:v>
                </c:pt>
                <c:pt idx="36">
                  <c:v>4.8340636177291536</c:v>
                </c:pt>
                <c:pt idx="37">
                  <c:v>4.8595065093388357</c:v>
                </c:pt>
                <c:pt idx="38">
                  <c:v>4.8848196782954005</c:v>
                </c:pt>
                <c:pt idx="39">
                  <c:v>4.9100030413957292</c:v>
                </c:pt>
                <c:pt idx="40">
                  <c:v>4.9350567702484085</c:v>
                </c:pt>
                <c:pt idx="41">
                  <c:v>4.9599812528184266</c:v>
                </c:pt>
                <c:pt idx="42">
                  <c:v>4.9847770604598267</c:v>
                </c:pt>
                <c:pt idx="43">
                  <c:v>5.0094449196059472</c:v>
                </c:pt>
                <c:pt idx="44">
                  <c:v>5.0339856874222271</c:v>
                </c:pt>
                <c:pt idx="45">
                  <c:v>5.0584003308386727</c:v>
                </c:pt>
                <c:pt idx="46">
                  <c:v>5.0826899084715969</c:v>
                </c:pt>
                <c:pt idx="47">
                  <c:v>5.1068555550205836</c:v>
                </c:pt>
                <c:pt idx="48">
                  <c:v>5.1308984677905123</c:v>
                </c:pt>
                <c:pt idx="49">
                  <c:v>5.154819895041534</c:v>
                </c:pt>
                <c:pt idx="50">
                  <c:v>5.1786211259143755</c:v>
                </c:pt>
                <c:pt idx="51">
                  <c:v>5.2023034817155498</c:v>
                </c:pt>
                <c:pt idx="52">
                  <c:v>5.2258683083785442</c:v>
                </c:pt>
              </c:numCache>
            </c:numRef>
          </c:val>
        </c:ser>
        <c:ser>
          <c:idx val="15"/>
          <c:order val="15"/>
          <c:tx>
            <c:strRef>
              <c:f>'Стоимость опциона'!$Y$2</c:f>
              <c:strCache>
                <c:ptCount val="1"/>
                <c:pt idx="0">
                  <c:v>44,5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опциона'!$Y$3:$Y$55</c:f>
              <c:numCache>
                <c:formatCode>General</c:formatCode>
                <c:ptCount val="53"/>
                <c:pt idx="0">
                  <c:v>4.500079999919997</c:v>
                </c:pt>
                <c:pt idx="1">
                  <c:v>4.5080791920070311</c:v>
                </c:pt>
                <c:pt idx="2">
                  <c:v>4.5160994989404699</c:v>
                </c:pt>
                <c:pt idx="3">
                  <c:v>4.5244785279219144</c:v>
                </c:pt>
                <c:pt idx="4">
                  <c:v>4.5339660254014618</c:v>
                </c:pt>
                <c:pt idx="5">
                  <c:v>4.5451348044151771</c:v>
                </c:pt>
                <c:pt idx="6">
                  <c:v>4.5581845048199696</c:v>
                </c:pt>
                <c:pt idx="7">
                  <c:v>4.5730643712722667</c:v>
                </c:pt>
                <c:pt idx="8">
                  <c:v>4.5896051831591791</c:v>
                </c:pt>
                <c:pt idx="9">
                  <c:v>4.6075982795992303</c:v>
                </c:pt>
                <c:pt idx="10">
                  <c:v>4.6268347928936677</c:v>
                </c:pt>
                <c:pt idx="11">
                  <c:v>4.6471226232477747</c:v>
                </c:pt>
                <c:pt idx="12">
                  <c:v>4.6682922219592342</c:v>
                </c:pt>
                <c:pt idx="13">
                  <c:v>4.6901971259209674</c:v>
                </c:pt>
                <c:pt idx="14">
                  <c:v>4.7127122420907597</c:v>
                </c:pt>
                <c:pt idx="15">
                  <c:v>4.7357313392370557</c:v>
                </c:pt>
                <c:pt idx="16">
                  <c:v>4.7591644260239718</c:v>
                </c:pt>
                <c:pt idx="17">
                  <c:v>4.7829353092409903</c:v>
                </c:pt>
                <c:pt idx="18">
                  <c:v>4.806979439084202</c:v>
                </c:pt>
                <c:pt idx="19">
                  <c:v>4.8312420607230493</c:v>
                </c:pt>
                <c:pt idx="20">
                  <c:v>4.8556766529314288</c:v>
                </c:pt>
                <c:pt idx="21">
                  <c:v>4.8802436201589714</c:v>
                </c:pt>
                <c:pt idx="22">
                  <c:v>4.9049092014100992</c:v>
                </c:pt>
                <c:pt idx="23">
                  <c:v>4.9296445613621529</c:v>
                </c:pt>
                <c:pt idx="24">
                  <c:v>4.9544250331656556</c:v>
                </c:pt>
                <c:pt idx="25">
                  <c:v>4.9792294868354077</c:v>
                </c:pt>
                <c:pt idx="26">
                  <c:v>5.0040398013863125</c:v>
                </c:pt>
                <c:pt idx="27">
                  <c:v>5.0288404226275034</c:v>
                </c:pt>
                <c:pt idx="28">
                  <c:v>5.0536179917347965</c:v>
                </c:pt>
                <c:pt idx="29">
                  <c:v>5.0783610323984618</c:v>
                </c:pt>
                <c:pt idx="30">
                  <c:v>5.1030596865500613</c:v>
                </c:pt>
                <c:pt idx="31">
                  <c:v>5.127705490477382</c:v>
                </c:pt>
                <c:pt idx="32">
                  <c:v>5.1522911846088704</c:v>
                </c:pt>
                <c:pt idx="33">
                  <c:v>5.1768105514455911</c:v>
                </c:pt>
                <c:pt idx="34">
                  <c:v>5.2012582770931104</c:v>
                </c:pt>
                <c:pt idx="35">
                  <c:v>5.2256298326385817</c:v>
                </c:pt>
                <c:pt idx="36">
                  <c:v>5.2499213722638487</c:v>
                </c:pt>
                <c:pt idx="37">
                  <c:v>5.2741296455139661</c:v>
                </c:pt>
                <c:pt idx="38">
                  <c:v>5.2982519215716337</c:v>
                </c:pt>
                <c:pt idx="39">
                  <c:v>5.3222859237435465</c:v>
                </c:pt>
                <c:pt idx="40">
                  <c:v>5.3462297726553771</c:v>
                </c:pt>
                <c:pt idx="41">
                  <c:v>5.3700819368935306</c:v>
                </c:pt>
                <c:pt idx="42">
                  <c:v>5.3938411900305887</c:v>
                </c:pt>
                <c:pt idx="43">
                  <c:v>5.4175065731367944</c:v>
                </c:pt>
                <c:pt idx="44">
                  <c:v>5.4410773620170367</c:v>
                </c:pt>
                <c:pt idx="45">
                  <c:v>5.4645530385283081</c:v>
                </c:pt>
                <c:pt idx="46">
                  <c:v>5.4879332654275181</c:v>
                </c:pt>
                <c:pt idx="47">
                  <c:v>5.5112178642813348</c:v>
                </c:pt>
                <c:pt idx="48">
                  <c:v>5.5344067960363148</c:v>
                </c:pt>
                <c:pt idx="49">
                  <c:v>5.5575001439056138</c:v>
                </c:pt>
                <c:pt idx="50">
                  <c:v>5.5804980982766459</c:v>
                </c:pt>
                <c:pt idx="51">
                  <c:v>5.6034009433845782</c:v>
                </c:pt>
                <c:pt idx="52">
                  <c:v>5.6262090455323488</c:v>
                </c:pt>
              </c:numCache>
            </c:numRef>
          </c:val>
        </c:ser>
        <c:ser>
          <c:idx val="16"/>
          <c:order val="16"/>
          <c:tx>
            <c:strRef>
              <c:f>'Стоимость опциона'!$Z$2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опциона'!$Z$3:$Z$55</c:f>
              <c:numCache>
                <c:formatCode>General</c:formatCode>
                <c:ptCount val="53"/>
                <c:pt idx="0">
                  <c:v>5.000079999919997</c:v>
                </c:pt>
                <c:pt idx="1">
                  <c:v>5.0080791842753314</c:v>
                </c:pt>
                <c:pt idx="2">
                  <c:v>5.016080795483596</c:v>
                </c:pt>
                <c:pt idx="3">
                  <c:v>5.0241945474430665</c:v>
                </c:pt>
                <c:pt idx="4">
                  <c:v>5.032811660509978</c:v>
                </c:pt>
                <c:pt idx="5">
                  <c:v>5.0424004718045126</c:v>
                </c:pt>
                <c:pt idx="6">
                  <c:v>5.0532658872133496</c:v>
                </c:pt>
                <c:pt idx="7">
                  <c:v>5.0655234198841796</c:v>
                </c:pt>
                <c:pt idx="8">
                  <c:v>5.0791580142986774</c:v>
                </c:pt>
                <c:pt idx="9">
                  <c:v>5.0940824956452033</c:v>
                </c:pt>
                <c:pt idx="10">
                  <c:v>5.1101770315963009</c:v>
                </c:pt>
                <c:pt idx="11">
                  <c:v>5.1273122148807602</c:v>
                </c:pt>
                <c:pt idx="12">
                  <c:v>5.1453614101035896</c:v>
                </c:pt>
                <c:pt idx="13">
                  <c:v>5.1642067435888706</c:v>
                </c:pt>
                <c:pt idx="14">
                  <c:v>5.1837415278732664</c:v>
                </c:pt>
                <c:pt idx="15">
                  <c:v>5.2038707725714417</c:v>
                </c:pt>
                <c:pt idx="16">
                  <c:v>5.2245107238232862</c:v>
                </c:pt>
                <c:pt idx="17">
                  <c:v>5.2455879569679098</c:v>
                </c:pt>
                <c:pt idx="18">
                  <c:v>5.2670383075768967</c:v>
                </c:pt>
                <c:pt idx="19">
                  <c:v>5.2888057905347523</c:v>
                </c:pt>
                <c:pt idx="20">
                  <c:v>5.3108415811271925</c:v>
                </c:pt>
                <c:pt idx="21">
                  <c:v>5.3331030903560261</c:v>
                </c:pt>
                <c:pt idx="22">
                  <c:v>5.3555531442047837</c:v>
                </c:pt>
                <c:pt idx="23">
                  <c:v>5.3781592649308649</c:v>
                </c:pt>
                <c:pt idx="24">
                  <c:v>5.4008930468712606</c:v>
                </c:pt>
                <c:pt idx="25">
                  <c:v>5.4237296169955727</c:v>
                </c:pt>
                <c:pt idx="26">
                  <c:v>5.4466471699723868</c:v>
                </c:pt>
                <c:pt idx="27">
                  <c:v>5.469626567956972</c:v>
                </c:pt>
                <c:pt idx="28">
                  <c:v>5.4926509961689121</c:v>
                </c:pt>
                <c:pt idx="29">
                  <c:v>5.5157056663387749</c:v>
                </c:pt>
                <c:pt idx="30">
                  <c:v>5.5387775611193462</c:v>
                </c:pt>
                <c:pt idx="31">
                  <c:v>5.5618552135089061</c:v>
                </c:pt>
                <c:pt idx="32">
                  <c:v>5.5849285161908497</c:v>
                </c:pt>
                <c:pt idx="33">
                  <c:v>5.6079885564455623</c:v>
                </c:pt>
                <c:pt idx="34">
                  <c:v>5.6310274729412342</c:v>
                </c:pt>
                <c:pt idx="35">
                  <c:v>5.6540383312673512</c:v>
                </c:pt>
                <c:pt idx="36">
                  <c:v>5.6770150155480081</c:v>
                </c:pt>
                <c:pt idx="37">
                  <c:v>5.6999521338741772</c:v>
                </c:pt>
                <c:pt idx="38">
                  <c:v>5.7228449356330344</c:v>
                </c:pt>
                <c:pt idx="39">
                  <c:v>5.7456892390996259</c:v>
                </c:pt>
                <c:pt idx="40">
                  <c:v>5.7684813678972517</c:v>
                </c:pt>
                <c:pt idx="41">
                  <c:v>5.7912180951377934</c:v>
                </c:pt>
                <c:pt idx="42">
                  <c:v>5.8138965942253833</c:v>
                </c:pt>
                <c:pt idx="43">
                  <c:v>5.8365143954527596</c:v>
                </c:pt>
                <c:pt idx="44">
                  <c:v>5.8590693476430928</c:v>
                </c:pt>
                <c:pt idx="45">
                  <c:v>5.8815595841953368</c:v>
                </c:pt>
                <c:pt idx="46">
                  <c:v>5.9039834929791972</c:v>
                </c:pt>
                <c:pt idx="47">
                  <c:v>5.9263396896027452</c:v>
                </c:pt>
                <c:pt idx="48">
                  <c:v>5.9486269936393121</c:v>
                </c:pt>
                <c:pt idx="49">
                  <c:v>5.9708444074559957</c:v>
                </c:pt>
                <c:pt idx="50">
                  <c:v>5.992991097333153</c:v>
                </c:pt>
                <c:pt idx="51">
                  <c:v>6.015066376604608</c:v>
                </c:pt>
                <c:pt idx="52">
                  <c:v>6.0370696905835004</c:v>
                </c:pt>
              </c:numCache>
            </c:numRef>
          </c:val>
        </c:ser>
        <c:ser>
          <c:idx val="17"/>
          <c:order val="17"/>
          <c:tx>
            <c:strRef>
              <c:f>'Стоимость опциона'!$AA$2</c:f>
              <c:strCache>
                <c:ptCount val="1"/>
                <c:pt idx="0">
                  <c:v>45,5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cat>
          <c:val>
            <c:numRef>
              <c:f>'Стоимость опциона'!$AA$3:$AA$55</c:f>
              <c:numCache>
                <c:formatCode>General</c:formatCode>
                <c:ptCount val="53"/>
                <c:pt idx="0">
                  <c:v>5.500079999919997</c:v>
                </c:pt>
                <c:pt idx="1">
                  <c:v>5.5080791839836607</c:v>
                </c:pt>
                <c:pt idx="2">
                  <c:v>5.5160774001483759</c:v>
                </c:pt>
                <c:pt idx="3">
                  <c:v>5.5241065597121732</c:v>
                </c:pt>
                <c:pt idx="4">
                  <c:v>5.5323429099809189</c:v>
                </c:pt>
                <c:pt idx="5">
                  <c:v>5.5410926090396799</c:v>
                </c:pt>
                <c:pt idx="6">
                  <c:v>5.5506396876726711</c:v>
                </c:pt>
                <c:pt idx="7">
                  <c:v>5.5611655416684798</c:v>
                </c:pt>
                <c:pt idx="8">
                  <c:v>5.5727489982208738</c:v>
                </c:pt>
                <c:pt idx="9">
                  <c:v>5.5853940876485098</c:v>
                </c:pt>
                <c:pt idx="10">
                  <c:v>5.599058182868049</c:v>
                </c:pt>
                <c:pt idx="11">
                  <c:v>5.6136730281798037</c:v>
                </c:pt>
                <c:pt idx="12">
                  <c:v>5.6291586448208193</c:v>
                </c:pt>
                <c:pt idx="13">
                  <c:v>5.6454319001152413</c:v>
                </c:pt>
                <c:pt idx="14">
                  <c:v>5.6624114887211121</c:v>
                </c:pt>
                <c:pt idx="15">
                  <c:v>5.6800206288989941</c:v>
                </c:pt>
                <c:pt idx="16">
                  <c:v>5.6981883530229922</c:v>
                </c:pt>
                <c:pt idx="17">
                  <c:v>5.716849958550128</c:v>
                </c:pt>
                <c:pt idx="18">
                  <c:v>5.7359469747939684</c:v>
                </c:pt>
                <c:pt idx="19">
                  <c:v>5.7554268646678537</c:v>
                </c:pt>
                <c:pt idx="20">
                  <c:v>5.775242594493939</c:v>
                </c:pt>
                <c:pt idx="21">
                  <c:v>5.7953521512356119</c:v>
                </c:pt>
                <c:pt idx="22">
                  <c:v>5.8157180532354218</c:v>
                </c:pt>
                <c:pt idx="23">
                  <c:v>5.8363068800936588</c:v>
                </c:pt>
                <c:pt idx="24">
                  <c:v>5.8570888348784038</c:v>
                </c:pt>
                <c:pt idx="25">
                  <c:v>5.8780373443913874</c:v>
                </c:pt>
                <c:pt idx="26">
                  <c:v>5.8991286988312694</c:v>
                </c:pt>
                <c:pt idx="27">
                  <c:v>5.9203417297190413</c:v>
                </c:pt>
                <c:pt idx="28">
                  <c:v>5.9416575236385469</c:v>
                </c:pt>
                <c:pt idx="29">
                  <c:v>5.9630591687402728</c:v>
                </c:pt>
                <c:pt idx="30">
                  <c:v>5.9845315307701341</c:v>
                </c:pt>
                <c:pt idx="31">
                  <c:v>6.0060610554391971</c:v>
                </c:pt>
                <c:pt idx="32">
                  <c:v>6.0276355941347362</c:v>
                </c:pt>
                <c:pt idx="33">
                  <c:v>6.0492442502205535</c:v>
                </c:pt>
                <c:pt idx="34">
                  <c:v>6.070877243445068</c:v>
                </c:pt>
                <c:pt idx="35">
                  <c:v>6.0925257902452188</c:v>
                </c:pt>
                <c:pt idx="36">
                  <c:v>6.114181997990066</c:v>
                </c:pt>
                <c:pt idx="37">
                  <c:v>6.1358387714443339</c:v>
                </c:pt>
                <c:pt idx="38">
                  <c:v>6.1574897299440963</c:v>
                </c:pt>
                <c:pt idx="39">
                  <c:v>6.1791291339677841</c:v>
                </c:pt>
                <c:pt idx="40">
                  <c:v>6.2007518199522735</c:v>
                </c:pt>
                <c:pt idx="41">
                  <c:v>6.222353142351551</c:v>
                </c:pt>
                <c:pt idx="42">
                  <c:v>6.2439289220636098</c:v>
                </c:pt>
                <c:pt idx="43">
                  <c:v>6.2654754004634654</c:v>
                </c:pt>
                <c:pt idx="44">
                  <c:v>6.2869891983769577</c:v>
                </c:pt>
                <c:pt idx="45">
                  <c:v>6.3084672794153605</c:v>
                </c:pt>
                <c:pt idx="46">
                  <c:v>6.3299069171629796</c:v>
                </c:pt>
                <c:pt idx="47">
                  <c:v>6.35130566577471</c:v>
                </c:pt>
                <c:pt idx="48">
                  <c:v>6.3726613335948699</c:v>
                </c:pt>
                <c:pt idx="49">
                  <c:v>6.3939719594568629</c:v>
                </c:pt>
                <c:pt idx="50">
                  <c:v>6.4152357913649638</c:v>
                </c:pt>
                <c:pt idx="51">
                  <c:v>6.4364512672954746</c:v>
                </c:pt>
                <c:pt idx="52">
                  <c:v>6.457616997886177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102787616"/>
        <c:axId val="-1102790880"/>
        <c:axId val="-1099054912"/>
      </c:surface3DChart>
      <c:catAx>
        <c:axId val="-11027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2790880"/>
        <c:crosses val="autoZero"/>
        <c:auto val="1"/>
        <c:lblAlgn val="ctr"/>
        <c:lblOffset val="100"/>
        <c:noMultiLvlLbl val="0"/>
      </c:catAx>
      <c:valAx>
        <c:axId val="-11027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2787616"/>
        <c:crosses val="autoZero"/>
        <c:crossBetween val="midCat"/>
      </c:valAx>
      <c:serAx>
        <c:axId val="-1099054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27908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1714785651793"/>
          <c:y val="3.1106394557338414E-2"/>
          <c:w val="0.85473140857392826"/>
          <c:h val="0.84332753363476332"/>
        </c:manualLayout>
      </c:layout>
      <c:scatterChart>
        <c:scatterStyle val="smoothMarker"/>
        <c:varyColors val="0"/>
        <c:ser>
          <c:idx val="0"/>
          <c:order val="0"/>
          <c:tx>
            <c:v>37  OTM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xVal>
          <c:yVal>
            <c:numRef>
              <c:f>'Стоимость опциона'!$J$3:$J$55</c:f>
              <c:numCache>
                <c:formatCode>General</c:formatCode>
                <c:ptCount val="53"/>
                <c:pt idx="0">
                  <c:v>0</c:v>
                </c:pt>
                <c:pt idx="1">
                  <c:v>9.8092274651386847E-6</c:v>
                </c:pt>
                <c:pt idx="2">
                  <c:v>1.0294180712979162E-3</c:v>
                </c:pt>
                <c:pt idx="3">
                  <c:v>5.9943261570710171E-3</c:v>
                </c:pt>
                <c:pt idx="4">
                  <c:v>1.5882181845072507E-2</c:v>
                </c:pt>
                <c:pt idx="5">
                  <c:v>3.003389349426655E-2</c:v>
                </c:pt>
                <c:pt idx="6">
                  <c:v>4.7489126588390107E-2</c:v>
                </c:pt>
                <c:pt idx="7">
                  <c:v>6.7411195638105603E-2</c:v>
                </c:pt>
                <c:pt idx="8">
                  <c:v>8.9151682443698643E-2</c:v>
                </c:pt>
                <c:pt idx="9">
                  <c:v>0.11222491649203548</c:v>
                </c:pt>
                <c:pt idx="10">
                  <c:v>0.1362696889807804</c:v>
                </c:pt>
                <c:pt idx="11">
                  <c:v>0.16101654312368563</c:v>
                </c:pt>
                <c:pt idx="12">
                  <c:v>0.18626310195741436</c:v>
                </c:pt>
                <c:pt idx="13">
                  <c:v>0.2118561728449766</c:v>
                </c:pt>
                <c:pt idx="14">
                  <c:v>0.23767889839766365</c:v>
                </c:pt>
                <c:pt idx="15">
                  <c:v>0.26364151477374609</c:v>
                </c:pt>
                <c:pt idx="16">
                  <c:v>0.28967465823860294</c:v>
                </c:pt>
                <c:pt idx="17">
                  <c:v>0.31572447256548131</c:v>
                </c:pt>
                <c:pt idx="18">
                  <c:v>0.34174899680262438</c:v>
                </c:pt>
                <c:pt idx="19">
                  <c:v>0.36771547127441195</c:v>
                </c:pt>
                <c:pt idx="20">
                  <c:v>0.39359830856886013</c:v>
                </c:pt>
                <c:pt idx="21">
                  <c:v>0.41937755099124008</c:v>
                </c:pt>
                <c:pt idx="22">
                  <c:v>0.44503768746266736</c:v>
                </c:pt>
                <c:pt idx="23">
                  <c:v>0.4705667385919412</c:v>
                </c:pt>
                <c:pt idx="24">
                  <c:v>0.49595554368448802</c:v>
                </c:pt>
                <c:pt idx="25">
                  <c:v>0.52119720115133639</c:v>
                </c:pt>
                <c:pt idx="26">
                  <c:v>0.54628662641588299</c:v>
                </c:pt>
                <c:pt idx="27">
                  <c:v>0.5712202005216227</c:v>
                </c:pt>
                <c:pt idx="28">
                  <c:v>0.59599548926902735</c:v>
                </c:pt>
                <c:pt idx="29">
                  <c:v>0.62061101757249482</c:v>
                </c:pt>
                <c:pt idx="30">
                  <c:v>0.64506608732948756</c:v>
                </c:pt>
                <c:pt idx="31">
                  <c:v>0.66936062978277633</c:v>
                </c:pt>
                <c:pt idx="32">
                  <c:v>0.69349508538001281</c:v>
                </c:pt>
                <c:pt idx="33">
                  <c:v>0.71747030566908343</c:v>
                </c:pt>
                <c:pt idx="34">
                  <c:v>0.74128747293939412</c:v>
                </c:pt>
                <c:pt idx="35">
                  <c:v>0.76494803421991442</c:v>
                </c:pt>
                <c:pt idx="36">
                  <c:v>0.78845364694175935</c:v>
                </c:pt>
                <c:pt idx="37">
                  <c:v>0.81180613411586044</c:v>
                </c:pt>
                <c:pt idx="38">
                  <c:v>0.83500744730097232</c:v>
                </c:pt>
                <c:pt idx="39">
                  <c:v>0.85805963597202251</c:v>
                </c:pt>
                <c:pt idx="40">
                  <c:v>0.88096482216334948</c:v>
                </c:pt>
                <c:pt idx="41">
                  <c:v>0.90372517947225184</c:v>
                </c:pt>
                <c:pt idx="42">
                  <c:v>0.92634291567633831</c:v>
                </c:pt>
                <c:pt idx="43">
                  <c:v>0.94882025835346262</c:v>
                </c:pt>
                <c:pt idx="44">
                  <c:v>0.97115944300191082</c:v>
                </c:pt>
                <c:pt idx="45">
                  <c:v>0.99336270324664255</c:v>
                </c:pt>
                <c:pt idx="46">
                  <c:v>1.0154322627891315</c:v>
                </c:pt>
                <c:pt idx="47">
                  <c:v>1.0373703288166958</c:v>
                </c:pt>
                <c:pt idx="48">
                  <c:v>1.0591790866351918</c:v>
                </c:pt>
                <c:pt idx="49">
                  <c:v>1.0808606953280329</c:v>
                </c:pt>
                <c:pt idx="50">
                  <c:v>1.1024172842770668</c:v>
                </c:pt>
                <c:pt idx="51">
                  <c:v>1.123850950407391</c:v>
                </c:pt>
                <c:pt idx="52">
                  <c:v>1.1451637560405405</c:v>
                </c:pt>
              </c:numCache>
            </c:numRef>
          </c:yVal>
          <c:smooth val="1"/>
        </c:ser>
        <c:ser>
          <c:idx val="1"/>
          <c:order val="1"/>
          <c:tx>
            <c:v>40  ATM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xVal>
          <c:yVal>
            <c:numRef>
              <c:f>'Стоимость опциона'!$P$3:$P$55</c:f>
              <c:numCache>
                <c:formatCode>General</c:formatCode>
                <c:ptCount val="53"/>
                <c:pt idx="0">
                  <c:v>3.195536111520525E-2</c:v>
                </c:pt>
                <c:pt idx="1">
                  <c:v>0.32476362026743288</c:v>
                </c:pt>
                <c:pt idx="2">
                  <c:v>0.46045639839697472</c:v>
                </c:pt>
                <c:pt idx="3">
                  <c:v>0.56563647577031162</c:v>
                </c:pt>
                <c:pt idx="4">
                  <c:v>0.65496779184702092</c:v>
                </c:pt>
                <c:pt idx="5">
                  <c:v>0.73415437743503631</c:v>
                </c:pt>
                <c:pt idx="6">
                  <c:v>0.80612740090181489</c:v>
                </c:pt>
                <c:pt idx="7">
                  <c:v>0.87263019828482058</c:v>
                </c:pt>
                <c:pt idx="8">
                  <c:v>0.93479958368310534</c:v>
                </c:pt>
                <c:pt idx="9">
                  <c:v>0.99342567212105592</c:v>
                </c:pt>
                <c:pt idx="10">
                  <c:v>1.0490840155861392</c:v>
                </c:pt>
                <c:pt idx="11">
                  <c:v>1.1022092776432189</c:v>
                </c:pt>
                <c:pt idx="12">
                  <c:v>1.1531392583145106</c:v>
                </c:pt>
                <c:pt idx="13">
                  <c:v>1.2021426671797535</c:v>
                </c:pt>
                <c:pt idx="14">
                  <c:v>1.2494374262145946</c:v>
                </c:pt>
                <c:pt idx="15">
                  <c:v>1.2952031735129133</c:v>
                </c:pt>
                <c:pt idx="16">
                  <c:v>1.3395900670553047</c:v>
                </c:pt>
                <c:pt idx="17">
                  <c:v>1.3827251447243611</c:v>
                </c:pt>
                <c:pt idx="18">
                  <c:v>1.42471702182144</c:v>
                </c:pt>
                <c:pt idx="19">
                  <c:v>1.4656594282725308</c:v>
                </c:pt>
                <c:pt idx="20">
                  <c:v>1.5056339177093001</c:v>
                </c:pt>
                <c:pt idx="21">
                  <c:v>1.5447119737453505</c:v>
                </c:pt>
                <c:pt idx="22">
                  <c:v>1.5829566697101676</c:v>
                </c:pt>
                <c:pt idx="23">
                  <c:v>1.6204239923735138</c:v>
                </c:pt>
                <c:pt idx="24">
                  <c:v>1.6571639092431738</c:v>
                </c:pt>
                <c:pt idx="25">
                  <c:v>1.693221237657486</c:v>
                </c:pt>
                <c:pt idx="26">
                  <c:v>1.728636358887762</c:v>
                </c:pt>
                <c:pt idx="27">
                  <c:v>1.7634458097525894</c:v>
                </c:pt>
                <c:pt idx="28">
                  <c:v>1.797682776485459</c:v>
                </c:pt>
                <c:pt idx="29">
                  <c:v>1.8313775098990241</c:v>
                </c:pt>
                <c:pt idx="30">
                  <c:v>1.864557676654119</c:v>
                </c:pt>
                <c:pt idx="31">
                  <c:v>1.8972486582571477</c:v>
                </c:pt>
                <c:pt idx="32">
                  <c:v>1.9294738069902948</c:v>
                </c:pt>
                <c:pt idx="33">
                  <c:v>1.9612546661224215</c:v>
                </c:pt>
                <c:pt idx="34">
                  <c:v>1.9926111603115189</c:v>
                </c:pt>
                <c:pt idx="35">
                  <c:v>2.0235617609871355</c:v>
                </c:pt>
                <c:pt idx="36">
                  <c:v>2.0541236306176884</c:v>
                </c:pt>
                <c:pt idx="37">
                  <c:v>2.0843127490674149</c:v>
                </c:pt>
                <c:pt idx="38">
                  <c:v>2.1141440246878211</c:v>
                </c:pt>
                <c:pt idx="39">
                  <c:v>2.1436313923393477</c:v>
                </c:pt>
                <c:pt idx="40">
                  <c:v>2.1727879001748427</c:v>
                </c:pt>
                <c:pt idx="41">
                  <c:v>2.2016257867208253</c:v>
                </c:pt>
                <c:pt idx="42">
                  <c:v>2.2301565495502444</c:v>
                </c:pt>
                <c:pt idx="43">
                  <c:v>2.2583910066415811</c:v>
                </c:pt>
                <c:pt idx="44">
                  <c:v>2.2863393513542505</c:v>
                </c:pt>
                <c:pt idx="45">
                  <c:v>2.314011201813976</c:v>
                </c:pt>
                <c:pt idx="46">
                  <c:v>2.3414156453874426</c:v>
                </c:pt>
                <c:pt idx="47">
                  <c:v>2.3685612788304127</c:v>
                </c:pt>
                <c:pt idx="48">
                  <c:v>2.3954562446127667</c:v>
                </c:pt>
                <c:pt idx="49">
                  <c:v>2.4221082638563018</c:v>
                </c:pt>
                <c:pt idx="50">
                  <c:v>2.44852466626363</c:v>
                </c:pt>
                <c:pt idx="51">
                  <c:v>2.4747124173673427</c:v>
                </c:pt>
                <c:pt idx="52">
                  <c:v>2.5006781433871446</c:v>
                </c:pt>
              </c:numCache>
            </c:numRef>
          </c:yVal>
          <c:smooth val="1"/>
        </c:ser>
        <c:ser>
          <c:idx val="2"/>
          <c:order val="2"/>
          <c:tx>
            <c:v>43  ITM</c:v>
          </c:tx>
          <c:spPr>
            <a:ln w="28575" cap="rnd">
              <a:solidFill>
                <a:srgbClr val="42AC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AC81"/>
              </a:solidFill>
              <a:ln w="9525">
                <a:solidFill>
                  <a:srgbClr val="42AC81"/>
                </a:solidFill>
              </a:ln>
              <a:effectLst/>
            </c:spPr>
          </c:marker>
          <c:xVal>
            <c:numRef>
              <c:f>'Стоимость опциона'!$I$3:$I$55</c:f>
              <c:numCache>
                <c:formatCode>General</c:formatCode>
                <c:ptCount val="53"/>
                <c:pt idx="0">
                  <c:v>1E-4</c:v>
                </c:pt>
                <c:pt idx="1">
                  <c:v>1.01E-2</c:v>
                </c:pt>
                <c:pt idx="2">
                  <c:v>2.01E-2</c:v>
                </c:pt>
                <c:pt idx="3">
                  <c:v>3.0100000000000002E-2</c:v>
                </c:pt>
                <c:pt idx="4">
                  <c:v>4.0100000000000004E-2</c:v>
                </c:pt>
                <c:pt idx="5">
                  <c:v>5.0100000000000006E-2</c:v>
                </c:pt>
                <c:pt idx="6">
                  <c:v>6.0100000000000008E-2</c:v>
                </c:pt>
                <c:pt idx="7">
                  <c:v>7.010000000000001E-2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0.11009999999999999</c:v>
                </c:pt>
                <c:pt idx="12">
                  <c:v>0.12009999999999998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0.16010000000000002</c:v>
                </c:pt>
                <c:pt idx="17">
                  <c:v>0.17010000000000003</c:v>
                </c:pt>
                <c:pt idx="18">
                  <c:v>0.18010000000000004</c:v>
                </c:pt>
                <c:pt idx="19">
                  <c:v>0.19010000000000005</c:v>
                </c:pt>
                <c:pt idx="20">
                  <c:v>0.20010000000000006</c:v>
                </c:pt>
                <c:pt idx="21">
                  <c:v>0.21010000000000006</c:v>
                </c:pt>
                <c:pt idx="22">
                  <c:v>0.22010000000000007</c:v>
                </c:pt>
                <c:pt idx="23">
                  <c:v>0.23010000000000008</c:v>
                </c:pt>
                <c:pt idx="24">
                  <c:v>0.24010000000000009</c:v>
                </c:pt>
                <c:pt idx="25">
                  <c:v>0.2501000000000001</c:v>
                </c:pt>
                <c:pt idx="26">
                  <c:v>0.26010000000000011</c:v>
                </c:pt>
                <c:pt idx="27">
                  <c:v>0.27010000000000012</c:v>
                </c:pt>
                <c:pt idx="28">
                  <c:v>0.28010000000000013</c:v>
                </c:pt>
                <c:pt idx="29">
                  <c:v>0.29010000000000014</c:v>
                </c:pt>
                <c:pt idx="30">
                  <c:v>0.30010000000000014</c:v>
                </c:pt>
                <c:pt idx="31">
                  <c:v>0.31010000000000015</c:v>
                </c:pt>
                <c:pt idx="32">
                  <c:v>0.32010000000000016</c:v>
                </c:pt>
                <c:pt idx="33">
                  <c:v>0.33010000000000017</c:v>
                </c:pt>
                <c:pt idx="34">
                  <c:v>0.34010000000000018</c:v>
                </c:pt>
                <c:pt idx="35">
                  <c:v>0.35010000000000019</c:v>
                </c:pt>
                <c:pt idx="36">
                  <c:v>0.3601000000000002</c:v>
                </c:pt>
                <c:pt idx="37">
                  <c:v>0.37010000000000021</c:v>
                </c:pt>
                <c:pt idx="38">
                  <c:v>0.38010000000000022</c:v>
                </c:pt>
                <c:pt idx="39">
                  <c:v>0.39010000000000022</c:v>
                </c:pt>
                <c:pt idx="40">
                  <c:v>0.40010000000000023</c:v>
                </c:pt>
                <c:pt idx="41">
                  <c:v>0.41010000000000024</c:v>
                </c:pt>
                <c:pt idx="42">
                  <c:v>0.42010000000000025</c:v>
                </c:pt>
                <c:pt idx="43">
                  <c:v>0.43010000000000026</c:v>
                </c:pt>
                <c:pt idx="44">
                  <c:v>0.44010000000000027</c:v>
                </c:pt>
                <c:pt idx="45">
                  <c:v>0.45010000000000028</c:v>
                </c:pt>
                <c:pt idx="46">
                  <c:v>0.46010000000000029</c:v>
                </c:pt>
                <c:pt idx="47">
                  <c:v>0.4701000000000003</c:v>
                </c:pt>
                <c:pt idx="48">
                  <c:v>0.4801000000000003</c:v>
                </c:pt>
                <c:pt idx="49">
                  <c:v>0.49010000000000031</c:v>
                </c:pt>
                <c:pt idx="50">
                  <c:v>0.50010000000000032</c:v>
                </c:pt>
                <c:pt idx="51">
                  <c:v>0.51010000000000033</c:v>
                </c:pt>
                <c:pt idx="52">
                  <c:v>0.52010000000000034</c:v>
                </c:pt>
              </c:numCache>
            </c:numRef>
          </c:xVal>
          <c:yVal>
            <c:numRef>
              <c:f>'Стоимость опциона'!$V$3:$V$55</c:f>
              <c:numCache>
                <c:formatCode>General</c:formatCode>
                <c:ptCount val="53"/>
                <c:pt idx="0">
                  <c:v>3.000079999919997</c:v>
                </c:pt>
                <c:pt idx="1">
                  <c:v>3.0081107195482417</c:v>
                </c:pt>
                <c:pt idx="2">
                  <c:v>3.0180012524482294</c:v>
                </c:pt>
                <c:pt idx="3">
                  <c:v>3.0333361593322365</c:v>
                </c:pt>
                <c:pt idx="4">
                  <c:v>3.0542704277672286</c:v>
                </c:pt>
                <c:pt idx="5">
                  <c:v>3.0794716787097229</c:v>
                </c:pt>
                <c:pt idx="6">
                  <c:v>3.1076603653226016</c:v>
                </c:pt>
                <c:pt idx="7">
                  <c:v>3.1378775390662881</c:v>
                </c:pt>
                <c:pt idx="8">
                  <c:v>3.1694448350969537</c:v>
                </c:pt>
                <c:pt idx="9">
                  <c:v>3.2018873952437872</c:v>
                </c:pt>
                <c:pt idx="10">
                  <c:v>3.2348714665770402</c:v>
                </c:pt>
                <c:pt idx="11">
                  <c:v>3.2681605321900307</c:v>
                </c:pt>
                <c:pt idx="12">
                  <c:v>3.3015855521755384</c:v>
                </c:pt>
                <c:pt idx="13">
                  <c:v>3.3350248547893955</c:v>
                </c:pt>
                <c:pt idx="14">
                  <c:v>3.3683904427275948</c:v>
                </c:pt>
                <c:pt idx="15">
                  <c:v>3.4016185543458022</c:v>
                </c:pt>
                <c:pt idx="16">
                  <c:v>3.4346630695944995</c:v>
                </c:pt>
                <c:pt idx="17">
                  <c:v>3.4674908408946621</c:v>
                </c:pt>
                <c:pt idx="18">
                  <c:v>3.5000783442433487</c:v>
                </c:pt>
                <c:pt idx="19">
                  <c:v>3.5324092482655978</c:v>
                </c:pt>
                <c:pt idx="20">
                  <c:v>3.5644726300308847</c:v>
                </c:pt>
                <c:pt idx="21">
                  <c:v>3.5962616523374322</c:v>
                </c:pt>
                <c:pt idx="22">
                  <c:v>3.6277725741621296</c:v>
                </c:pt>
                <c:pt idx="23">
                  <c:v>3.6590040042986445</c:v>
                </c:pt>
                <c:pt idx="24">
                  <c:v>3.6899563343183956</c:v>
                </c:pt>
                <c:pt idx="25">
                  <c:v>3.7206313050055222</c:v>
                </c:pt>
                <c:pt idx="26">
                  <c:v>3.7510316730002877</c:v>
                </c:pt>
                <c:pt idx="27">
                  <c:v>3.7811609532737087</c:v>
                </c:pt>
                <c:pt idx="28">
                  <c:v>3.8110232194043938</c:v>
                </c:pt>
                <c:pt idx="29">
                  <c:v>3.8406229482073293</c:v>
                </c:pt>
                <c:pt idx="30">
                  <c:v>3.8699648986005641</c:v>
                </c:pt>
                <c:pt idx="31">
                  <c:v>3.8990540170462822</c:v>
                </c:pt>
                <c:pt idx="32">
                  <c:v>3.9278953637201433</c:v>
                </c:pt>
                <c:pt idx="33">
                  <c:v>3.956494054919542</c:v>
                </c:pt>
                <c:pt idx="34">
                  <c:v>3.9848552182432684</c:v>
                </c:pt>
                <c:pt idx="35">
                  <c:v>4.0129839578489914</c:v>
                </c:pt>
                <c:pt idx="36">
                  <c:v>4.0408853276856149</c:v>
                </c:pt>
                <c:pt idx="37">
                  <c:v>4.0685643110509595</c:v>
                </c:pt>
                <c:pt idx="38">
                  <c:v>4.0960258051749072</c:v>
                </c:pt>
                <c:pt idx="39">
                  <c:v>4.1232746098001627</c:v>
                </c:pt>
                <c:pt idx="40">
                  <c:v>4.1503154189443947</c:v>
                </c:pt>
                <c:pt idx="41">
                  <c:v>4.1771528151935584</c:v>
                </c:pt>
                <c:pt idx="42">
                  <c:v>4.2037912660074319</c:v>
                </c:pt>
                <c:pt idx="43">
                  <c:v>4.230235121621277</c:v>
                </c:pt>
                <c:pt idx="44">
                  <c:v>4.256488614209907</c:v>
                </c:pt>
                <c:pt idx="45">
                  <c:v>4.2825558580457646</c:v>
                </c:pt>
                <c:pt idx="46">
                  <c:v>4.3084408504347529</c:v>
                </c:pt>
                <c:pt idx="47">
                  <c:v>4.3341474732557366</c:v>
                </c:pt>
                <c:pt idx="48">
                  <c:v>4.3596794949629007</c:v>
                </c:pt>
                <c:pt idx="49">
                  <c:v>4.3850405729376511</c:v>
                </c:pt>
                <c:pt idx="50">
                  <c:v>4.4102342560986116</c:v>
                </c:pt>
                <c:pt idx="51">
                  <c:v>4.4352639876957021</c:v>
                </c:pt>
                <c:pt idx="52">
                  <c:v>4.460133108229428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2785440"/>
        <c:axId val="-1102785984"/>
      </c:scatterChart>
      <c:valAx>
        <c:axId val="-11027854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2785984"/>
        <c:crosses val="autoZero"/>
        <c:crossBetween val="midCat"/>
      </c:valAx>
      <c:valAx>
        <c:axId val="-110278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Теоретическая</a:t>
                </a:r>
                <a:r>
                  <a:rPr lang="ru-RU" sz="1100" baseline="0"/>
                  <a:t> стоимость</a:t>
                </a:r>
                <a:endParaRPr lang="ru-RU" sz="1100"/>
              </a:p>
            </c:rich>
          </c:tx>
          <c:layout>
            <c:manualLayout>
              <c:xMode val="edge"/>
              <c:yMode val="edge"/>
              <c:x val="5.5555555555555558E-3"/>
              <c:y val="0.28794857669874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278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47178477690283"/>
          <c:y val="5.5142708656662466E-2"/>
          <c:w val="0.17008377077865267"/>
          <c:h val="0.14316111331055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8980752405949"/>
          <c:y val="5.0756458767063826E-2"/>
          <c:w val="0.82821019247594063"/>
          <c:h val="0.82353046063868907"/>
        </c:manualLayout>
      </c:layout>
      <c:scatterChart>
        <c:scatterStyle val="smoothMarker"/>
        <c:varyColors val="0"/>
        <c:ser>
          <c:idx val="0"/>
          <c:order val="0"/>
          <c:tx>
            <c:v> t 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'delta time'!$K$2:$AK$2</c:f>
              <c:numCache>
                <c:formatCode>General</c:formatCode>
                <c:ptCount val="27"/>
                <c:pt idx="0">
                  <c:v>37</c:v>
                </c:pt>
                <c:pt idx="1">
                  <c:v>37.5</c:v>
                </c:pt>
                <c:pt idx="2">
                  <c:v>38</c:v>
                </c:pt>
                <c:pt idx="3">
                  <c:v>38.5</c:v>
                </c:pt>
                <c:pt idx="4">
                  <c:v>39</c:v>
                </c:pt>
                <c:pt idx="5">
                  <c:v>39.5</c:v>
                </c:pt>
                <c:pt idx="6">
                  <c:v>40</c:v>
                </c:pt>
                <c:pt idx="7">
                  <c:v>40.5</c:v>
                </c:pt>
                <c:pt idx="8">
                  <c:v>41</c:v>
                </c:pt>
                <c:pt idx="9">
                  <c:v>41.5</c:v>
                </c:pt>
                <c:pt idx="10">
                  <c:v>42</c:v>
                </c:pt>
                <c:pt idx="11">
                  <c:v>42.5</c:v>
                </c:pt>
                <c:pt idx="12">
                  <c:v>43</c:v>
                </c:pt>
                <c:pt idx="13">
                  <c:v>43.5</c:v>
                </c:pt>
                <c:pt idx="14">
                  <c:v>44</c:v>
                </c:pt>
                <c:pt idx="15">
                  <c:v>44.5</c:v>
                </c:pt>
                <c:pt idx="16">
                  <c:v>45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47</c:v>
                </c:pt>
                <c:pt idx="21">
                  <c:v>47.5</c:v>
                </c:pt>
                <c:pt idx="22">
                  <c:v>48</c:v>
                </c:pt>
                <c:pt idx="23">
                  <c:v>48.5</c:v>
                </c:pt>
                <c:pt idx="24">
                  <c:v>49</c:v>
                </c:pt>
                <c:pt idx="25">
                  <c:v>49.5</c:v>
                </c:pt>
                <c:pt idx="26">
                  <c:v>50</c:v>
                </c:pt>
              </c:numCache>
            </c:numRef>
          </c:xVal>
          <c:yVal>
            <c:numRef>
              <c:f>'delta time'!$K$7:$AK$7</c:f>
              <c:numCache>
                <c:formatCode>General</c:formatCode>
                <c:ptCount val="27"/>
                <c:pt idx="0">
                  <c:v>1.8342657388799994E-2</c:v>
                </c:pt>
                <c:pt idx="1">
                  <c:v>4.3003060284179002E-2</c:v>
                </c:pt>
                <c:pt idx="2">
                  <c:v>8.8606089365212262E-2</c:v>
                </c:pt>
                <c:pt idx="3">
                  <c:v>0.16188793333946352</c:v>
                </c:pt>
                <c:pt idx="4">
                  <c:v>0.26475716951960893</c:v>
                </c:pt>
                <c:pt idx="5">
                  <c:v>0.39153242372240249</c:v>
                </c:pt>
                <c:pt idx="6">
                  <c:v>0.52935454006464155</c:v>
                </c:pt>
                <c:pt idx="7">
                  <c:v>0.66213132125054475</c:v>
                </c:pt>
                <c:pt idx="8">
                  <c:v>0.77598325449653593</c:v>
                </c:pt>
                <c:pt idx="9">
                  <c:v>0.86323772476900207</c:v>
                </c:pt>
                <c:pt idx="10">
                  <c:v>0.92324446973582797</c:v>
                </c:pt>
                <c:pt idx="11">
                  <c:v>0.9604185267301697</c:v>
                </c:pt>
                <c:pt idx="12">
                  <c:v>0.98123944731543422</c:v>
                </c:pt>
                <c:pt idx="13">
                  <c:v>0.99181995039242055</c:v>
                </c:pt>
                <c:pt idx="14">
                  <c:v>0.99671461157727403</c:v>
                </c:pt>
                <c:pt idx="15">
                  <c:v>0.99878262190419753</c:v>
                </c:pt>
                <c:pt idx="16">
                  <c:v>0.99958308927883266</c:v>
                </c:pt>
                <c:pt idx="17">
                  <c:v>0.99986779003344506</c:v>
                </c:pt>
                <c:pt idx="18">
                  <c:v>0.99996110032111019</c:v>
                </c:pt>
                <c:pt idx="19">
                  <c:v>0.99998935949087164</c:v>
                </c:pt>
                <c:pt idx="20">
                  <c:v>0.99999728860623405</c:v>
                </c:pt>
                <c:pt idx="21">
                  <c:v>0.99999935506961657</c:v>
                </c:pt>
                <c:pt idx="22">
                  <c:v>0.99999985652030232</c:v>
                </c:pt>
                <c:pt idx="23">
                  <c:v>0.99999997008565622</c:v>
                </c:pt>
                <c:pt idx="24">
                  <c:v>0.9999999941437766</c:v>
                </c:pt>
                <c:pt idx="25">
                  <c:v>0.99999999892149005</c:v>
                </c:pt>
                <c:pt idx="26">
                  <c:v>0.99999999981280319</c:v>
                </c:pt>
              </c:numCache>
            </c:numRef>
          </c:yVal>
          <c:smooth val="1"/>
        </c:ser>
        <c:ser>
          <c:idx val="1"/>
          <c:order val="1"/>
          <c:tx>
            <c:v> t  0.15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'delta time'!$K$2:$AK$2</c:f>
              <c:numCache>
                <c:formatCode>General</c:formatCode>
                <c:ptCount val="27"/>
                <c:pt idx="0">
                  <c:v>37</c:v>
                </c:pt>
                <c:pt idx="1">
                  <c:v>37.5</c:v>
                </c:pt>
                <c:pt idx="2">
                  <c:v>38</c:v>
                </c:pt>
                <c:pt idx="3">
                  <c:v>38.5</c:v>
                </c:pt>
                <c:pt idx="4">
                  <c:v>39</c:v>
                </c:pt>
                <c:pt idx="5">
                  <c:v>39.5</c:v>
                </c:pt>
                <c:pt idx="6">
                  <c:v>40</c:v>
                </c:pt>
                <c:pt idx="7">
                  <c:v>40.5</c:v>
                </c:pt>
                <c:pt idx="8">
                  <c:v>41</c:v>
                </c:pt>
                <c:pt idx="9">
                  <c:v>41.5</c:v>
                </c:pt>
                <c:pt idx="10">
                  <c:v>42</c:v>
                </c:pt>
                <c:pt idx="11">
                  <c:v>42.5</c:v>
                </c:pt>
                <c:pt idx="12">
                  <c:v>43</c:v>
                </c:pt>
                <c:pt idx="13">
                  <c:v>43.5</c:v>
                </c:pt>
                <c:pt idx="14">
                  <c:v>44</c:v>
                </c:pt>
                <c:pt idx="15">
                  <c:v>44.5</c:v>
                </c:pt>
                <c:pt idx="16">
                  <c:v>45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47</c:v>
                </c:pt>
                <c:pt idx="21">
                  <c:v>47.5</c:v>
                </c:pt>
                <c:pt idx="22">
                  <c:v>48</c:v>
                </c:pt>
                <c:pt idx="23">
                  <c:v>48.5</c:v>
                </c:pt>
                <c:pt idx="24">
                  <c:v>49</c:v>
                </c:pt>
                <c:pt idx="25">
                  <c:v>49.5</c:v>
                </c:pt>
                <c:pt idx="26">
                  <c:v>50</c:v>
                </c:pt>
              </c:numCache>
            </c:numRef>
          </c:xVal>
          <c:yVal>
            <c:numRef>
              <c:f>'delta time'!$K$17:$AK$17</c:f>
              <c:numCache>
                <c:formatCode>General</c:formatCode>
                <c:ptCount val="27"/>
                <c:pt idx="0">
                  <c:v>0.15398547265111934</c:v>
                </c:pt>
                <c:pt idx="1">
                  <c:v>0.20603479569992003</c:v>
                </c:pt>
                <c:pt idx="2">
                  <c:v>0.26642408859972222</c:v>
                </c:pt>
                <c:pt idx="3">
                  <c:v>0.33372834604664281</c:v>
                </c:pt>
                <c:pt idx="4">
                  <c:v>0.40589332567387915</c:v>
                </c:pt>
                <c:pt idx="5">
                  <c:v>0.48044283990641279</c:v>
                </c:pt>
                <c:pt idx="6">
                  <c:v>0.55474503064502834</c:v>
                </c:pt>
                <c:pt idx="7">
                  <c:v>0.62628911324597147</c:v>
                </c:pt>
                <c:pt idx="8">
                  <c:v>0.69292561091495508</c:v>
                </c:pt>
                <c:pt idx="9">
                  <c:v>0.75303518096049704</c:v>
                </c:pt>
                <c:pt idx="10">
                  <c:v>0.80560926421784096</c:v>
                </c:pt>
                <c:pt idx="11">
                  <c:v>0.85024453890009011</c:v>
                </c:pt>
                <c:pt idx="12">
                  <c:v>0.88706796942071287</c:v>
                </c:pt>
                <c:pt idx="13">
                  <c:v>0.91661755074324558</c:v>
                </c:pt>
                <c:pt idx="14">
                  <c:v>0.93970534342936529</c:v>
                </c:pt>
                <c:pt idx="15">
                  <c:v>0.95728550280225877</c:v>
                </c:pt>
                <c:pt idx="16">
                  <c:v>0.97034303469443428</c:v>
                </c:pt>
                <c:pt idx="17">
                  <c:v>0.97981129009743761</c:v>
                </c:pt>
                <c:pt idx="18">
                  <c:v>0.98651950549657386</c:v>
                </c:pt>
                <c:pt idx="19">
                  <c:v>0.99116696295665963</c:v>
                </c:pt>
                <c:pt idx="20">
                  <c:v>0.99431779170057277</c:v>
                </c:pt>
                <c:pt idx="21">
                  <c:v>0.9964097435639655</c:v>
                </c:pt>
                <c:pt idx="22">
                  <c:v>0.99777087564366762</c:v>
                </c:pt>
                <c:pt idx="23">
                  <c:v>0.99863936187050695</c:v>
                </c:pt>
                <c:pt idx="24">
                  <c:v>0.99918313886916277</c:v>
                </c:pt>
                <c:pt idx="25">
                  <c:v>0.99951744504210149</c:v>
                </c:pt>
                <c:pt idx="26">
                  <c:v>0.99971937178169057</c:v>
                </c:pt>
              </c:numCache>
            </c:numRef>
          </c:yVal>
          <c:smooth val="1"/>
        </c:ser>
        <c:ser>
          <c:idx val="2"/>
          <c:order val="2"/>
          <c:tx>
            <c:v> t  0.35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'delta time'!$K$2:$AK$2</c:f>
              <c:numCache>
                <c:formatCode>General</c:formatCode>
                <c:ptCount val="27"/>
                <c:pt idx="0">
                  <c:v>37</c:v>
                </c:pt>
                <c:pt idx="1">
                  <c:v>37.5</c:v>
                </c:pt>
                <c:pt idx="2">
                  <c:v>38</c:v>
                </c:pt>
                <c:pt idx="3">
                  <c:v>38.5</c:v>
                </c:pt>
                <c:pt idx="4">
                  <c:v>39</c:v>
                </c:pt>
                <c:pt idx="5">
                  <c:v>39.5</c:v>
                </c:pt>
                <c:pt idx="6">
                  <c:v>40</c:v>
                </c:pt>
                <c:pt idx="7">
                  <c:v>40.5</c:v>
                </c:pt>
                <c:pt idx="8">
                  <c:v>41</c:v>
                </c:pt>
                <c:pt idx="9">
                  <c:v>41.5</c:v>
                </c:pt>
                <c:pt idx="10">
                  <c:v>42</c:v>
                </c:pt>
                <c:pt idx="11">
                  <c:v>42.5</c:v>
                </c:pt>
                <c:pt idx="12">
                  <c:v>43</c:v>
                </c:pt>
                <c:pt idx="13">
                  <c:v>43.5</c:v>
                </c:pt>
                <c:pt idx="14">
                  <c:v>44</c:v>
                </c:pt>
                <c:pt idx="15">
                  <c:v>44.5</c:v>
                </c:pt>
                <c:pt idx="16">
                  <c:v>45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47</c:v>
                </c:pt>
                <c:pt idx="21">
                  <c:v>47.5</c:v>
                </c:pt>
                <c:pt idx="22">
                  <c:v>48</c:v>
                </c:pt>
                <c:pt idx="23">
                  <c:v>48.5</c:v>
                </c:pt>
                <c:pt idx="24">
                  <c:v>49</c:v>
                </c:pt>
                <c:pt idx="25">
                  <c:v>49.5</c:v>
                </c:pt>
                <c:pt idx="26">
                  <c:v>50</c:v>
                </c:pt>
              </c:numCache>
            </c:numRef>
          </c:xVal>
          <c:yVal>
            <c:numRef>
              <c:f>'delta time'!$K$37:$AK$37</c:f>
              <c:numCache>
                <c:formatCode>General</c:formatCode>
                <c:ptCount val="27"/>
                <c:pt idx="0">
                  <c:v>0.29867890565398392</c:v>
                </c:pt>
                <c:pt idx="1">
                  <c:v>0.34445591976905099</c:v>
                </c:pt>
                <c:pt idx="2">
                  <c:v>0.39198304685429719</c:v>
                </c:pt>
                <c:pt idx="3">
                  <c:v>0.44052996961070467</c:v>
                </c:pt>
                <c:pt idx="4">
                  <c:v>0.48934790934313954</c:v>
                </c:pt>
                <c:pt idx="5">
                  <c:v>0.53770428018211669</c:v>
                </c:pt>
                <c:pt idx="6">
                  <c:v>0.58491400406882321</c:v>
                </c:pt>
                <c:pt idx="7">
                  <c:v>0.63036553101306625</c:v>
                </c:pt>
                <c:pt idx="8">
                  <c:v>0.67354028569560664</c:v>
                </c:pt>
                <c:pt idx="9">
                  <c:v>0.71402496953693251</c:v>
                </c:pt>
                <c:pt idx="10">
                  <c:v>0.75151680458752468</c:v>
                </c:pt>
                <c:pt idx="11">
                  <c:v>0.78582235054817606</c:v>
                </c:pt>
                <c:pt idx="12">
                  <c:v>0.81685092223794742</c:v>
                </c:pt>
                <c:pt idx="13">
                  <c:v>0.84460386959517941</c:v>
                </c:pt>
                <c:pt idx="14">
                  <c:v>0.86916106417891004</c:v>
                </c:pt>
                <c:pt idx="15">
                  <c:v>0.8906658884901244</c:v>
                </c:pt>
                <c:pt idx="16">
                  <c:v>0.9093098793316795</c:v>
                </c:pt>
                <c:pt idx="17">
                  <c:v>0.92531796881957717</c:v>
                </c:pt>
                <c:pt idx="18">
                  <c:v>0.93893502964236242</c:v>
                </c:pt>
                <c:pt idx="19">
                  <c:v>0.95041419273072125</c:v>
                </c:pt>
                <c:pt idx="20">
                  <c:v>0.96000718677351415</c:v>
                </c:pt>
                <c:pt idx="21">
                  <c:v>0.96795676380660001</c:v>
                </c:pt>
                <c:pt idx="22">
                  <c:v>0.97449113042010127</c:v>
                </c:pt>
                <c:pt idx="23">
                  <c:v>0.9798202013520817</c:v>
                </c:pt>
                <c:pt idx="24">
                  <c:v>0.98413342854838959</c:v>
                </c:pt>
                <c:pt idx="25">
                  <c:v>0.98759892865220655</c:v>
                </c:pt>
                <c:pt idx="26">
                  <c:v>0.99036362845069803</c:v>
                </c:pt>
              </c:numCache>
            </c:numRef>
          </c:yVal>
          <c:smooth val="1"/>
        </c:ser>
        <c:ser>
          <c:idx val="3"/>
          <c:order val="3"/>
          <c:tx>
            <c:v> t  0.5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'delta time'!$K$2:$AK$2</c:f>
              <c:numCache>
                <c:formatCode>General</c:formatCode>
                <c:ptCount val="27"/>
                <c:pt idx="0">
                  <c:v>37</c:v>
                </c:pt>
                <c:pt idx="1">
                  <c:v>37.5</c:v>
                </c:pt>
                <c:pt idx="2">
                  <c:v>38</c:v>
                </c:pt>
                <c:pt idx="3">
                  <c:v>38.5</c:v>
                </c:pt>
                <c:pt idx="4">
                  <c:v>39</c:v>
                </c:pt>
                <c:pt idx="5">
                  <c:v>39.5</c:v>
                </c:pt>
                <c:pt idx="6">
                  <c:v>40</c:v>
                </c:pt>
                <c:pt idx="7">
                  <c:v>40.5</c:v>
                </c:pt>
                <c:pt idx="8">
                  <c:v>41</c:v>
                </c:pt>
                <c:pt idx="9">
                  <c:v>41.5</c:v>
                </c:pt>
                <c:pt idx="10">
                  <c:v>42</c:v>
                </c:pt>
                <c:pt idx="11">
                  <c:v>42.5</c:v>
                </c:pt>
                <c:pt idx="12">
                  <c:v>43</c:v>
                </c:pt>
                <c:pt idx="13">
                  <c:v>43.5</c:v>
                </c:pt>
                <c:pt idx="14">
                  <c:v>44</c:v>
                </c:pt>
                <c:pt idx="15">
                  <c:v>44.5</c:v>
                </c:pt>
                <c:pt idx="16">
                  <c:v>45</c:v>
                </c:pt>
                <c:pt idx="17">
                  <c:v>45.5</c:v>
                </c:pt>
                <c:pt idx="18">
                  <c:v>46</c:v>
                </c:pt>
                <c:pt idx="19">
                  <c:v>46.5</c:v>
                </c:pt>
                <c:pt idx="20">
                  <c:v>47</c:v>
                </c:pt>
                <c:pt idx="21">
                  <c:v>47.5</c:v>
                </c:pt>
                <c:pt idx="22">
                  <c:v>48</c:v>
                </c:pt>
                <c:pt idx="23">
                  <c:v>48.5</c:v>
                </c:pt>
                <c:pt idx="24">
                  <c:v>49</c:v>
                </c:pt>
                <c:pt idx="25">
                  <c:v>49.5</c:v>
                </c:pt>
                <c:pt idx="26">
                  <c:v>50</c:v>
                </c:pt>
              </c:numCache>
            </c:numRef>
          </c:xVal>
          <c:yVal>
            <c:numRef>
              <c:f>'delta time'!$K$52:$AK$52</c:f>
              <c:numCache>
                <c:formatCode>General</c:formatCode>
                <c:ptCount val="27"/>
                <c:pt idx="0">
                  <c:v>0.3589717746392167</c:v>
                </c:pt>
                <c:pt idx="1">
                  <c:v>0.39948223038556346</c:v>
                </c:pt>
                <c:pt idx="2">
                  <c:v>0.44054902316845257</c:v>
                </c:pt>
                <c:pt idx="3">
                  <c:v>0.48171837144572416</c:v>
                </c:pt>
                <c:pt idx="4">
                  <c:v>0.52255064870009937</c:v>
                </c:pt>
                <c:pt idx="5">
                  <c:v>0.56263342067683642</c:v>
                </c:pt>
                <c:pt idx="6">
                  <c:v>0.60159228946639809</c:v>
                </c:pt>
                <c:pt idx="7">
                  <c:v>0.63909921940799874</c:v>
                </c:pt>
                <c:pt idx="8">
                  <c:v>0.67487821153608807</c:v>
                </c:pt>
                <c:pt idx="9">
                  <c:v>0.70870836658011993</c:v>
                </c:pt>
                <c:pt idx="10">
                  <c:v>0.74042452091519462</c:v>
                </c:pt>
                <c:pt idx="11">
                  <c:v>0.769915749292992</c:v>
                </c:pt>
                <c:pt idx="12">
                  <c:v>0.79712210068600042</c:v>
                </c:pt>
                <c:pt idx="13">
                  <c:v>0.82202997060527061</c:v>
                </c:pt>
                <c:pt idx="14">
                  <c:v>0.84466651882564325</c:v>
                </c:pt>
                <c:pt idx="15">
                  <c:v>0.86509352125590144</c:v>
                </c:pt>
                <c:pt idx="16">
                  <c:v>0.8834010052095026</c:v>
                </c:pt>
                <c:pt idx="17">
                  <c:v>0.89970096512050846</c:v>
                </c:pt>
                <c:pt idx="18">
                  <c:v>0.91412139687523997</c:v>
                </c:pt>
                <c:pt idx="19">
                  <c:v>0.92680082858994195</c:v>
                </c:pt>
                <c:pt idx="20">
                  <c:v>0.93788346797822453</c:v>
                </c:pt>
                <c:pt idx="21">
                  <c:v>0.94751503440006202</c:v>
                </c:pt>
                <c:pt idx="22">
                  <c:v>0.95583929915941968</c:v>
                </c:pt>
                <c:pt idx="23">
                  <c:v>0.96299532155342271</c:v>
                </c:pt>
                <c:pt idx="24">
                  <c:v>0.96911534071953598</c:v>
                </c:pt>
                <c:pt idx="25">
                  <c:v>0.97432326403012126</c:v>
                </c:pt>
                <c:pt idx="26">
                  <c:v>0.97873368078833356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6804912"/>
        <c:axId val="-1106806544"/>
      </c:scatterChart>
      <c:valAx>
        <c:axId val="-1106804912"/>
        <c:scaling>
          <c:orientation val="minMax"/>
          <c:min val="37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Цена базового актива</a:t>
                </a:r>
                <a:endParaRPr lang="ru-RU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6806544"/>
        <c:crosses val="autoZero"/>
        <c:crossBetween val="midCat"/>
      </c:valAx>
      <c:valAx>
        <c:axId val="-1106806544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2.4031058617672804E-3"/>
              <c:y val="0.45720194491617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680491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35401948274263"/>
          <c:y val="0.52440122135226763"/>
          <c:w val="0.1477474505410144"/>
          <c:h val="0.26354499586201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8923884514437E-2"/>
          <c:y val="9.1226958115473003E-2"/>
          <c:w val="0.89263407699037622"/>
          <c:h val="0.79892213485847574"/>
        </c:manualLayout>
      </c:layout>
      <c:scatterChart>
        <c:scatterStyle val="smoothMarker"/>
        <c:varyColors val="0"/>
        <c:ser>
          <c:idx val="0"/>
          <c:order val="0"/>
          <c:tx>
            <c:v>37  OTM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'delta time'!$T$103:$T$155</c:f>
              <c:numCache>
                <c:formatCode>General</c:formatCode>
                <c:ptCount val="53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  <c:pt idx="34">
                  <c:v>1.0300000000000007</c:v>
                </c:pt>
                <c:pt idx="35">
                  <c:v>1.0600000000000007</c:v>
                </c:pt>
                <c:pt idx="36">
                  <c:v>1.0900000000000007</c:v>
                </c:pt>
                <c:pt idx="37">
                  <c:v>1.1200000000000008</c:v>
                </c:pt>
                <c:pt idx="38">
                  <c:v>1.1500000000000008</c:v>
                </c:pt>
                <c:pt idx="39">
                  <c:v>1.1800000000000008</c:v>
                </c:pt>
                <c:pt idx="40">
                  <c:v>1.2100000000000009</c:v>
                </c:pt>
                <c:pt idx="41">
                  <c:v>1.2400000000000009</c:v>
                </c:pt>
                <c:pt idx="42">
                  <c:v>1.2700000000000009</c:v>
                </c:pt>
                <c:pt idx="43">
                  <c:v>1.3000000000000009</c:v>
                </c:pt>
                <c:pt idx="44">
                  <c:v>1.330000000000001</c:v>
                </c:pt>
                <c:pt idx="45">
                  <c:v>1.360000000000001</c:v>
                </c:pt>
                <c:pt idx="46">
                  <c:v>1.390000000000001</c:v>
                </c:pt>
                <c:pt idx="47">
                  <c:v>1.420000000000001</c:v>
                </c:pt>
                <c:pt idx="48">
                  <c:v>1.4500000000000011</c:v>
                </c:pt>
                <c:pt idx="49">
                  <c:v>1.4800000000000011</c:v>
                </c:pt>
                <c:pt idx="50">
                  <c:v>1.5100000000000011</c:v>
                </c:pt>
                <c:pt idx="51">
                  <c:v>1.5400000000000011</c:v>
                </c:pt>
                <c:pt idx="52">
                  <c:v>1.5700000000000012</c:v>
                </c:pt>
              </c:numCache>
            </c:numRef>
          </c:xVal>
          <c:yVal>
            <c:numRef>
              <c:f>'delta time'!$U$103:$U$155</c:f>
              <c:numCache>
                <c:formatCode>General</c:formatCode>
                <c:ptCount val="53"/>
                <c:pt idx="0">
                  <c:v>1.9250894053303294E-52</c:v>
                </c:pt>
                <c:pt idx="1">
                  <c:v>7.5256535604286995E-5</c:v>
                </c:pt>
                <c:pt idx="2">
                  <c:v>1.5569209004311815E-2</c:v>
                </c:pt>
                <c:pt idx="3">
                  <c:v>6.7156881023946541E-2</c:v>
                </c:pt>
                <c:pt idx="4">
                  <c:v>0.12716290609935427</c:v>
                </c:pt>
                <c:pt idx="5">
                  <c:v>0.1803546583794747</c:v>
                </c:pt>
                <c:pt idx="6">
                  <c:v>0.22442337807586457</c:v>
                </c:pt>
                <c:pt idx="7">
                  <c:v>0.26057818998391813</c:v>
                </c:pt>
                <c:pt idx="8">
                  <c:v>0.2904862327199621</c:v>
                </c:pt>
                <c:pt idx="9">
                  <c:v>0.31556817243432872</c:v>
                </c:pt>
                <c:pt idx="10">
                  <c:v>0.33691521474587255</c:v>
                </c:pt>
                <c:pt idx="11">
                  <c:v>0.35534321296000992</c:v>
                </c:pt>
                <c:pt idx="12">
                  <c:v>0.371461087262136</c:v>
                </c:pt>
                <c:pt idx="13">
                  <c:v>0.38572687774336722</c:v>
                </c:pt>
                <c:pt idx="14">
                  <c:v>0.39848909753777512</c:v>
                </c:pt>
                <c:pt idx="15">
                  <c:v>0.41001627764963999</c:v>
                </c:pt>
                <c:pt idx="16">
                  <c:v>0.42051794002730081</c:v>
                </c:pt>
                <c:pt idx="17">
                  <c:v>0.43015954992243566</c:v>
                </c:pt>
                <c:pt idx="18">
                  <c:v>0.43907327277788766</c:v>
                </c:pt>
                <c:pt idx="19">
                  <c:v>0.44736579905063473</c:v>
                </c:pt>
                <c:pt idx="20">
                  <c:v>0.45512410361928213</c:v>
                </c:pt>
                <c:pt idx="21">
                  <c:v>0.46241973529685265</c:v>
                </c:pt>
                <c:pt idx="22">
                  <c:v>0.46931204850008712</c:v>
                </c:pt>
                <c:pt idx="23">
                  <c:v>0.4758506648795045</c:v>
                </c:pt>
                <c:pt idx="24">
                  <c:v>0.48207736806631224</c:v>
                </c:pt>
                <c:pt idx="25">
                  <c:v>0.48802757652078599</c:v>
                </c:pt>
                <c:pt idx="26">
                  <c:v>0.49373149909077607</c:v>
                </c:pt>
                <c:pt idx="27">
                  <c:v>0.49921504956932805</c:v>
                </c:pt>
                <c:pt idx="28">
                  <c:v>0.5045005764655508</c:v>
                </c:pt>
                <c:pt idx="29">
                  <c:v>0.50960744982300832</c:v>
                </c:pt>
                <c:pt idx="30">
                  <c:v>0.51455253651418165</c:v>
                </c:pt>
                <c:pt idx="31">
                  <c:v>0.51935058783538435</c:v>
                </c:pt>
                <c:pt idx="32">
                  <c:v>0.52401455761710847</c:v>
                </c:pt>
                <c:pt idx="33">
                  <c:v>0.52855586488942274</c:v>
                </c:pt>
                <c:pt idx="34">
                  <c:v>0.53298461200733027</c:v>
                </c:pt>
                <c:pt idx="35">
                  <c:v>0.53730976676820885</c:v>
                </c:pt>
                <c:pt idx="36">
                  <c:v>0.54153931524334953</c:v>
                </c:pt>
                <c:pt idx="37">
                  <c:v>0.54568039065446072</c:v>
                </c:pt>
                <c:pt idx="38">
                  <c:v>0.54973938254925792</c:v>
                </c:pt>
                <c:pt idx="39">
                  <c:v>0.55372202969123341</c:v>
                </c:pt>
                <c:pt idx="40">
                  <c:v>0.55763349942069107</c:v>
                </c:pt>
                <c:pt idx="41">
                  <c:v>0.56147845572493815</c:v>
                </c:pt>
                <c:pt idx="42">
                  <c:v>0.56526111784344057</c:v>
                </c:pt>
                <c:pt idx="43">
                  <c:v>0.56898531090486948</c:v>
                </c:pt>
                <c:pt idx="44">
                  <c:v>0.57265450982907229</c:v>
                </c:pt>
                <c:pt idx="45">
                  <c:v>0.57627187751419306</c:v>
                </c:pt>
                <c:pt idx="46">
                  <c:v>0.57984029815668425</c:v>
                </c:pt>
                <c:pt idx="47">
                  <c:v>0.58336240641154236</c:v>
                </c:pt>
                <c:pt idx="48">
                  <c:v>0.58684061298524159</c:v>
                </c:pt>
                <c:pt idx="49">
                  <c:v>0.59027712715952074</c:v>
                </c:pt>
                <c:pt idx="50">
                  <c:v>0.593673976666374</c:v>
                </c:pt>
                <c:pt idx="51">
                  <c:v>0.59703302527018409</c:v>
                </c:pt>
                <c:pt idx="52">
                  <c:v>0.60035598835939374</c:v>
                </c:pt>
              </c:numCache>
            </c:numRef>
          </c:yVal>
          <c:smooth val="1"/>
        </c:ser>
        <c:ser>
          <c:idx val="1"/>
          <c:order val="1"/>
          <c:tx>
            <c:v>40  ATM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'delta time'!$T$103:$T$155</c:f>
              <c:numCache>
                <c:formatCode>General</c:formatCode>
                <c:ptCount val="53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  <c:pt idx="34">
                  <c:v>1.0300000000000007</c:v>
                </c:pt>
                <c:pt idx="35">
                  <c:v>1.0600000000000007</c:v>
                </c:pt>
                <c:pt idx="36">
                  <c:v>1.0900000000000007</c:v>
                </c:pt>
                <c:pt idx="37">
                  <c:v>1.1200000000000008</c:v>
                </c:pt>
                <c:pt idx="38">
                  <c:v>1.1500000000000008</c:v>
                </c:pt>
                <c:pt idx="39">
                  <c:v>1.1800000000000008</c:v>
                </c:pt>
                <c:pt idx="40">
                  <c:v>1.2100000000000009</c:v>
                </c:pt>
                <c:pt idx="41">
                  <c:v>1.2400000000000009</c:v>
                </c:pt>
                <c:pt idx="42">
                  <c:v>1.2700000000000009</c:v>
                </c:pt>
                <c:pt idx="43">
                  <c:v>1.3000000000000009</c:v>
                </c:pt>
                <c:pt idx="44">
                  <c:v>1.330000000000001</c:v>
                </c:pt>
                <c:pt idx="45">
                  <c:v>1.360000000000001</c:v>
                </c:pt>
                <c:pt idx="46">
                  <c:v>1.390000000000001</c:v>
                </c:pt>
                <c:pt idx="47">
                  <c:v>1.420000000000001</c:v>
                </c:pt>
                <c:pt idx="48">
                  <c:v>1.4500000000000011</c:v>
                </c:pt>
                <c:pt idx="49">
                  <c:v>1.4800000000000011</c:v>
                </c:pt>
                <c:pt idx="50">
                  <c:v>1.5100000000000011</c:v>
                </c:pt>
                <c:pt idx="51">
                  <c:v>1.5400000000000011</c:v>
                </c:pt>
                <c:pt idx="52">
                  <c:v>1.5700000000000012</c:v>
                </c:pt>
              </c:numCache>
            </c:numRef>
          </c:xVal>
          <c:yVal>
            <c:numRef>
              <c:f>'delta time'!$V$103:$V$155</c:f>
              <c:numCache>
                <c:formatCode>General</c:formatCode>
                <c:ptCount val="53"/>
                <c:pt idx="0">
                  <c:v>0.98739938275572392</c:v>
                </c:pt>
                <c:pt idx="1">
                  <c:v>0.71496936538522027</c:v>
                </c:pt>
                <c:pt idx="2">
                  <c:v>0.63122168797659151</c:v>
                </c:pt>
                <c:pt idx="3">
                  <c:v>0.59714629581366596</c:v>
                </c:pt>
                <c:pt idx="4">
                  <c:v>0.57967968818808147</c:v>
                </c:pt>
                <c:pt idx="5">
                  <c:v>0.56966892487742893</c:v>
                </c:pt>
                <c:pt idx="6">
                  <c:v>0.56362763262883364</c:v>
                </c:pt>
                <c:pt idx="7">
                  <c:v>0.55994625298138567</c:v>
                </c:pt>
                <c:pt idx="8">
                  <c:v>0.5577805269395173</c:v>
                </c:pt>
                <c:pt idx="9">
                  <c:v>0.55664540519457684</c:v>
                </c:pt>
                <c:pt idx="10">
                  <c:v>0.55624250780220708</c:v>
                </c:pt>
                <c:pt idx="11">
                  <c:v>0.5563782498021479</c:v>
                </c:pt>
                <c:pt idx="12">
                  <c:v>0.55692155904048835</c:v>
                </c:pt>
                <c:pt idx="13">
                  <c:v>0.5577805269395173</c:v>
                </c:pt>
                <c:pt idx="14">
                  <c:v>0.55888879276801617</c:v>
                </c:pt>
                <c:pt idx="15">
                  <c:v>0.56019723692929779</c:v>
                </c:pt>
                <c:pt idx="16">
                  <c:v>0.56166871635827409</c:v>
                </c:pt>
                <c:pt idx="17">
                  <c:v>0.56327461741619178</c:v>
                </c:pt>
                <c:pt idx="18">
                  <c:v>0.5649925342782024</c:v>
                </c:pt>
                <c:pt idx="19">
                  <c:v>0.56680466632027915</c:v>
                </c:pt>
                <c:pt idx="20">
                  <c:v>0.56869668752932578</c:v>
                </c:pt>
                <c:pt idx="21">
                  <c:v>0.57065693336162537</c:v>
                </c:pt>
                <c:pt idx="22">
                  <c:v>0.57267580572929999</c:v>
                </c:pt>
                <c:pt idx="23">
                  <c:v>0.57474533078280288</c:v>
                </c:pt>
                <c:pt idx="24">
                  <c:v>0.57685882559955926</c:v>
                </c:pt>
                <c:pt idx="25">
                  <c:v>0.57901064372707101</c:v>
                </c:pt>
                <c:pt idx="26">
                  <c:v>0.58119597864527839</c:v>
                </c:pt>
                <c:pt idx="27">
                  <c:v>0.58341071033222036</c:v>
                </c:pt>
                <c:pt idx="28">
                  <c:v>0.58565128429523994</c:v>
                </c:pt>
                <c:pt idx="29">
                  <c:v>0.58791461532789047</c:v>
                </c:pt>
                <c:pt idx="30">
                  <c:v>0.59019801029182428</c:v>
                </c:pt>
                <c:pt idx="31">
                  <c:v>0.59249910567701103</c:v>
                </c:pt>
                <c:pt idx="32">
                  <c:v>0.59481581674339234</c:v>
                </c:pt>
                <c:pt idx="33">
                  <c:v>0.59714629581366596</c:v>
                </c:pt>
                <c:pt idx="34">
                  <c:v>0.59948889785272685</c:v>
                </c:pt>
                <c:pt idx="35">
                  <c:v>0.60184215189111145</c:v>
                </c:pt>
                <c:pt idx="36">
                  <c:v>0.60420473716721479</c:v>
                </c:pt>
                <c:pt idx="37">
                  <c:v>0.60657546310400889</c:v>
                </c:pt>
                <c:pt idx="38">
                  <c:v>0.60895325242041176</c:v>
                </c:pt>
                <c:pt idx="39">
                  <c:v>0.61133712681971908</c:v>
                </c:pt>
                <c:pt idx="40">
                  <c:v>0.61372619480803614</c:v>
                </c:pt>
                <c:pt idx="41">
                  <c:v>0.61611964128213326</c:v>
                </c:pt>
                <c:pt idx="42">
                  <c:v>0.61851671859425084</c:v>
                </c:pt>
                <c:pt idx="43">
                  <c:v>0.62091673885534682</c:v>
                </c:pt>
                <c:pt idx="44">
                  <c:v>0.62331906728130226</c:v>
                </c:pt>
                <c:pt idx="45">
                  <c:v>0.62572311642107525</c:v>
                </c:pt>
                <c:pt idx="46">
                  <c:v>0.62812834113358962</c:v>
                </c:pt>
                <c:pt idx="47">
                  <c:v>0.63053423420264154</c:v>
                </c:pt>
                <c:pt idx="48">
                  <c:v>0.63294032249743326</c:v>
                </c:pt>
                <c:pt idx="49">
                  <c:v>0.63534616360131313</c:v>
                </c:pt>
                <c:pt idx="50">
                  <c:v>0.63775134284360546</c:v>
                </c:pt>
                <c:pt idx="51">
                  <c:v>0.64015547067955691</c:v>
                </c:pt>
                <c:pt idx="52">
                  <c:v>0.64255818037182555</c:v>
                </c:pt>
              </c:numCache>
            </c:numRef>
          </c:yVal>
          <c:smooth val="1"/>
        </c:ser>
        <c:ser>
          <c:idx val="2"/>
          <c:order val="2"/>
          <c:tx>
            <c:v>43  ITM</c:v>
          </c:tx>
          <c:spPr>
            <a:ln w="19050" cap="rnd">
              <a:solidFill>
                <a:srgbClr val="42AC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AC81"/>
              </a:solidFill>
              <a:ln w="9525">
                <a:solidFill>
                  <a:srgbClr val="42AC81"/>
                </a:solidFill>
              </a:ln>
              <a:effectLst/>
            </c:spPr>
          </c:marker>
          <c:xVal>
            <c:numRef>
              <c:f>'delta time'!$T$103:$T$155</c:f>
              <c:numCache>
                <c:formatCode>General</c:formatCode>
                <c:ptCount val="53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0.31000000000000005</c:v>
                </c:pt>
                <c:pt idx="11">
                  <c:v>0.34000000000000008</c:v>
                </c:pt>
                <c:pt idx="12">
                  <c:v>0.37000000000000011</c:v>
                </c:pt>
                <c:pt idx="13">
                  <c:v>0.40000000000000013</c:v>
                </c:pt>
                <c:pt idx="14">
                  <c:v>0.43000000000000016</c:v>
                </c:pt>
                <c:pt idx="15">
                  <c:v>0.46000000000000019</c:v>
                </c:pt>
                <c:pt idx="16">
                  <c:v>0.49000000000000021</c:v>
                </c:pt>
                <c:pt idx="17">
                  <c:v>0.52000000000000024</c:v>
                </c:pt>
                <c:pt idx="18">
                  <c:v>0.55000000000000027</c:v>
                </c:pt>
                <c:pt idx="19">
                  <c:v>0.58000000000000029</c:v>
                </c:pt>
                <c:pt idx="20">
                  <c:v>0.61000000000000032</c:v>
                </c:pt>
                <c:pt idx="21">
                  <c:v>0.64000000000000035</c:v>
                </c:pt>
                <c:pt idx="22">
                  <c:v>0.67000000000000037</c:v>
                </c:pt>
                <c:pt idx="23">
                  <c:v>0.7000000000000004</c:v>
                </c:pt>
                <c:pt idx="24">
                  <c:v>0.73000000000000043</c:v>
                </c:pt>
                <c:pt idx="25">
                  <c:v>0.76000000000000045</c:v>
                </c:pt>
                <c:pt idx="26">
                  <c:v>0.79000000000000048</c:v>
                </c:pt>
                <c:pt idx="27">
                  <c:v>0.82000000000000051</c:v>
                </c:pt>
                <c:pt idx="28">
                  <c:v>0.85000000000000053</c:v>
                </c:pt>
                <c:pt idx="29">
                  <c:v>0.88000000000000056</c:v>
                </c:pt>
                <c:pt idx="30">
                  <c:v>0.91000000000000059</c:v>
                </c:pt>
                <c:pt idx="31">
                  <c:v>0.94000000000000061</c:v>
                </c:pt>
                <c:pt idx="32">
                  <c:v>0.97000000000000064</c:v>
                </c:pt>
                <c:pt idx="33">
                  <c:v>1.0000000000000007</c:v>
                </c:pt>
                <c:pt idx="34">
                  <c:v>1.0300000000000007</c:v>
                </c:pt>
                <c:pt idx="35">
                  <c:v>1.0600000000000007</c:v>
                </c:pt>
                <c:pt idx="36">
                  <c:v>1.0900000000000007</c:v>
                </c:pt>
                <c:pt idx="37">
                  <c:v>1.1200000000000008</c:v>
                </c:pt>
                <c:pt idx="38">
                  <c:v>1.1500000000000008</c:v>
                </c:pt>
                <c:pt idx="39">
                  <c:v>1.1800000000000008</c:v>
                </c:pt>
                <c:pt idx="40">
                  <c:v>1.2100000000000009</c:v>
                </c:pt>
                <c:pt idx="41">
                  <c:v>1.2400000000000009</c:v>
                </c:pt>
                <c:pt idx="42">
                  <c:v>1.2700000000000009</c:v>
                </c:pt>
                <c:pt idx="43">
                  <c:v>1.3000000000000009</c:v>
                </c:pt>
                <c:pt idx="44">
                  <c:v>1.330000000000001</c:v>
                </c:pt>
                <c:pt idx="45">
                  <c:v>1.360000000000001</c:v>
                </c:pt>
                <c:pt idx="46">
                  <c:v>1.390000000000001</c:v>
                </c:pt>
                <c:pt idx="47">
                  <c:v>1.420000000000001</c:v>
                </c:pt>
                <c:pt idx="48">
                  <c:v>1.4500000000000011</c:v>
                </c:pt>
                <c:pt idx="49">
                  <c:v>1.4800000000000011</c:v>
                </c:pt>
                <c:pt idx="50">
                  <c:v>1.5100000000000011</c:v>
                </c:pt>
                <c:pt idx="51">
                  <c:v>1.5400000000000011</c:v>
                </c:pt>
                <c:pt idx="52">
                  <c:v>1.5700000000000012</c:v>
                </c:pt>
              </c:numCache>
            </c:numRef>
          </c:xVal>
          <c:yVal>
            <c:numRef>
              <c:f>'delta time'!$W$103:$W$155</c:f>
              <c:numCache>
                <c:formatCode>General</c:formatCode>
                <c:ptCount val="53"/>
                <c:pt idx="0">
                  <c:v>1</c:v>
                </c:pt>
                <c:pt idx="1">
                  <c:v>0.9999979944767533</c:v>
                </c:pt>
                <c:pt idx="2">
                  <c:v>0.99591894797170244</c:v>
                </c:pt>
                <c:pt idx="3">
                  <c:v>0.96877636733802952</c:v>
                </c:pt>
                <c:pt idx="4">
                  <c:v>0.92577489242653832</c:v>
                </c:pt>
                <c:pt idx="5">
                  <c:v>0.88223688605790951</c:v>
                </c:pt>
                <c:pt idx="6">
                  <c:v>0.8440633159449733</c:v>
                </c:pt>
                <c:pt idx="7">
                  <c:v>0.81216326830766805</c:v>
                </c:pt>
                <c:pt idx="8">
                  <c:v>0.78587798914538531</c:v>
                </c:pt>
                <c:pt idx="9">
                  <c:v>0.76424340433560012</c:v>
                </c:pt>
                <c:pt idx="10">
                  <c:v>0.74636902588407805</c:v>
                </c:pt>
                <c:pt idx="11">
                  <c:v>0.73152185186317609</c:v>
                </c:pt>
                <c:pt idx="12">
                  <c:v>0.71912139073199433</c:v>
                </c:pt>
                <c:pt idx="13">
                  <c:v>0.70871313913918665</c:v>
                </c:pt>
                <c:pt idx="14">
                  <c:v>0.69994119018712231</c:v>
                </c:pt>
                <c:pt idx="15">
                  <c:v>0.69252534827306356</c:v>
                </c:pt>
                <c:pt idx="16">
                  <c:v>0.68624331663074645</c:v>
                </c:pt>
                <c:pt idx="17">
                  <c:v>0.68091720042001347</c:v>
                </c:pt>
                <c:pt idx="18">
                  <c:v>0.67640336716741178</c:v>
                </c:pt>
                <c:pt idx="19">
                  <c:v>0.67258482886326509</c:v>
                </c:pt>
                <c:pt idx="20">
                  <c:v>0.66936549318940852</c:v>
                </c:pt>
                <c:pt idx="21">
                  <c:v>0.66666579632999168</c:v>
                </c:pt>
                <c:pt idx="22">
                  <c:v>0.66441935958918774</c:v>
                </c:pt>
                <c:pt idx="23">
                  <c:v>0.66257040878115336</c:v>
                </c:pt>
                <c:pt idx="24">
                  <c:v>0.66107176583246474</c:v>
                </c:pt>
                <c:pt idx="25">
                  <c:v>0.65988327292526394</c:v>
                </c:pt>
                <c:pt idx="26">
                  <c:v>0.65897054620019035</c:v>
                </c:pt>
                <c:pt idx="27">
                  <c:v>0.65830398256139788</c:v>
                </c:pt>
                <c:pt idx="28">
                  <c:v>0.65785796239335714</c:v>
                </c:pt>
                <c:pt idx="29">
                  <c:v>0.65761020508277257</c:v>
                </c:pt>
                <c:pt idx="30">
                  <c:v>0.6575412446049298</c:v>
                </c:pt>
                <c:pt idx="31">
                  <c:v>0.65763400011908235</c:v>
                </c:pt>
                <c:pt idx="32">
                  <c:v>0.65787342225755319</c:v>
                </c:pt>
                <c:pt idx="33">
                  <c:v>0.65824620011205226</c:v>
                </c:pt>
                <c:pt idx="34">
                  <c:v>0.6587405171938181</c:v>
                </c:pt>
                <c:pt idx="35">
                  <c:v>0.65934584714233679</c:v>
                </c:pt>
                <c:pt idx="36">
                  <c:v>0.66005278187718786</c:v>
                </c:pt>
                <c:pt idx="37">
                  <c:v>0.66085288637270356</c:v>
                </c:pt>
                <c:pt idx="38">
                  <c:v>0.66173857539137892</c:v>
                </c:pt>
                <c:pt idx="39">
                  <c:v>0.66270300841772412</c:v>
                </c:pt>
                <c:pt idx="40">
                  <c:v>0.6637399997479696</c:v>
                </c:pt>
                <c:pt idx="41">
                  <c:v>0.66484394125664781</c:v>
                </c:pt>
                <c:pt idx="42">
                  <c:v>0.66600973581175538</c:v>
                </c:pt>
                <c:pt idx="43">
                  <c:v>0.66723273967119312</c:v>
                </c:pt>
                <c:pt idx="44">
                  <c:v>0.66850871248378385</c:v>
                </c:pt>
                <c:pt idx="45">
                  <c:v>0.6698337737532496</c:v>
                </c:pt>
                <c:pt idx="46">
                  <c:v>0.67120436481456158</c:v>
                </c:pt>
                <c:pt idx="47">
                  <c:v>0.67261721552802822</c:v>
                </c:pt>
                <c:pt idx="48">
                  <c:v>0.6740693150243241</c:v>
                </c:pt>
                <c:pt idx="49">
                  <c:v>0.6755578859389022</c:v>
                </c:pt>
                <c:pt idx="50">
                  <c:v>0.67708036166120467</c:v>
                </c:pt>
                <c:pt idx="51">
                  <c:v>0.67863436619623652</c:v>
                </c:pt>
                <c:pt idx="52">
                  <c:v>0.68021769629614592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8651536"/>
        <c:axId val="-1108652080"/>
      </c:scatterChart>
      <c:valAx>
        <c:axId val="-110865153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Волатильность,</a:t>
                </a:r>
                <a:r>
                  <a:rPr lang="ru-RU" sz="1100" baseline="0"/>
                  <a:t> %</a:t>
                </a:r>
                <a:endParaRPr lang="ru-RU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8652080"/>
        <c:crosses val="autoZero"/>
        <c:crossBetween val="midCat"/>
        <c:majorUnit val="0.1"/>
        <c:minorUnit val="5.000000000000001E-2"/>
      </c:valAx>
      <c:valAx>
        <c:axId val="-1108652080"/>
        <c:scaling>
          <c:orientation val="minMax"/>
          <c:max val="1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2.3750000000000004E-2"/>
              <c:y val="1.26888775311368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8651536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999999999998"/>
          <c:y val="9.7585232359300181E-2"/>
          <c:w val="0.17008377077865267"/>
          <c:h val="0.1495026901285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154591555714698E-2"/>
          <c:y val="2.8457756068137243E-2"/>
          <c:w val="0.94196942524262395"/>
          <c:h val="0.92538432695913009"/>
        </c:manualLayout>
      </c:layout>
      <c:surface3DChart>
        <c:wireframe val="0"/>
        <c:ser>
          <c:idx val="0"/>
          <c:order val="0"/>
          <c:tx>
            <c:strRef>
              <c:f>gamma!$K$2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gamma!$K$3:$K$17</c:f>
              <c:numCache>
                <c:formatCode>General</c:formatCode>
                <c:ptCount val="15"/>
                <c:pt idx="0">
                  <c:v>3.1580579934428601E-8</c:v>
                </c:pt>
                <c:pt idx="1">
                  <c:v>1.1067671007985784E-4</c:v>
                </c:pt>
                <c:pt idx="2">
                  <c:v>1.5397972248638672E-3</c:v>
                </c:pt>
                <c:pt idx="3">
                  <c:v>5.50202464181445E-3</c:v>
                </c:pt>
                <c:pt idx="4">
                  <c:v>1.1513995881903537E-2</c:v>
                </c:pt>
                <c:pt idx="5">
                  <c:v>1.8518639656868334E-2</c:v>
                </c:pt>
                <c:pt idx="6">
                  <c:v>2.5687269547573926E-2</c:v>
                </c:pt>
                <c:pt idx="7">
                  <c:v>3.2531913972453926E-2</c:v>
                </c:pt>
                <c:pt idx="8">
                  <c:v>3.8814255377753973E-2</c:v>
                </c:pt>
                <c:pt idx="9">
                  <c:v>4.4446708028749705E-2</c:v>
                </c:pt>
                <c:pt idx="10">
                  <c:v>4.94241079855927E-2</c:v>
                </c:pt>
                <c:pt idx="11">
                  <c:v>5.3782565316967228E-2</c:v>
                </c:pt>
                <c:pt idx="12">
                  <c:v>5.7576211458643847E-2</c:v>
                </c:pt>
                <c:pt idx="13">
                  <c:v>6.086462713716282E-2</c:v>
                </c:pt>
                <c:pt idx="14">
                  <c:v>6.3706369410826108E-2</c:v>
                </c:pt>
              </c:numCache>
            </c:numRef>
          </c:val>
        </c:ser>
        <c:ser>
          <c:idx val="1"/>
          <c:order val="1"/>
          <c:tx>
            <c:strRef>
              <c:f>gamma!$L$2</c:f>
              <c:strCache>
                <c:ptCount val="1"/>
                <c:pt idx="0">
                  <c:v>47,5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gamma!$L$3:$L$17</c:f>
              <c:numCache>
                <c:formatCode>General</c:formatCode>
                <c:ptCount val="15"/>
                <c:pt idx="0">
                  <c:v>1.8702621833363638E-6</c:v>
                </c:pt>
                <c:pt idx="1">
                  <c:v>8.3365948333643505E-4</c:v>
                </c:pt>
                <c:pt idx="2">
                  <c:v>5.8328302896077993E-3</c:v>
                </c:pt>
                <c:pt idx="3">
                  <c:v>1.4780189970381019E-2</c:v>
                </c:pt>
                <c:pt idx="4">
                  <c:v>2.5166832636209484E-2</c:v>
                </c:pt>
                <c:pt idx="5">
                  <c:v>3.527834825524509E-2</c:v>
                </c:pt>
                <c:pt idx="6">
                  <c:v>4.4357991143764541E-2</c:v>
                </c:pt>
                <c:pt idx="7">
                  <c:v>5.2189076951976297E-2</c:v>
                </c:pt>
                <c:pt idx="8">
                  <c:v>5.8801021714512257E-2</c:v>
                </c:pt>
                <c:pt idx="9">
                  <c:v>6.4317936693494962E-2</c:v>
                </c:pt>
                <c:pt idx="10">
                  <c:v>6.8888799631874692E-2</c:v>
                </c:pt>
                <c:pt idx="11">
                  <c:v>7.2657818175817943E-2</c:v>
                </c:pt>
                <c:pt idx="12">
                  <c:v>7.5753467066634661E-2</c:v>
                </c:pt>
                <c:pt idx="13">
                  <c:v>7.828583485486855E-2</c:v>
                </c:pt>
                <c:pt idx="14">
                  <c:v>8.0347437425161303E-2</c:v>
                </c:pt>
              </c:numCache>
            </c:numRef>
          </c:val>
        </c:ser>
        <c:ser>
          <c:idx val="2"/>
          <c:order val="2"/>
          <c:tx>
            <c:strRef>
              <c:f>gamma!$M$2</c:f>
              <c:strCache>
                <c:ptCount val="1"/>
                <c:pt idx="0">
                  <c:v>48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gamma!$M$3:$M$17</c:f>
              <c:numCache>
                <c:formatCode>General</c:formatCode>
                <c:ptCount val="15"/>
                <c:pt idx="0">
                  <c:v>6.0475852324292232E-5</c:v>
                </c:pt>
                <c:pt idx="1">
                  <c:v>4.6410599794992407E-3</c:v>
                </c:pt>
                <c:pt idx="2">
                  <c:v>1.8064425475278732E-2</c:v>
                </c:pt>
                <c:pt idx="3">
                  <c:v>3.4141531050435263E-2</c:v>
                </c:pt>
                <c:pt idx="4">
                  <c:v>4.8755816719553507E-2</c:v>
                </c:pt>
                <c:pt idx="5">
                  <c:v>6.0781215847518749E-2</c:v>
                </c:pt>
                <c:pt idx="6">
                  <c:v>7.0282892756551044E-2</c:v>
                </c:pt>
                <c:pt idx="7">
                  <c:v>7.7655073960294488E-2</c:v>
                </c:pt>
                <c:pt idx="8">
                  <c:v>8.33204208468349E-2</c:v>
                </c:pt>
                <c:pt idx="9">
                  <c:v>8.7643512573078744E-2</c:v>
                </c:pt>
                <c:pt idx="10">
                  <c:v>9.0916864935200459E-2</c:v>
                </c:pt>
                <c:pt idx="11">
                  <c:v>9.3368773966305857E-2</c:v>
                </c:pt>
                <c:pt idx="12">
                  <c:v>9.5175746561017238E-2</c:v>
                </c:pt>
                <c:pt idx="13">
                  <c:v>9.647411429031022E-2</c:v>
                </c:pt>
                <c:pt idx="14">
                  <c:v>9.7369505959879754E-2</c:v>
                </c:pt>
              </c:numCache>
            </c:numRef>
          </c:val>
        </c:ser>
        <c:ser>
          <c:idx val="3"/>
          <c:order val="3"/>
          <c:tx>
            <c:strRef>
              <c:f>gamma!$N$2</c:f>
              <c:strCache>
                <c:ptCount val="1"/>
                <c:pt idx="0">
                  <c:v>48,5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gamma!$N$3:$N$17</c:f>
              <c:numCache>
                <c:formatCode>General</c:formatCode>
                <c:ptCount val="15"/>
                <c:pt idx="0">
                  <c:v>1.0874853655636653E-3</c:v>
                </c:pt>
                <c:pt idx="1">
                  <c:v>1.9271791201683621E-2</c:v>
                </c:pt>
                <c:pt idx="2">
                  <c:v>4.6020381369861772E-2</c:v>
                </c:pt>
                <c:pt idx="3">
                  <c:v>6.8127057556636908E-2</c:v>
                </c:pt>
                <c:pt idx="4">
                  <c:v>8.4025174416312104E-2</c:v>
                </c:pt>
                <c:pt idx="5">
                  <c:v>9.4998468064898395E-2</c:v>
                </c:pt>
                <c:pt idx="6">
                  <c:v>0.1024437774164635</c:v>
                </c:pt>
                <c:pt idx="7">
                  <c:v>0.10741683356092627</c:v>
                </c:pt>
                <c:pt idx="8">
                  <c:v>0.11065534414587908</c:v>
                </c:pt>
                <c:pt idx="9">
                  <c:v>0.11266666966966121</c:v>
                </c:pt>
                <c:pt idx="10">
                  <c:v>0.11380117405353027</c:v>
                </c:pt>
                <c:pt idx="11">
                  <c:v>0.11430348037910246</c:v>
                </c:pt>
                <c:pt idx="12">
                  <c:v>0.1143466289292675</c:v>
                </c:pt>
                <c:pt idx="13">
                  <c:v>0.11405464228633561</c:v>
                </c:pt>
                <c:pt idx="14">
                  <c:v>0.11351751632463743</c:v>
                </c:pt>
              </c:numCache>
            </c:numRef>
          </c:val>
        </c:ser>
        <c:ser>
          <c:idx val="4"/>
          <c:order val="4"/>
          <c:tx>
            <c:strRef>
              <c:f>gamma!$O$2</c:f>
              <c:strCache>
                <c:ptCount val="1"/>
                <c:pt idx="0">
                  <c:v>49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gamma!$O$3:$O$17</c:f>
              <c:numCache>
                <c:formatCode>General</c:formatCode>
                <c:ptCount val="15"/>
                <c:pt idx="0">
                  <c:v>1.1068661332946117E-2</c:v>
                </c:pt>
                <c:pt idx="1">
                  <c:v>6.021928667857334E-2</c:v>
                </c:pt>
                <c:pt idx="2">
                  <c:v>9.7008775060999142E-2</c:v>
                </c:pt>
                <c:pt idx="3">
                  <c:v>0.11795166628797447</c:v>
                </c:pt>
                <c:pt idx="4">
                  <c:v>0.12927306798658669</c:v>
                </c:pt>
                <c:pt idx="5">
                  <c:v>0.13509046346473425</c:v>
                </c:pt>
                <c:pt idx="6">
                  <c:v>0.1377120225504096</c:v>
                </c:pt>
                <c:pt idx="7">
                  <c:v>0.13843383694906869</c:v>
                </c:pt>
                <c:pt idx="8">
                  <c:v>0.13800545194113123</c:v>
                </c:pt>
                <c:pt idx="9">
                  <c:v>0.13687447290280091</c:v>
                </c:pt>
                <c:pt idx="10">
                  <c:v>0.1353159688775312</c:v>
                </c:pt>
                <c:pt idx="11">
                  <c:v>0.13350304920451364</c:v>
                </c:pt>
                <c:pt idx="12">
                  <c:v>0.13154671034481394</c:v>
                </c:pt>
                <c:pt idx="13">
                  <c:v>0.12951909142452525</c:v>
                </c:pt>
                <c:pt idx="14">
                  <c:v>0.12746746226881966</c:v>
                </c:pt>
              </c:numCache>
            </c:numRef>
          </c:val>
        </c:ser>
        <c:ser>
          <c:idx val="5"/>
          <c:order val="5"/>
          <c:tx>
            <c:strRef>
              <c:f>gamma!$P$2</c:f>
              <c:strCache>
                <c:ptCount val="1"/>
                <c:pt idx="0">
                  <c:v>49,5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gamma!$P$3:$P$17</c:f>
              <c:numCache>
                <c:formatCode>General</c:formatCode>
                <c:ptCount val="15"/>
                <c:pt idx="0">
                  <c:v>6.4860829549728147E-2</c:v>
                </c:pt>
                <c:pt idx="1">
                  <c:v>0.14280670250061939</c:v>
                </c:pt>
                <c:pt idx="2">
                  <c:v>0.17016328723486351</c:v>
                </c:pt>
                <c:pt idx="3">
                  <c:v>0.17794256941707604</c:v>
                </c:pt>
                <c:pt idx="4">
                  <c:v>0.17815433367220576</c:v>
                </c:pt>
                <c:pt idx="5">
                  <c:v>0.17527557451593692</c:v>
                </c:pt>
                <c:pt idx="6">
                  <c:v>0.17114344071696808</c:v>
                </c:pt>
                <c:pt idx="7">
                  <c:v>0.16657101396200005</c:v>
                </c:pt>
                <c:pt idx="8">
                  <c:v>0.16193481838469112</c:v>
                </c:pt>
                <c:pt idx="9">
                  <c:v>0.15741130234269532</c:v>
                </c:pt>
                <c:pt idx="10">
                  <c:v>0.15308030985810051</c:v>
                </c:pt>
                <c:pt idx="11">
                  <c:v>0.14897343219473713</c:v>
                </c:pt>
                <c:pt idx="12">
                  <c:v>0.14509778373760257</c:v>
                </c:pt>
                <c:pt idx="13">
                  <c:v>0.14144815105814099</c:v>
                </c:pt>
                <c:pt idx="14">
                  <c:v>0.13801337116907045</c:v>
                </c:pt>
              </c:numCache>
            </c:numRef>
          </c:val>
        </c:ser>
        <c:ser>
          <c:idx val="6"/>
          <c:order val="6"/>
          <c:tx>
            <c:strRef>
              <c:f>gamma!$Q$2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gamma!$Q$3:$Q$17</c:f>
              <c:numCache>
                <c:formatCode>General</c:formatCode>
                <c:ptCount val="15"/>
                <c:pt idx="0">
                  <c:v>0.22243394601143221</c:v>
                </c:pt>
                <c:pt idx="1">
                  <c:v>0.25912953576713371</c:v>
                </c:pt>
                <c:pt idx="2">
                  <c:v>0.24973770250721616</c:v>
                </c:pt>
                <c:pt idx="3">
                  <c:v>0.23486757426028418</c:v>
                </c:pt>
                <c:pt idx="4">
                  <c:v>0.22064524471227032</c:v>
                </c:pt>
                <c:pt idx="5">
                  <c:v>0.20806046467550748</c:v>
                </c:pt>
                <c:pt idx="6">
                  <c:v>0.19708978987521469</c:v>
                </c:pt>
                <c:pt idx="7">
                  <c:v>0.18751243523340577</c:v>
                </c:pt>
                <c:pt idx="8">
                  <c:v>0.17909840155461529</c:v>
                </c:pt>
                <c:pt idx="9">
                  <c:v>0.17165009362054354</c:v>
                </c:pt>
                <c:pt idx="10">
                  <c:v>0.16500651699046193</c:v>
                </c:pt>
                <c:pt idx="11">
                  <c:v>0.1590383817696909</c:v>
                </c:pt>
                <c:pt idx="12">
                  <c:v>0.15364190014386642</c:v>
                </c:pt>
                <c:pt idx="13">
                  <c:v>0.14873331265260542</c:v>
                </c:pt>
                <c:pt idx="14">
                  <c:v>0.144244506006551</c:v>
                </c:pt>
              </c:numCache>
            </c:numRef>
          </c:val>
        </c:ser>
        <c:ser>
          <c:idx val="7"/>
          <c:order val="7"/>
          <c:tx>
            <c:strRef>
              <c:f>gamma!$R$2</c:f>
              <c:strCache>
                <c:ptCount val="1"/>
                <c:pt idx="0">
                  <c:v>50,5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gamma!$R$3:$R$17</c:f>
              <c:numCache>
                <c:formatCode>General</c:formatCode>
                <c:ptCount val="15"/>
                <c:pt idx="0">
                  <c:v>0.45353246846919909</c:v>
                </c:pt>
                <c:pt idx="1">
                  <c:v>0.36263322223841854</c:v>
                </c:pt>
                <c:pt idx="2">
                  <c:v>0.30828275793678095</c:v>
                </c:pt>
                <c:pt idx="3">
                  <c:v>0.27229860201119155</c:v>
                </c:pt>
                <c:pt idx="4">
                  <c:v>0.24636060211330107</c:v>
                </c:pt>
                <c:pt idx="5">
                  <c:v>0.2265526461666133</c:v>
                </c:pt>
                <c:pt idx="6">
                  <c:v>0.21079487693864085</c:v>
                </c:pt>
                <c:pt idx="7">
                  <c:v>0.19787378537727632</c:v>
                </c:pt>
                <c:pt idx="8">
                  <c:v>0.18702920826184974</c:v>
                </c:pt>
                <c:pt idx="9">
                  <c:v>0.17775810030164688</c:v>
                </c:pt>
                <c:pt idx="10">
                  <c:v>0.16971276683835249</c:v>
                </c:pt>
                <c:pt idx="11">
                  <c:v>0.16264426301684079</c:v>
                </c:pt>
                <c:pt idx="12">
                  <c:v>0.15636907691531934</c:v>
                </c:pt>
                <c:pt idx="13">
                  <c:v>0.15074857891336796</c:v>
                </c:pt>
                <c:pt idx="14">
                  <c:v>0.14567583855650543</c:v>
                </c:pt>
              </c:numCache>
            </c:numRef>
          </c:val>
        </c:ser>
        <c:ser>
          <c:idx val="8"/>
          <c:order val="8"/>
          <c:tx>
            <c:strRef>
              <c:f>gamma!$S$2</c:f>
              <c:strCache>
                <c:ptCount val="1"/>
                <c:pt idx="0">
                  <c:v>51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gamma!$S$3:$S$17</c:f>
              <c:numCache>
                <c:formatCode>General</c:formatCode>
                <c:ptCount val="15"/>
                <c:pt idx="0">
                  <c:v>0.55823320619327965</c:v>
                </c:pt>
                <c:pt idx="1">
                  <c:v>0.39437055488264261</c:v>
                </c:pt>
                <c:pt idx="2">
                  <c:v>0.32170859546749281</c:v>
                </c:pt>
                <c:pt idx="3">
                  <c:v>0.27835377078355372</c:v>
                </c:pt>
                <c:pt idx="4">
                  <c:v>0.24874016328969689</c:v>
                </c:pt>
                <c:pt idx="5">
                  <c:v>0.22686061480569075</c:v>
                </c:pt>
                <c:pt idx="6">
                  <c:v>0.2098406015322889</c:v>
                </c:pt>
                <c:pt idx="7">
                  <c:v>0.19610892619695247</c:v>
                </c:pt>
                <c:pt idx="8">
                  <c:v>0.18472467583724908</c:v>
                </c:pt>
                <c:pt idx="9">
                  <c:v>0.17508541926155702</c:v>
                </c:pt>
                <c:pt idx="10">
                  <c:v>0.16678517713828306</c:v>
                </c:pt>
                <c:pt idx="11">
                  <c:v>0.15953904305300046</c:v>
                </c:pt>
                <c:pt idx="12">
                  <c:v>0.15314038770161997</c:v>
                </c:pt>
                <c:pt idx="13">
                  <c:v>0.14743521016831676</c:v>
                </c:pt>
                <c:pt idx="14">
                  <c:v>0.14230606641281215</c:v>
                </c:pt>
              </c:numCache>
            </c:numRef>
          </c:val>
        </c:ser>
        <c:ser>
          <c:idx val="9"/>
          <c:order val="9"/>
          <c:tx>
            <c:strRef>
              <c:f>gamma!$T$2</c:f>
              <c:strCache>
                <c:ptCount val="1"/>
                <c:pt idx="0">
                  <c:v>51,5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gamma!$T$3:$T$17</c:f>
              <c:numCache>
                <c:formatCode>General</c:formatCode>
                <c:ptCount val="15"/>
                <c:pt idx="0">
                  <c:v>0.42091911808416732</c:v>
                </c:pt>
                <c:pt idx="1">
                  <c:v>0.33574826729915963</c:v>
                </c:pt>
                <c:pt idx="2">
                  <c:v>0.28519860769910127</c:v>
                </c:pt>
                <c:pt idx="3">
                  <c:v>0.25180802356367993</c:v>
                </c:pt>
                <c:pt idx="4">
                  <c:v>0.22776710498016442</c:v>
                </c:pt>
                <c:pt idx="5">
                  <c:v>0.20942054185060593</c:v>
                </c:pt>
                <c:pt idx="6">
                  <c:v>0.19483208295337684</c:v>
                </c:pt>
                <c:pt idx="7">
                  <c:v>0.18287376043322351</c:v>
                </c:pt>
                <c:pt idx="8">
                  <c:v>0.17283972498866332</c:v>
                </c:pt>
                <c:pt idx="9">
                  <c:v>0.16426321921486298</c:v>
                </c:pt>
                <c:pt idx="10">
                  <c:v>0.15682180930409659</c:v>
                </c:pt>
                <c:pt idx="11">
                  <c:v>0.15028473708296605</c:v>
                </c:pt>
                <c:pt idx="12">
                  <c:v>0.1444819564241889</c:v>
                </c:pt>
                <c:pt idx="13">
                  <c:v>0.13928504690179913</c:v>
                </c:pt>
                <c:pt idx="14">
                  <c:v>0.13459497653394625</c:v>
                </c:pt>
              </c:numCache>
            </c:numRef>
          </c:val>
        </c:ser>
        <c:ser>
          <c:idx val="10"/>
          <c:order val="10"/>
          <c:tx>
            <c:strRef>
              <c:f>gamma!$U$2</c:f>
              <c:strCache>
                <c:ptCount val="1"/>
                <c:pt idx="0">
                  <c:v>52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gamma!$U$3:$U$17</c:f>
              <c:numCache>
                <c:formatCode>General</c:formatCode>
                <c:ptCount val="15"/>
                <c:pt idx="0">
                  <c:v>0.19720045297884956</c:v>
                </c:pt>
                <c:pt idx="1">
                  <c:v>0.22535600513976248</c:v>
                </c:pt>
                <c:pt idx="2">
                  <c:v>0.21580000773852745</c:v>
                </c:pt>
                <c:pt idx="3">
                  <c:v>0.2023009717873033</c:v>
                </c:pt>
                <c:pt idx="4">
                  <c:v>0.18968544875767843</c:v>
                </c:pt>
                <c:pt idx="5">
                  <c:v>0.17863725371095068</c:v>
                </c:pt>
                <c:pt idx="6">
                  <c:v>0.1690630721880319</c:v>
                </c:pt>
                <c:pt idx="7">
                  <c:v>0.16073717262981416</c:v>
                </c:pt>
                <c:pt idx="8">
                  <c:v>0.15344257841770481</c:v>
                </c:pt>
                <c:pt idx="9">
                  <c:v>0.14699838527690423</c:v>
                </c:pt>
                <c:pt idx="10">
                  <c:v>0.14125951619879615</c:v>
                </c:pt>
                <c:pt idx="11">
                  <c:v>0.13611060995962812</c:v>
                </c:pt>
                <c:pt idx="12">
                  <c:v>0.13145968617118139</c:v>
                </c:pt>
                <c:pt idx="13">
                  <c:v>0.12723288162019192</c:v>
                </c:pt>
                <c:pt idx="14">
                  <c:v>0.12337035811402605</c:v>
                </c:pt>
              </c:numCache>
            </c:numRef>
          </c:val>
        </c:ser>
        <c:ser>
          <c:idx val="11"/>
          <c:order val="11"/>
          <c:tx>
            <c:strRef>
              <c:f>gamma!$V$2</c:f>
              <c:strCache>
                <c:ptCount val="1"/>
                <c:pt idx="0">
                  <c:v>52,5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gamma!$V$3:$V$17</c:f>
              <c:numCache>
                <c:formatCode>General</c:formatCode>
                <c:ptCount val="15"/>
                <c:pt idx="0">
                  <c:v>5.8194053641398034E-2</c:v>
                </c:pt>
                <c:pt idx="1">
                  <c:v>0.12007056309482024</c:v>
                </c:pt>
                <c:pt idx="2">
                  <c:v>0.14000743674968094</c:v>
                </c:pt>
                <c:pt idx="3">
                  <c:v>0.14483173591665502</c:v>
                </c:pt>
                <c:pt idx="4">
                  <c:v>0.14406532206146586</c:v>
                </c:pt>
                <c:pt idx="5">
                  <c:v>0.14112498829023487</c:v>
                </c:pt>
                <c:pt idx="6">
                  <c:v>0.13737241495130278</c:v>
                </c:pt>
                <c:pt idx="7">
                  <c:v>0.13339245619578766</c:v>
                </c:pt>
                <c:pt idx="8">
                  <c:v>0.12944596536766498</c:v>
                </c:pt>
                <c:pt idx="9">
                  <c:v>0.12564851041697303</c:v>
                </c:pt>
                <c:pt idx="10">
                  <c:v>0.12204721940185111</c:v>
                </c:pt>
                <c:pt idx="11">
                  <c:v>0.11865607655937425</c:v>
                </c:pt>
                <c:pt idx="12">
                  <c:v>0.11547295942570224</c:v>
                </c:pt>
                <c:pt idx="13">
                  <c:v>0.11248815991543865</c:v>
                </c:pt>
                <c:pt idx="14">
                  <c:v>0.10968874128838357</c:v>
                </c:pt>
              </c:numCache>
            </c:numRef>
          </c:val>
        </c:ser>
        <c:ser>
          <c:idx val="12"/>
          <c:order val="12"/>
          <c:tx>
            <c:strRef>
              <c:f>gamma!$W$2</c:f>
              <c:strCache>
                <c:ptCount val="1"/>
                <c:pt idx="0">
                  <c:v>53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gamma!$W$3:$W$17</c:f>
              <c:numCache>
                <c:formatCode>General</c:formatCode>
                <c:ptCount val="15"/>
                <c:pt idx="0">
                  <c:v>1.0960738131519005E-2</c:v>
                </c:pt>
                <c:pt idx="1">
                  <c:v>5.1118605331856068E-2</c:v>
                </c:pt>
                <c:pt idx="2">
                  <c:v>7.8226513200497561E-2</c:v>
                </c:pt>
                <c:pt idx="3">
                  <c:v>9.2703645713376456E-2</c:v>
                </c:pt>
                <c:pt idx="4">
                  <c:v>0.1000485175376649</c:v>
                </c:pt>
                <c:pt idx="5">
                  <c:v>0.10348257005530079</c:v>
                </c:pt>
                <c:pt idx="6">
                  <c:v>0.10471974944690202</c:v>
                </c:pt>
                <c:pt idx="7">
                  <c:v>0.10469107551918268</c:v>
                </c:pt>
                <c:pt idx="8">
                  <c:v>0.10392146943531955</c:v>
                </c:pt>
                <c:pt idx="9">
                  <c:v>0.10271758478714754</c:v>
                </c:pt>
                <c:pt idx="10">
                  <c:v>0.10126398254231635</c:v>
                </c:pt>
                <c:pt idx="11">
                  <c:v>9.9674365743868232E-2</c:v>
                </c:pt>
                <c:pt idx="12">
                  <c:v>9.8019972993556595E-2</c:v>
                </c:pt>
                <c:pt idx="13">
                  <c:v>9.6345890799044265E-2</c:v>
                </c:pt>
                <c:pt idx="14">
                  <c:v>9.4680728652854262E-2</c:v>
                </c:pt>
              </c:numCache>
            </c:numRef>
          </c:val>
        </c:ser>
        <c:ser>
          <c:idx val="13"/>
          <c:order val="13"/>
          <c:tx>
            <c:strRef>
              <c:f>gamma!$X$2</c:f>
              <c:strCache>
                <c:ptCount val="1"/>
                <c:pt idx="0">
                  <c:v>53,5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gamma!$X$3:$X$17</c:f>
              <c:numCache>
                <c:formatCode>General</c:formatCode>
                <c:ptCount val="15"/>
                <c:pt idx="0">
                  <c:v>1.3345141670802953E-3</c:v>
                </c:pt>
                <c:pt idx="1">
                  <c:v>1.750091826727538E-2</c:v>
                </c:pt>
                <c:pt idx="2">
                  <c:v>3.7800884682611224E-2</c:v>
                </c:pt>
                <c:pt idx="3">
                  <c:v>5.322036890617296E-2</c:v>
                </c:pt>
                <c:pt idx="4">
                  <c:v>6.3692980204822766E-2</c:v>
                </c:pt>
                <c:pt idx="5">
                  <c:v>7.0579950358381133E-2</c:v>
                </c:pt>
                <c:pt idx="6">
                  <c:v>7.5028042473412285E-2</c:v>
                </c:pt>
                <c:pt idx="7">
                  <c:v>7.7828801307960979E-2</c:v>
                </c:pt>
                <c:pt idx="8">
                  <c:v>7.9507507420341697E-2</c:v>
                </c:pt>
                <c:pt idx="9">
                  <c:v>8.0412840259516463E-2</c:v>
                </c:pt>
                <c:pt idx="10">
                  <c:v>8.0779138019303864E-2</c:v>
                </c:pt>
                <c:pt idx="11">
                  <c:v>8.0766395031257848E-2</c:v>
                </c:pt>
                <c:pt idx="12">
                  <c:v>8.048560018098172E-2</c:v>
                </c:pt>
                <c:pt idx="13">
                  <c:v>8.001489761480432E-2</c:v>
                </c:pt>
                <c:pt idx="14">
                  <c:v>7.9410041805456924E-2</c:v>
                </c:pt>
              </c:numCache>
            </c:numRef>
          </c:val>
        </c:ser>
        <c:ser>
          <c:idx val="14"/>
          <c:order val="14"/>
          <c:tx>
            <c:strRef>
              <c:f>gamma!$Y$2</c:f>
              <c:strCache>
                <c:ptCount val="1"/>
                <c:pt idx="0">
                  <c:v>54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gamma!$Y$3:$Y$17</c:f>
              <c:numCache>
                <c:formatCode>General</c:formatCode>
                <c:ptCount val="15"/>
                <c:pt idx="0">
                  <c:v>1.0633383484244961E-4</c:v>
                </c:pt>
                <c:pt idx="1">
                  <c:v>4.8478811516852651E-3</c:v>
                </c:pt>
                <c:pt idx="2">
                  <c:v>1.5862587780581229E-2</c:v>
                </c:pt>
                <c:pt idx="3">
                  <c:v>2.748782822734306E-2</c:v>
                </c:pt>
                <c:pt idx="4">
                  <c:v>3.7262192203925779E-2</c:v>
                </c:pt>
                <c:pt idx="5">
                  <c:v>4.4867758071180402E-2</c:v>
                </c:pt>
                <c:pt idx="6">
                  <c:v>5.0611049496523279E-2</c:v>
                </c:pt>
                <c:pt idx="7">
                  <c:v>5.4889414622272731E-2</c:v>
                </c:pt>
                <c:pt idx="8">
                  <c:v>5.804811768630555E-2</c:v>
                </c:pt>
                <c:pt idx="9">
                  <c:v>6.0357438650866208E-2</c:v>
                </c:pt>
                <c:pt idx="10">
                  <c:v>6.202168698408498E-2</c:v>
                </c:pt>
                <c:pt idx="11">
                  <c:v>6.3193759494424684E-2</c:v>
                </c:pt>
                <c:pt idx="12">
                  <c:v>6.3988128730250143E-2</c:v>
                </c:pt>
                <c:pt idx="13">
                  <c:v>6.4490939146716039E-2</c:v>
                </c:pt>
                <c:pt idx="14">
                  <c:v>6.4767482062730281E-2</c:v>
                </c:pt>
              </c:numCache>
            </c:numRef>
          </c:val>
        </c:ser>
        <c:ser>
          <c:idx val="15"/>
          <c:order val="15"/>
          <c:tx>
            <c:strRef>
              <c:f>gamma!$Z$2</c:f>
              <c:strCache>
                <c:ptCount val="1"/>
                <c:pt idx="0">
                  <c:v>54,5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gamma!$Z$3:$Z$17</c:f>
              <c:numCache>
                <c:formatCode>General</c:formatCode>
                <c:ptCount val="15"/>
                <c:pt idx="0">
                  <c:v>5.6110778654066317E-6</c:v>
                </c:pt>
                <c:pt idx="1">
                  <c:v>1.093029234995642E-3</c:v>
                </c:pt>
                <c:pt idx="2">
                  <c:v>5.8034847885288423E-3</c:v>
                </c:pt>
                <c:pt idx="3">
                  <c:v>1.2810696412663752E-2</c:v>
                </c:pt>
                <c:pt idx="4">
                  <c:v>2.008034695102388E-2</c:v>
                </c:pt>
                <c:pt idx="5">
                  <c:v>2.6636930637601784E-2</c:v>
                </c:pt>
                <c:pt idx="6">
                  <c:v>3.2197987294775944E-2</c:v>
                </c:pt>
                <c:pt idx="7">
                  <c:v>3.6778766456857764E-2</c:v>
                </c:pt>
                <c:pt idx="8">
                  <c:v>4.0496387606241073E-2</c:v>
                </c:pt>
                <c:pt idx="9">
                  <c:v>4.3488518323464953E-2</c:v>
                </c:pt>
                <c:pt idx="10">
                  <c:v>4.5883310831809299E-2</c:v>
                </c:pt>
                <c:pt idx="11">
                  <c:v>4.7790492097795456E-2</c:v>
                </c:pt>
                <c:pt idx="12">
                  <c:v>4.9300654037351226E-2</c:v>
                </c:pt>
                <c:pt idx="13">
                  <c:v>5.0487375643001271E-2</c:v>
                </c:pt>
                <c:pt idx="14">
                  <c:v>5.1410025918422357E-2</c:v>
                </c:pt>
              </c:numCache>
            </c:numRef>
          </c:val>
        </c:ser>
        <c:ser>
          <c:idx val="16"/>
          <c:order val="16"/>
          <c:tx>
            <c:strRef>
              <c:f>gamma!$AA$2</c:f>
              <c:strCache>
                <c:ptCount val="1"/>
                <c:pt idx="0">
                  <c:v>55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gamma!$AA$3:$AA$17</c:f>
              <c:numCache>
                <c:formatCode>General</c:formatCode>
                <c:ptCount val="15"/>
                <c:pt idx="0">
                  <c:v>1.983516062513642E-7</c:v>
                </c:pt>
                <c:pt idx="1">
                  <c:v>2.0174042830587631E-4</c:v>
                </c:pt>
                <c:pt idx="2">
                  <c:v>1.858263324826978E-3</c:v>
                </c:pt>
                <c:pt idx="3">
                  <c:v>5.4028108949706602E-3</c:v>
                </c:pt>
                <c:pt idx="4">
                  <c:v>9.9906883849637078E-3</c:v>
                </c:pt>
                <c:pt idx="5">
                  <c:v>1.4796528320704161E-2</c:v>
                </c:pt>
                <c:pt idx="6">
                  <c:v>1.9350134183154764E-2</c:v>
                </c:pt>
                <c:pt idx="7">
                  <c:v>2.3446991186994979E-2</c:v>
                </c:pt>
                <c:pt idx="8">
                  <c:v>2.702989442754394E-2</c:v>
                </c:pt>
                <c:pt idx="9">
                  <c:v>3.0112940018202052E-2</c:v>
                </c:pt>
                <c:pt idx="10">
                  <c:v>3.2740378135524953E-2</c:v>
                </c:pt>
                <c:pt idx="11">
                  <c:v>3.496598562907454E-2</c:v>
                </c:pt>
                <c:pt idx="12">
                  <c:v>3.6843353650292503E-2</c:v>
                </c:pt>
                <c:pt idx="13">
                  <c:v>3.8421726120849417E-2</c:v>
                </c:pt>
                <c:pt idx="14">
                  <c:v>3.9744571545581892E-2</c:v>
                </c:pt>
              </c:numCache>
            </c:numRef>
          </c:val>
        </c:ser>
        <c:ser>
          <c:idx val="17"/>
          <c:order val="17"/>
          <c:tx>
            <c:strRef>
              <c:f>gamma!$AB$2</c:f>
              <c:strCache>
                <c:ptCount val="1"/>
                <c:pt idx="0">
                  <c:v>55,5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gamma!$J$3:$J$17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gamma!$AB$3:$AB$17</c:f>
              <c:numCache>
                <c:formatCode>General</c:formatCode>
                <c:ptCount val="15"/>
                <c:pt idx="0">
                  <c:v>4.7496480598430132E-9</c:v>
                </c:pt>
                <c:pt idx="1">
                  <c:v>3.065102081316116E-5</c:v>
                </c:pt>
                <c:pt idx="2">
                  <c:v>5.2267856736264216E-4</c:v>
                </c:pt>
                <c:pt idx="3">
                  <c:v>2.0676875813152844E-3</c:v>
                </c:pt>
                <c:pt idx="4">
                  <c:v>4.5994213334855042E-3</c:v>
                </c:pt>
                <c:pt idx="5">
                  <c:v>7.7048235640325832E-3</c:v>
                </c:pt>
                <c:pt idx="6">
                  <c:v>1.1002658291439539E-2</c:v>
                </c:pt>
                <c:pt idx="7">
                  <c:v>1.4241602061019517E-2</c:v>
                </c:pt>
                <c:pt idx="8">
                  <c:v>1.7282465361717885E-2</c:v>
                </c:pt>
                <c:pt idx="9">
                  <c:v>2.0060705402199515E-2</c:v>
                </c:pt>
                <c:pt idx="10">
                  <c:v>2.2556218927990718E-2</c:v>
                </c:pt>
                <c:pt idx="11">
                  <c:v>2.4773442445106725E-2</c:v>
                </c:pt>
                <c:pt idx="12">
                  <c:v>2.6729279710961094E-2</c:v>
                </c:pt>
                <c:pt idx="13">
                  <c:v>2.8446107323995905E-2</c:v>
                </c:pt>
                <c:pt idx="14">
                  <c:v>2.9947870541115917E-2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394870752"/>
        <c:axId val="-1394875104"/>
        <c:axId val="-1099050544"/>
      </c:surface3DChart>
      <c:catAx>
        <c:axId val="-13948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4875104"/>
        <c:crosses val="autoZero"/>
        <c:auto val="1"/>
        <c:lblAlgn val="ctr"/>
        <c:lblOffset val="100"/>
        <c:noMultiLvlLbl val="0"/>
      </c:catAx>
      <c:valAx>
        <c:axId val="-1394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4870752"/>
        <c:crosses val="autoZero"/>
        <c:crossBetween val="midCat"/>
      </c:valAx>
      <c:serAx>
        <c:axId val="-1099050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48751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742548622428009E-2"/>
          <c:y val="8.2510997745000189E-2"/>
          <c:w val="0.86824837417566514"/>
          <c:h val="0.82076958092415575"/>
        </c:manualLayout>
      </c:layout>
      <c:scatterChart>
        <c:scatterStyle val="smoothMarker"/>
        <c:varyColors val="0"/>
        <c:ser>
          <c:idx val="0"/>
          <c:order val="0"/>
          <c:tx>
            <c:v>47  OTM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gamma!$J$3:$J$55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gamma!$K$3:$K$55</c:f>
              <c:numCache>
                <c:formatCode>General</c:formatCode>
                <c:ptCount val="53"/>
                <c:pt idx="0">
                  <c:v>3.1580579934428601E-8</c:v>
                </c:pt>
                <c:pt idx="1">
                  <c:v>1.1067671007985784E-4</c:v>
                </c:pt>
                <c:pt idx="2">
                  <c:v>1.5397972248638672E-3</c:v>
                </c:pt>
                <c:pt idx="3">
                  <c:v>5.50202464181445E-3</c:v>
                </c:pt>
                <c:pt idx="4">
                  <c:v>1.1513995881903537E-2</c:v>
                </c:pt>
                <c:pt idx="5">
                  <c:v>1.8518639656868334E-2</c:v>
                </c:pt>
                <c:pt idx="6">
                  <c:v>2.5687269547573926E-2</c:v>
                </c:pt>
                <c:pt idx="7">
                  <c:v>3.2531913972453926E-2</c:v>
                </c:pt>
                <c:pt idx="8">
                  <c:v>3.8814255377753973E-2</c:v>
                </c:pt>
                <c:pt idx="9">
                  <c:v>4.4446708028749705E-2</c:v>
                </c:pt>
                <c:pt idx="10">
                  <c:v>4.94241079855927E-2</c:v>
                </c:pt>
                <c:pt idx="11">
                  <c:v>5.3782565316967228E-2</c:v>
                </c:pt>
                <c:pt idx="12">
                  <c:v>5.7576211458643847E-2</c:v>
                </c:pt>
                <c:pt idx="13">
                  <c:v>6.086462713716282E-2</c:v>
                </c:pt>
                <c:pt idx="14">
                  <c:v>6.3706369410826108E-2</c:v>
                </c:pt>
                <c:pt idx="15">
                  <c:v>6.6155892702358582E-2</c:v>
                </c:pt>
                <c:pt idx="16">
                  <c:v>6.8262316097037146E-2</c:v>
                </c:pt>
                <c:pt idx="17">
                  <c:v>7.006916536632149E-2</c:v>
                </c:pt>
                <c:pt idx="18">
                  <c:v>7.1614604360954931E-2</c:v>
                </c:pt>
                <c:pt idx="19">
                  <c:v>7.2931888837385786E-2</c:v>
                </c:pt>
                <c:pt idx="20">
                  <c:v>7.4049898720251486E-2</c:v>
                </c:pt>
                <c:pt idx="21">
                  <c:v>7.4993673702347538E-2</c:v>
                </c:pt>
                <c:pt idx="22">
                  <c:v>7.5784915428434116E-2</c:v>
                </c:pt>
                <c:pt idx="23">
                  <c:v>7.6442440576788201E-2</c:v>
                </c:pt>
                <c:pt idx="24">
                  <c:v>7.698258045821936E-2</c:v>
                </c:pt>
                <c:pt idx="25">
                  <c:v>7.7419528562957807E-2</c:v>
                </c:pt>
                <c:pt idx="26">
                  <c:v>7.7765640229826793E-2</c:v>
                </c:pt>
                <c:pt idx="27">
                  <c:v>7.8031689673139532E-2</c:v>
                </c:pt>
                <c:pt idx="28">
                  <c:v>7.8227089767972421E-2</c:v>
                </c:pt>
                <c:pt idx="29">
                  <c:v>7.8360079709086941E-2</c:v>
                </c:pt>
                <c:pt idx="30">
                  <c:v>7.8437885171595806E-2</c:v>
                </c:pt>
                <c:pt idx="31">
                  <c:v>7.8466855048466497E-2</c:v>
                </c:pt>
                <c:pt idx="32">
                  <c:v>7.8452578292545705E-2</c:v>
                </c:pt>
                <c:pt idx="33">
                  <c:v>7.839998388377227E-2</c:v>
                </c:pt>
                <c:pt idx="34">
                  <c:v>7.8313426489995758E-2</c:v>
                </c:pt>
                <c:pt idx="35">
                  <c:v>7.8196759995625309E-2</c:v>
                </c:pt>
                <c:pt idx="36">
                  <c:v>7.8053400733797629E-2</c:v>
                </c:pt>
                <c:pt idx="37">
                  <c:v>7.7886381969809987E-2</c:v>
                </c:pt>
                <c:pt idx="38">
                  <c:v>7.7698400940201084E-2</c:v>
                </c:pt>
                <c:pt idx="39">
                  <c:v>7.7491859547003938E-2</c:v>
                </c:pt>
                <c:pt idx="40">
                  <c:v>7.7268899634669319E-2</c:v>
                </c:pt>
                <c:pt idx="41">
                  <c:v>7.7031433632889973E-2</c:v>
                </c:pt>
                <c:pt idx="42">
                  <c:v>7.6781171227617351E-2</c:v>
                </c:pt>
                <c:pt idx="43">
                  <c:v>7.6519642621165937E-2</c:v>
                </c:pt>
                <c:pt idx="44">
                  <c:v>7.6248218857229391E-2</c:v>
                </c:pt>
                <c:pt idx="45">
                  <c:v>7.5968129615191338E-2</c:v>
                </c:pt>
                <c:pt idx="46">
                  <c:v>7.5680478818038938E-2</c:v>
                </c:pt>
                <c:pt idx="47">
                  <c:v>7.538625834760028E-2</c:v>
                </c:pt>
                <c:pt idx="48">
                  <c:v>7.5086360118159501E-2</c:v>
                </c:pt>
                <c:pt idx="49">
                  <c:v>7.4781586723451768E-2</c:v>
                </c:pt>
                <c:pt idx="50">
                  <c:v>7.4472660841530522E-2</c:v>
                </c:pt>
                <c:pt idx="51">
                  <c:v>7.41602335561235E-2</c:v>
                </c:pt>
                <c:pt idx="52">
                  <c:v>7.3844891731114429E-2</c:v>
                </c:pt>
              </c:numCache>
            </c:numRef>
          </c:yVal>
          <c:smooth val="1"/>
        </c:ser>
        <c:ser>
          <c:idx val="1"/>
          <c:order val="1"/>
          <c:tx>
            <c:v>51 ATM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gamma!$J$3:$J$55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gamma!$S$3:$S$55</c:f>
              <c:numCache>
                <c:formatCode>General</c:formatCode>
                <c:ptCount val="53"/>
                <c:pt idx="0">
                  <c:v>0.55823320619327965</c:v>
                </c:pt>
                <c:pt idx="1">
                  <c:v>0.39437055488264261</c:v>
                </c:pt>
                <c:pt idx="2">
                  <c:v>0.32170859546749281</c:v>
                </c:pt>
                <c:pt idx="3">
                  <c:v>0.27835377078355372</c:v>
                </c:pt>
                <c:pt idx="4">
                  <c:v>0.24874016328969689</c:v>
                </c:pt>
                <c:pt idx="5">
                  <c:v>0.22686061480569075</c:v>
                </c:pt>
                <c:pt idx="6">
                  <c:v>0.2098406015322889</c:v>
                </c:pt>
                <c:pt idx="7">
                  <c:v>0.19610892619695247</c:v>
                </c:pt>
                <c:pt idx="8">
                  <c:v>0.18472467583724908</c:v>
                </c:pt>
                <c:pt idx="9">
                  <c:v>0.17508541926155702</c:v>
                </c:pt>
                <c:pt idx="10">
                  <c:v>0.16678517713828306</c:v>
                </c:pt>
                <c:pt idx="11">
                  <c:v>0.15953904305300046</c:v>
                </c:pt>
                <c:pt idx="12">
                  <c:v>0.15314038770161997</c:v>
                </c:pt>
                <c:pt idx="13">
                  <c:v>0.14743521016831676</c:v>
                </c:pt>
                <c:pt idx="14">
                  <c:v>0.14230606641281215</c:v>
                </c:pt>
                <c:pt idx="15">
                  <c:v>0.13766161650919523</c:v>
                </c:pt>
                <c:pt idx="16">
                  <c:v>0.13342960743655952</c:v>
                </c:pt>
                <c:pt idx="17">
                  <c:v>0.12955203195937354</c:v>
                </c:pt>
                <c:pt idx="18">
                  <c:v>0.12598170851508508</c:v>
                </c:pt>
                <c:pt idx="19">
                  <c:v>0.12267981406095391</c:v>
                </c:pt>
                <c:pt idx="20">
                  <c:v>0.11961407115759418</c:v>
                </c:pt>
                <c:pt idx="21">
                  <c:v>0.11675739365516324</c:v>
                </c:pt>
                <c:pt idx="22">
                  <c:v>0.11408685988712435</c:v>
                </c:pt>
                <c:pt idx="23">
                  <c:v>0.11158292369982871</c:v>
                </c:pt>
                <c:pt idx="24">
                  <c:v>0.1092288008337052</c:v>
                </c:pt>
                <c:pt idx="25">
                  <c:v>0.10700998637947966</c:v>
                </c:pt>
                <c:pt idx="26">
                  <c:v>0.10491387145179122</c:v>
                </c:pt>
                <c:pt idx="27">
                  <c:v>0.10292943583571135</c:v>
                </c:pt>
                <c:pt idx="28">
                  <c:v>0.10104699942724578</c:v>
                </c:pt>
                <c:pt idx="29">
                  <c:v>9.9258019620805313E-2</c:v>
                </c:pt>
                <c:pt idx="30">
                  <c:v>9.7554924930706791E-2</c:v>
                </c:pt>
                <c:pt idx="31">
                  <c:v>9.593097742855386E-2</c:v>
                </c:pt>
                <c:pt idx="32">
                  <c:v>9.4380158277392462E-2</c:v>
                </c:pt>
                <c:pt idx="33">
                  <c:v>9.2897071914579646E-2</c:v>
                </c:pt>
                <c:pt idx="34">
                  <c:v>9.1476865395387616E-2</c:v>
                </c:pt>
                <c:pt idx="35">
                  <c:v>9.0115160141140932E-2</c:v>
                </c:pt>
                <c:pt idx="36">
                  <c:v>8.8807993898184431E-2</c:v>
                </c:pt>
                <c:pt idx="37">
                  <c:v>8.7551771149811011E-2</c:v>
                </c:pt>
                <c:pt idx="38">
                  <c:v>8.634322056349919E-2</c:v>
                </c:pt>
                <c:pt idx="39">
                  <c:v>8.5179358323278123E-2</c:v>
                </c:pt>
                <c:pt idx="40">
                  <c:v>8.4057456408709139E-2</c:v>
                </c:pt>
                <c:pt idx="41">
                  <c:v>8.2975015050552825E-2</c:v>
                </c:pt>
                <c:pt idx="42">
                  <c:v>8.192973872824845E-2</c:v>
                </c:pt>
                <c:pt idx="43">
                  <c:v>8.0919515183153809E-2</c:v>
                </c:pt>
                <c:pt idx="44">
                  <c:v>7.9942397009644409E-2</c:v>
                </c:pt>
                <c:pt idx="45">
                  <c:v>7.8996585457944926E-2</c:v>
                </c:pt>
                <c:pt idx="46">
                  <c:v>7.8080416141292186E-2</c:v>
                </c:pt>
                <c:pt idx="47">
                  <c:v>7.7192346388300651E-2</c:v>
                </c:pt>
                <c:pt idx="48">
                  <c:v>7.6330944021259187E-2</c:v>
                </c:pt>
                <c:pt idx="49">
                  <c:v>7.549487737413503E-2</c:v>
                </c:pt>
                <c:pt idx="50">
                  <c:v>7.4682906391575016E-2</c:v>
                </c:pt>
                <c:pt idx="51">
                  <c:v>7.3893874673188989E-2</c:v>
                </c:pt>
                <c:pt idx="52">
                  <c:v>7.3126702346690789E-2</c:v>
                </c:pt>
              </c:numCache>
            </c:numRef>
          </c:yVal>
          <c:smooth val="1"/>
        </c:ser>
        <c:ser>
          <c:idx val="2"/>
          <c:order val="2"/>
          <c:tx>
            <c:v>54  ITM</c:v>
          </c:tx>
          <c:spPr>
            <a:ln w="28575" cap="rnd">
              <a:solidFill>
                <a:srgbClr val="42AC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AC81"/>
              </a:solidFill>
              <a:ln w="6350">
                <a:solidFill>
                  <a:srgbClr val="42AC81"/>
                </a:solidFill>
              </a:ln>
              <a:effectLst/>
            </c:spPr>
          </c:marker>
          <c:xVal>
            <c:numRef>
              <c:f>gamma!$J$3:$J$55</c:f>
              <c:numCache>
                <c:formatCode>General</c:formatCode>
                <c:ptCount val="5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</c:numCache>
            </c:numRef>
          </c:xVal>
          <c:yVal>
            <c:numRef>
              <c:f>gamma!$Y$3:$Y$55</c:f>
              <c:numCache>
                <c:formatCode>General</c:formatCode>
                <c:ptCount val="53"/>
                <c:pt idx="0">
                  <c:v>1.0633383484244961E-4</c:v>
                </c:pt>
                <c:pt idx="1">
                  <c:v>4.8478811516852651E-3</c:v>
                </c:pt>
                <c:pt idx="2">
                  <c:v>1.5862587780581229E-2</c:v>
                </c:pt>
                <c:pt idx="3">
                  <c:v>2.748782822734306E-2</c:v>
                </c:pt>
                <c:pt idx="4">
                  <c:v>3.7262192203925779E-2</c:v>
                </c:pt>
                <c:pt idx="5">
                  <c:v>4.4867758071180402E-2</c:v>
                </c:pt>
                <c:pt idx="6">
                  <c:v>5.0611049496523279E-2</c:v>
                </c:pt>
                <c:pt idx="7">
                  <c:v>5.4889414622272731E-2</c:v>
                </c:pt>
                <c:pt idx="8">
                  <c:v>5.804811768630555E-2</c:v>
                </c:pt>
                <c:pt idx="9">
                  <c:v>6.0357438650866208E-2</c:v>
                </c:pt>
                <c:pt idx="10">
                  <c:v>6.202168698408498E-2</c:v>
                </c:pt>
                <c:pt idx="11">
                  <c:v>6.3193759494424684E-2</c:v>
                </c:pt>
                <c:pt idx="12">
                  <c:v>6.3988128730250143E-2</c:v>
                </c:pt>
                <c:pt idx="13">
                  <c:v>6.4490939146716039E-2</c:v>
                </c:pt>
                <c:pt idx="14">
                  <c:v>6.4767482062730281E-2</c:v>
                </c:pt>
                <c:pt idx="15">
                  <c:v>6.4867634594313037E-2</c:v>
                </c:pt>
                <c:pt idx="16">
                  <c:v>6.4829802210704446E-2</c:v>
                </c:pt>
                <c:pt idx="17">
                  <c:v>6.4683784438619871E-2</c:v>
                </c:pt>
                <c:pt idx="18">
                  <c:v>6.4452870329691936E-2</c:v>
                </c:pt>
                <c:pt idx="19">
                  <c:v>6.4155382336015143E-2</c:v>
                </c:pt>
                <c:pt idx="20">
                  <c:v>6.3805823207498419E-2</c:v>
                </c:pt>
                <c:pt idx="21">
                  <c:v>6.3415735207319163E-2</c:v>
                </c:pt>
                <c:pt idx="22">
                  <c:v>6.2994349206790284E-2</c:v>
                </c:pt>
                <c:pt idx="23">
                  <c:v>6.2549079039455863E-2</c:v>
                </c:pt>
                <c:pt idx="24">
                  <c:v>6.2085900947331178E-2</c:v>
                </c:pt>
                <c:pt idx="25">
                  <c:v>6.1609646997200042E-2</c:v>
                </c:pt>
                <c:pt idx="26">
                  <c:v>6.112423357328059E-2</c:v>
                </c:pt>
                <c:pt idx="27">
                  <c:v>6.0632840497875908E-2</c:v>
                </c:pt>
                <c:pt idx="28">
                  <c:v>6.0138052330267366E-2</c:v>
                </c:pt>
                <c:pt idx="29">
                  <c:v>5.9641970488799698E-2</c:v>
                </c:pt>
                <c:pt idx="30">
                  <c:v>5.9146302714999037E-2</c:v>
                </c:pt>
                <c:pt idx="31">
                  <c:v>5.8652434830663777E-2</c:v>
                </c:pt>
                <c:pt idx="32">
                  <c:v>5.8161488573942127E-2</c:v>
                </c:pt>
                <c:pt idx="33">
                  <c:v>5.7674368428616091E-2</c:v>
                </c:pt>
                <c:pt idx="34">
                  <c:v>5.7191799703830759E-2</c:v>
                </c:pt>
                <c:pt idx="35">
                  <c:v>5.6714359623090918E-2</c:v>
                </c:pt>
                <c:pt idx="36">
                  <c:v>5.6242502800793251E-2</c:v>
                </c:pt>
                <c:pt idx="37">
                  <c:v>5.5776582192210211E-2</c:v>
                </c:pt>
                <c:pt idx="38">
                  <c:v>5.5316866376925518E-2</c:v>
                </c:pt>
                <c:pt idx="39">
                  <c:v>5.4863553860158593E-2</c:v>
                </c:pt>
                <c:pt idx="40">
                  <c:v>5.4416784939247967E-2</c:v>
                </c:pt>
                <c:pt idx="41">
                  <c:v>5.3976651574841626E-2</c:v>
                </c:pt>
                <c:pt idx="42">
                  <c:v>5.3543205621326598E-2</c:v>
                </c:pt>
                <c:pt idx="43">
                  <c:v>5.3116465703619116E-2</c:v>
                </c:pt>
                <c:pt idx="44">
                  <c:v>5.2696422973741476E-2</c:v>
                </c:pt>
                <c:pt idx="45">
                  <c:v>5.2283045937659693E-2</c:v>
                </c:pt>
                <c:pt idx="46">
                  <c:v>5.1876284508351203E-2</c:v>
                </c:pt>
                <c:pt idx="47">
                  <c:v>5.1476073413248342E-2</c:v>
                </c:pt>
                <c:pt idx="48">
                  <c:v>5.1082335061676989E-2</c:v>
                </c:pt>
                <c:pt idx="49">
                  <c:v>5.0694981959609905E-2</c:v>
                </c:pt>
                <c:pt idx="50">
                  <c:v>5.031391874413349E-2</c:v>
                </c:pt>
                <c:pt idx="51">
                  <c:v>4.9939043897821583E-2</c:v>
                </c:pt>
                <c:pt idx="52">
                  <c:v>4.9570251193194102E-2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040896"/>
        <c:axId val="-1098042528"/>
      </c:scatterChart>
      <c:valAx>
        <c:axId val="-109804089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2528"/>
        <c:crosses val="autoZero"/>
        <c:crossBetween val="midCat"/>
      </c:valAx>
      <c:valAx>
        <c:axId val="-1098042528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5.4803335753243608E-2"/>
              <c:y val="1.96211174710172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05400122856983"/>
          <c:y val="0.10959465454142175"/>
          <c:w val="0.14475214534353417"/>
          <c:h val="0.12453961704971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50143577708666E-2"/>
          <c:y val="2.0666179594331986E-2"/>
          <c:w val="0.85930704058575424"/>
          <c:h val="0.83473990725654568"/>
        </c:manualLayout>
      </c:layout>
      <c:scatterChart>
        <c:scatterStyle val="smoothMarker"/>
        <c:varyColors val="0"/>
        <c:ser>
          <c:idx val="0"/>
          <c:order val="0"/>
          <c:tx>
            <c:v> t  0,01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gamma!$K$2:$AB$2</c:f>
              <c:numCache>
                <c:formatCode>General</c:formatCode>
                <c:ptCount val="18"/>
                <c:pt idx="0">
                  <c:v>47</c:v>
                </c:pt>
                <c:pt idx="1">
                  <c:v>47.5</c:v>
                </c:pt>
                <c:pt idx="2">
                  <c:v>48</c:v>
                </c:pt>
                <c:pt idx="3">
                  <c:v>48.5</c:v>
                </c:pt>
                <c:pt idx="4">
                  <c:v>49</c:v>
                </c:pt>
                <c:pt idx="5">
                  <c:v>49.5</c:v>
                </c:pt>
                <c:pt idx="6">
                  <c:v>50</c:v>
                </c:pt>
                <c:pt idx="7">
                  <c:v>50.5</c:v>
                </c:pt>
                <c:pt idx="8">
                  <c:v>51</c:v>
                </c:pt>
                <c:pt idx="9">
                  <c:v>51.5</c:v>
                </c:pt>
                <c:pt idx="10">
                  <c:v>52</c:v>
                </c:pt>
                <c:pt idx="11">
                  <c:v>52.5</c:v>
                </c:pt>
                <c:pt idx="12">
                  <c:v>53</c:v>
                </c:pt>
                <c:pt idx="13">
                  <c:v>53.5</c:v>
                </c:pt>
                <c:pt idx="14">
                  <c:v>54</c:v>
                </c:pt>
                <c:pt idx="15">
                  <c:v>54.5</c:v>
                </c:pt>
                <c:pt idx="16">
                  <c:v>55</c:v>
                </c:pt>
                <c:pt idx="17">
                  <c:v>55.5</c:v>
                </c:pt>
              </c:numCache>
            </c:numRef>
          </c:xVal>
          <c:yVal>
            <c:numRef>
              <c:f>gamma!$K$3:$AB$3</c:f>
              <c:numCache>
                <c:formatCode>General</c:formatCode>
                <c:ptCount val="18"/>
                <c:pt idx="0">
                  <c:v>3.1580579934428601E-8</c:v>
                </c:pt>
                <c:pt idx="1">
                  <c:v>1.8702621833363638E-6</c:v>
                </c:pt>
                <c:pt idx="2">
                  <c:v>6.0475852324292232E-5</c:v>
                </c:pt>
                <c:pt idx="3">
                  <c:v>1.0874853655636653E-3</c:v>
                </c:pt>
                <c:pt idx="4">
                  <c:v>1.1068661332946117E-2</c:v>
                </c:pt>
                <c:pt idx="5">
                  <c:v>6.4860829549728147E-2</c:v>
                </c:pt>
                <c:pt idx="6">
                  <c:v>0.22243394601143221</c:v>
                </c:pt>
                <c:pt idx="7">
                  <c:v>0.45353246846919909</c:v>
                </c:pt>
                <c:pt idx="8">
                  <c:v>0.55823320619327965</c:v>
                </c:pt>
                <c:pt idx="9">
                  <c:v>0.42091911808416732</c:v>
                </c:pt>
                <c:pt idx="10">
                  <c:v>0.19720045297884956</c:v>
                </c:pt>
                <c:pt idx="11">
                  <c:v>5.8194053641398034E-2</c:v>
                </c:pt>
                <c:pt idx="12">
                  <c:v>1.0960738131519005E-2</c:v>
                </c:pt>
                <c:pt idx="13">
                  <c:v>1.3345141670802953E-3</c:v>
                </c:pt>
                <c:pt idx="14">
                  <c:v>1.0633383484244961E-4</c:v>
                </c:pt>
                <c:pt idx="15">
                  <c:v>5.6110778654066317E-6</c:v>
                </c:pt>
                <c:pt idx="16">
                  <c:v>1.983516062513642E-7</c:v>
                </c:pt>
                <c:pt idx="17">
                  <c:v>4.7496480598430132E-9</c:v>
                </c:pt>
              </c:numCache>
            </c:numRef>
          </c:yVal>
          <c:smooth val="1"/>
        </c:ser>
        <c:ser>
          <c:idx val="1"/>
          <c:order val="1"/>
          <c:tx>
            <c:v> t  0,25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gamma!$K$2:$AB$2</c:f>
              <c:numCache>
                <c:formatCode>General</c:formatCode>
                <c:ptCount val="18"/>
                <c:pt idx="0">
                  <c:v>47</c:v>
                </c:pt>
                <c:pt idx="1">
                  <c:v>47.5</c:v>
                </c:pt>
                <c:pt idx="2">
                  <c:v>48</c:v>
                </c:pt>
                <c:pt idx="3">
                  <c:v>48.5</c:v>
                </c:pt>
                <c:pt idx="4">
                  <c:v>49</c:v>
                </c:pt>
                <c:pt idx="5">
                  <c:v>49.5</c:v>
                </c:pt>
                <c:pt idx="6">
                  <c:v>50</c:v>
                </c:pt>
                <c:pt idx="7">
                  <c:v>50.5</c:v>
                </c:pt>
                <c:pt idx="8">
                  <c:v>51</c:v>
                </c:pt>
                <c:pt idx="9">
                  <c:v>51.5</c:v>
                </c:pt>
                <c:pt idx="10">
                  <c:v>52</c:v>
                </c:pt>
                <c:pt idx="11">
                  <c:v>52.5</c:v>
                </c:pt>
                <c:pt idx="12">
                  <c:v>53</c:v>
                </c:pt>
                <c:pt idx="13">
                  <c:v>53.5</c:v>
                </c:pt>
                <c:pt idx="14">
                  <c:v>54</c:v>
                </c:pt>
                <c:pt idx="15">
                  <c:v>54.5</c:v>
                </c:pt>
                <c:pt idx="16">
                  <c:v>55</c:v>
                </c:pt>
                <c:pt idx="17">
                  <c:v>55.5</c:v>
                </c:pt>
              </c:numCache>
            </c:numRef>
          </c:xVal>
          <c:yVal>
            <c:numRef>
              <c:f>gamma!$K$27:$AB$27</c:f>
              <c:numCache>
                <c:formatCode>General</c:formatCode>
                <c:ptCount val="18"/>
                <c:pt idx="0">
                  <c:v>7.698258045821936E-2</c:v>
                </c:pt>
                <c:pt idx="1">
                  <c:v>8.6979914354794186E-2</c:v>
                </c:pt>
                <c:pt idx="2">
                  <c:v>9.5966691910589014E-2</c:v>
                </c:pt>
                <c:pt idx="3">
                  <c:v>0.10346937455822475</c:v>
                </c:pt>
                <c:pt idx="4">
                  <c:v>0.10909273959929222</c:v>
                </c:pt>
                <c:pt idx="5">
                  <c:v>0.11255489072568745</c:v>
                </c:pt>
                <c:pt idx="6">
                  <c:v>0.11370995148587006</c:v>
                </c:pt>
                <c:pt idx="7">
                  <c:v>0.11255609892118232</c:v>
                </c:pt>
                <c:pt idx="8">
                  <c:v>0.1092288008337052</c:v>
                </c:pt>
                <c:pt idx="9">
                  <c:v>0.1039811635215091</c:v>
                </c:pt>
                <c:pt idx="10">
                  <c:v>9.7154839577518678E-2</c:v>
                </c:pt>
                <c:pt idx="11">
                  <c:v>8.9145787196085152E-2</c:v>
                </c:pt>
                <c:pt idx="12">
                  <c:v>8.0369271198912157E-2</c:v>
                </c:pt>
                <c:pt idx="13">
                  <c:v>7.1227950363351764E-2</c:v>
                </c:pt>
                <c:pt idx="14">
                  <c:v>6.2085900947331178E-2</c:v>
                </c:pt>
                <c:pt idx="15">
                  <c:v>5.3250218816308703E-2</c:v>
                </c:pt>
                <c:pt idx="16">
                  <c:v>4.4960647037692238E-2</c:v>
                </c:pt>
                <c:pt idx="17">
                  <c:v>3.7386666955693856E-2</c:v>
                </c:pt>
              </c:numCache>
            </c:numRef>
          </c:yVal>
          <c:smooth val="1"/>
        </c:ser>
        <c:ser>
          <c:idx val="2"/>
          <c:order val="2"/>
          <c:tx>
            <c:v> t  0,53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gamma!$K$2:$AB$2</c:f>
              <c:numCache>
                <c:formatCode>General</c:formatCode>
                <c:ptCount val="18"/>
                <c:pt idx="0">
                  <c:v>47</c:v>
                </c:pt>
                <c:pt idx="1">
                  <c:v>47.5</c:v>
                </c:pt>
                <c:pt idx="2">
                  <c:v>48</c:v>
                </c:pt>
                <c:pt idx="3">
                  <c:v>48.5</c:v>
                </c:pt>
                <c:pt idx="4">
                  <c:v>49</c:v>
                </c:pt>
                <c:pt idx="5">
                  <c:v>49.5</c:v>
                </c:pt>
                <c:pt idx="6">
                  <c:v>50</c:v>
                </c:pt>
                <c:pt idx="7">
                  <c:v>50.5</c:v>
                </c:pt>
                <c:pt idx="8">
                  <c:v>51</c:v>
                </c:pt>
                <c:pt idx="9">
                  <c:v>51.5</c:v>
                </c:pt>
                <c:pt idx="10">
                  <c:v>52</c:v>
                </c:pt>
                <c:pt idx="11">
                  <c:v>52.5</c:v>
                </c:pt>
                <c:pt idx="12">
                  <c:v>53</c:v>
                </c:pt>
                <c:pt idx="13">
                  <c:v>53.5</c:v>
                </c:pt>
                <c:pt idx="14">
                  <c:v>54</c:v>
                </c:pt>
                <c:pt idx="15">
                  <c:v>54.5</c:v>
                </c:pt>
                <c:pt idx="16">
                  <c:v>55</c:v>
                </c:pt>
                <c:pt idx="17">
                  <c:v>55.5</c:v>
                </c:pt>
              </c:numCache>
            </c:numRef>
          </c:xVal>
          <c:yVal>
            <c:numRef>
              <c:f>gamma!$K$55:$AB$55</c:f>
              <c:numCache>
                <c:formatCode>General</c:formatCode>
                <c:ptCount val="18"/>
                <c:pt idx="0">
                  <c:v>7.3844891731114429E-2</c:v>
                </c:pt>
                <c:pt idx="1">
                  <c:v>7.6471095442771253E-2</c:v>
                </c:pt>
                <c:pt idx="2">
                  <c:v>7.832617030277067E-2</c:v>
                </c:pt>
                <c:pt idx="3">
                  <c:v>7.937715268546329E-2</c:v>
                </c:pt>
                <c:pt idx="4">
                  <c:v>7.9616673144023403E-2</c:v>
                </c:pt>
                <c:pt idx="5">
                  <c:v>7.9062045305518705E-2</c:v>
                </c:pt>
                <c:pt idx="6">
                  <c:v>7.7753189649054727E-2</c:v>
                </c:pt>
                <c:pt idx="7">
                  <c:v>7.5749612569243271E-2</c:v>
                </c:pt>
                <c:pt idx="8">
                  <c:v>7.3126702346690789E-2</c:v>
                </c:pt>
                <c:pt idx="9">
                  <c:v>6.9971620041548152E-2</c:v>
                </c:pt>
                <c:pt idx="10">
                  <c:v>6.6379056893452484E-2</c:v>
                </c:pt>
                <c:pt idx="11">
                  <c:v>6.2447104355586286E-2</c:v>
                </c:pt>
                <c:pt idx="12">
                  <c:v>5.8273443337258639E-2</c:v>
                </c:pt>
                <c:pt idx="13">
                  <c:v>5.3952010943915704E-2</c:v>
                </c:pt>
                <c:pt idx="14">
                  <c:v>4.9570251193194102E-2</c:v>
                </c:pt>
                <c:pt idx="15">
                  <c:v>4.5207005434568091E-2</c:v>
                </c:pt>
                <c:pt idx="16">
                  <c:v>4.0931052160929696E-2</c:v>
                </c:pt>
                <c:pt idx="17">
                  <c:v>3.6800267143504234E-2</c:v>
                </c:pt>
              </c:numCache>
            </c:numRef>
          </c:yVal>
          <c:smooth val="1"/>
        </c:ser>
        <c:ser>
          <c:idx val="3"/>
          <c:order val="3"/>
          <c:tx>
            <c:v> t  0,15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gamma!$K$2:$AB$2</c:f>
              <c:numCache>
                <c:formatCode>General</c:formatCode>
                <c:ptCount val="18"/>
                <c:pt idx="0">
                  <c:v>47</c:v>
                </c:pt>
                <c:pt idx="1">
                  <c:v>47.5</c:v>
                </c:pt>
                <c:pt idx="2">
                  <c:v>48</c:v>
                </c:pt>
                <c:pt idx="3">
                  <c:v>48.5</c:v>
                </c:pt>
                <c:pt idx="4">
                  <c:v>49</c:v>
                </c:pt>
                <c:pt idx="5">
                  <c:v>49.5</c:v>
                </c:pt>
                <c:pt idx="6">
                  <c:v>50</c:v>
                </c:pt>
                <c:pt idx="7">
                  <c:v>50.5</c:v>
                </c:pt>
                <c:pt idx="8">
                  <c:v>51</c:v>
                </c:pt>
                <c:pt idx="9">
                  <c:v>51.5</c:v>
                </c:pt>
                <c:pt idx="10">
                  <c:v>52</c:v>
                </c:pt>
                <c:pt idx="11">
                  <c:v>52.5</c:v>
                </c:pt>
                <c:pt idx="12">
                  <c:v>53</c:v>
                </c:pt>
                <c:pt idx="13">
                  <c:v>53.5</c:v>
                </c:pt>
                <c:pt idx="14">
                  <c:v>54</c:v>
                </c:pt>
                <c:pt idx="15">
                  <c:v>54.5</c:v>
                </c:pt>
                <c:pt idx="16">
                  <c:v>55</c:v>
                </c:pt>
                <c:pt idx="17">
                  <c:v>55.5</c:v>
                </c:pt>
              </c:numCache>
            </c:numRef>
          </c:xVal>
          <c:yVal>
            <c:numRef>
              <c:f>gamma!$K$17:$AB$17</c:f>
              <c:numCache>
                <c:formatCode>General</c:formatCode>
                <c:ptCount val="18"/>
                <c:pt idx="0">
                  <c:v>6.3706369410826108E-2</c:v>
                </c:pt>
                <c:pt idx="1">
                  <c:v>8.0347437425161303E-2</c:v>
                </c:pt>
                <c:pt idx="2">
                  <c:v>9.7369505959879754E-2</c:v>
                </c:pt>
                <c:pt idx="3">
                  <c:v>0.11351751632463743</c:v>
                </c:pt>
                <c:pt idx="4">
                  <c:v>0.12746746226881966</c:v>
                </c:pt>
                <c:pt idx="5">
                  <c:v>0.13801337116907045</c:v>
                </c:pt>
                <c:pt idx="6">
                  <c:v>0.144244506006551</c:v>
                </c:pt>
                <c:pt idx="7">
                  <c:v>0.14567583855650543</c:v>
                </c:pt>
                <c:pt idx="8">
                  <c:v>0.14230606641281215</c:v>
                </c:pt>
                <c:pt idx="9">
                  <c:v>0.13459497653394625</c:v>
                </c:pt>
                <c:pt idx="10">
                  <c:v>0.12337035811402605</c:v>
                </c:pt>
                <c:pt idx="11">
                  <c:v>0.10968874128838357</c:v>
                </c:pt>
                <c:pt idx="12">
                  <c:v>9.4680728652854262E-2</c:v>
                </c:pt>
                <c:pt idx="13">
                  <c:v>7.9410041805456924E-2</c:v>
                </c:pt>
                <c:pt idx="14">
                  <c:v>6.4767482062730281E-2</c:v>
                </c:pt>
                <c:pt idx="15">
                  <c:v>5.1410025918422357E-2</c:v>
                </c:pt>
                <c:pt idx="16">
                  <c:v>3.9744571545581892E-2</c:v>
                </c:pt>
                <c:pt idx="17">
                  <c:v>2.9947870541115917E-2</c:v>
                </c:pt>
              </c:numCache>
            </c:numRef>
          </c:yVal>
          <c:smooth val="1"/>
        </c:ser>
        <c:ser>
          <c:idx val="4"/>
          <c:order val="4"/>
          <c:tx>
            <c:v> t  0,05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gamma!$K$2:$AB$2</c:f>
              <c:numCache>
                <c:formatCode>General</c:formatCode>
                <c:ptCount val="18"/>
                <c:pt idx="0">
                  <c:v>47</c:v>
                </c:pt>
                <c:pt idx="1">
                  <c:v>47.5</c:v>
                </c:pt>
                <c:pt idx="2">
                  <c:v>48</c:v>
                </c:pt>
                <c:pt idx="3">
                  <c:v>48.5</c:v>
                </c:pt>
                <c:pt idx="4">
                  <c:v>49</c:v>
                </c:pt>
                <c:pt idx="5">
                  <c:v>49.5</c:v>
                </c:pt>
                <c:pt idx="6">
                  <c:v>50</c:v>
                </c:pt>
                <c:pt idx="7">
                  <c:v>50.5</c:v>
                </c:pt>
                <c:pt idx="8">
                  <c:v>51</c:v>
                </c:pt>
                <c:pt idx="9">
                  <c:v>51.5</c:v>
                </c:pt>
                <c:pt idx="10">
                  <c:v>52</c:v>
                </c:pt>
                <c:pt idx="11">
                  <c:v>52.5</c:v>
                </c:pt>
                <c:pt idx="12">
                  <c:v>53</c:v>
                </c:pt>
                <c:pt idx="13">
                  <c:v>53.5</c:v>
                </c:pt>
                <c:pt idx="14">
                  <c:v>54</c:v>
                </c:pt>
                <c:pt idx="15">
                  <c:v>54.5</c:v>
                </c:pt>
                <c:pt idx="16">
                  <c:v>55</c:v>
                </c:pt>
                <c:pt idx="17">
                  <c:v>55.5</c:v>
                </c:pt>
              </c:numCache>
            </c:numRef>
          </c:xVal>
          <c:yVal>
            <c:numRef>
              <c:f>gamma!$K$7:$AB$7</c:f>
              <c:numCache>
                <c:formatCode>General</c:formatCode>
                <c:ptCount val="18"/>
                <c:pt idx="0">
                  <c:v>1.1513995881903537E-2</c:v>
                </c:pt>
                <c:pt idx="1">
                  <c:v>2.5166832636209484E-2</c:v>
                </c:pt>
                <c:pt idx="2">
                  <c:v>4.8755816719553507E-2</c:v>
                </c:pt>
                <c:pt idx="3">
                  <c:v>8.4025174416312104E-2</c:v>
                </c:pt>
                <c:pt idx="4">
                  <c:v>0.12927306798658669</c:v>
                </c:pt>
                <c:pt idx="5">
                  <c:v>0.17815433367220576</c:v>
                </c:pt>
                <c:pt idx="6">
                  <c:v>0.22064524471227032</c:v>
                </c:pt>
                <c:pt idx="7">
                  <c:v>0.24636060211330107</c:v>
                </c:pt>
                <c:pt idx="8">
                  <c:v>0.24874016328969689</c:v>
                </c:pt>
                <c:pt idx="9">
                  <c:v>0.22776710498016442</c:v>
                </c:pt>
                <c:pt idx="10">
                  <c:v>0.18968544875767843</c:v>
                </c:pt>
                <c:pt idx="11">
                  <c:v>0.14406532206146586</c:v>
                </c:pt>
                <c:pt idx="12">
                  <c:v>0.1000485175376649</c:v>
                </c:pt>
                <c:pt idx="13">
                  <c:v>6.3692980204822766E-2</c:v>
                </c:pt>
                <c:pt idx="14">
                  <c:v>3.7262192203925779E-2</c:v>
                </c:pt>
                <c:pt idx="15">
                  <c:v>2.008034695102388E-2</c:v>
                </c:pt>
                <c:pt idx="16">
                  <c:v>9.9906883849637078E-3</c:v>
                </c:pt>
                <c:pt idx="17">
                  <c:v>4.5994213334855042E-3</c:v>
                </c:pt>
              </c:numCache>
            </c:numRef>
          </c:yVal>
          <c:smooth val="1"/>
        </c:ser>
        <c:ser>
          <c:idx val="5"/>
          <c:order val="5"/>
          <c:tx>
            <c:v> t  0.03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gamma!$K$2:$AB$2</c:f>
              <c:numCache>
                <c:formatCode>General</c:formatCode>
                <c:ptCount val="18"/>
                <c:pt idx="0">
                  <c:v>47</c:v>
                </c:pt>
                <c:pt idx="1">
                  <c:v>47.5</c:v>
                </c:pt>
                <c:pt idx="2">
                  <c:v>48</c:v>
                </c:pt>
                <c:pt idx="3">
                  <c:v>48.5</c:v>
                </c:pt>
                <c:pt idx="4">
                  <c:v>49</c:v>
                </c:pt>
                <c:pt idx="5">
                  <c:v>49.5</c:v>
                </c:pt>
                <c:pt idx="6">
                  <c:v>50</c:v>
                </c:pt>
                <c:pt idx="7">
                  <c:v>50.5</c:v>
                </c:pt>
                <c:pt idx="8">
                  <c:v>51</c:v>
                </c:pt>
                <c:pt idx="9">
                  <c:v>51.5</c:v>
                </c:pt>
                <c:pt idx="10">
                  <c:v>52</c:v>
                </c:pt>
                <c:pt idx="11">
                  <c:v>52.5</c:v>
                </c:pt>
                <c:pt idx="12">
                  <c:v>53</c:v>
                </c:pt>
                <c:pt idx="13">
                  <c:v>53.5</c:v>
                </c:pt>
                <c:pt idx="14">
                  <c:v>54</c:v>
                </c:pt>
                <c:pt idx="15">
                  <c:v>54.5</c:v>
                </c:pt>
                <c:pt idx="16">
                  <c:v>55</c:v>
                </c:pt>
                <c:pt idx="17">
                  <c:v>55.5</c:v>
                </c:pt>
              </c:numCache>
            </c:numRef>
          </c:xVal>
          <c:yVal>
            <c:numRef>
              <c:f>gamma!$K$5:$AB$5</c:f>
              <c:numCache>
                <c:formatCode>General</c:formatCode>
                <c:ptCount val="18"/>
                <c:pt idx="0">
                  <c:v>1.5397972248638672E-3</c:v>
                </c:pt>
                <c:pt idx="1">
                  <c:v>5.8328302896077993E-3</c:v>
                </c:pt>
                <c:pt idx="2">
                  <c:v>1.8064425475278732E-2</c:v>
                </c:pt>
                <c:pt idx="3">
                  <c:v>4.6020381369861772E-2</c:v>
                </c:pt>
                <c:pt idx="4">
                  <c:v>9.7008775060999142E-2</c:v>
                </c:pt>
                <c:pt idx="5">
                  <c:v>0.17016328723486351</c:v>
                </c:pt>
                <c:pt idx="6">
                  <c:v>0.24973770250721616</c:v>
                </c:pt>
                <c:pt idx="7">
                  <c:v>0.30828275793678095</c:v>
                </c:pt>
                <c:pt idx="8">
                  <c:v>0.32170859546749281</c:v>
                </c:pt>
                <c:pt idx="9">
                  <c:v>0.28519860769910127</c:v>
                </c:pt>
                <c:pt idx="10">
                  <c:v>0.21580000773852745</c:v>
                </c:pt>
                <c:pt idx="11">
                  <c:v>0.14000743674968094</c:v>
                </c:pt>
                <c:pt idx="12">
                  <c:v>7.8226513200497561E-2</c:v>
                </c:pt>
                <c:pt idx="13">
                  <c:v>3.7800884682611224E-2</c:v>
                </c:pt>
                <c:pt idx="14">
                  <c:v>1.5862587780581229E-2</c:v>
                </c:pt>
                <c:pt idx="15">
                  <c:v>5.8034847885288423E-3</c:v>
                </c:pt>
                <c:pt idx="16">
                  <c:v>1.858263324826978E-3</c:v>
                </c:pt>
                <c:pt idx="17">
                  <c:v>5.2267856736264216E-4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045792"/>
        <c:axId val="-1098047424"/>
      </c:scatterChart>
      <c:valAx>
        <c:axId val="-109804579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Цена базового актива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7424"/>
        <c:crosses val="autoZero"/>
        <c:crossBetween val="midCat"/>
        <c:minorUnit val="0.5"/>
      </c:valAx>
      <c:valAx>
        <c:axId val="-1098047424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Гамма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5792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8317272314219"/>
          <c:y val="7.2833679221261216E-2"/>
          <c:w val="0.1337466132642243"/>
          <c:h val="0.35667341799959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4244898354493"/>
          <c:y val="4.9715259455260931E-2"/>
          <c:w val="0.84846170981394853"/>
          <c:h val="0.82770708185033603"/>
        </c:manualLayout>
      </c:layout>
      <c:scatterChart>
        <c:scatterStyle val="smoothMarker"/>
        <c:varyColors val="0"/>
        <c:ser>
          <c:idx val="0"/>
          <c:order val="0"/>
          <c:tx>
            <c:v>47  OTM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gamma!$U$99:$U$151</c:f>
              <c:numCache>
                <c:formatCode>General</c:formatCode>
                <c:ptCount val="5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9.0000000000000011E-2</c:v>
                </c:pt>
                <c:pt idx="5">
                  <c:v>0.11000000000000001</c:v>
                </c:pt>
                <c:pt idx="6">
                  <c:v>0.13</c:v>
                </c:pt>
                <c:pt idx="7">
                  <c:v>0.15</c:v>
                </c:pt>
                <c:pt idx="8">
                  <c:v>0.16999999999999998</c:v>
                </c:pt>
                <c:pt idx="9">
                  <c:v>0.18999999999999997</c:v>
                </c:pt>
                <c:pt idx="10">
                  <c:v>0.20999999999999996</c:v>
                </c:pt>
                <c:pt idx="11">
                  <c:v>0.22999999999999995</c:v>
                </c:pt>
                <c:pt idx="12">
                  <c:v>0.24999999999999994</c:v>
                </c:pt>
                <c:pt idx="13">
                  <c:v>0.26999999999999996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0.35000000000000003</c:v>
                </c:pt>
                <c:pt idx="18">
                  <c:v>0.37000000000000005</c:v>
                </c:pt>
                <c:pt idx="19">
                  <c:v>0.39000000000000007</c:v>
                </c:pt>
                <c:pt idx="20">
                  <c:v>0.41000000000000009</c:v>
                </c:pt>
                <c:pt idx="21">
                  <c:v>0.4300000000000001</c:v>
                </c:pt>
                <c:pt idx="22">
                  <c:v>0.45000000000000012</c:v>
                </c:pt>
                <c:pt idx="23">
                  <c:v>0.47000000000000014</c:v>
                </c:pt>
                <c:pt idx="24">
                  <c:v>0.49000000000000016</c:v>
                </c:pt>
                <c:pt idx="25">
                  <c:v>0.51000000000000012</c:v>
                </c:pt>
                <c:pt idx="26">
                  <c:v>0.53000000000000014</c:v>
                </c:pt>
                <c:pt idx="27">
                  <c:v>0.55000000000000016</c:v>
                </c:pt>
                <c:pt idx="28">
                  <c:v>0.57000000000000017</c:v>
                </c:pt>
                <c:pt idx="29">
                  <c:v>0.59000000000000019</c:v>
                </c:pt>
                <c:pt idx="30">
                  <c:v>0.61000000000000021</c:v>
                </c:pt>
                <c:pt idx="31">
                  <c:v>0.63000000000000023</c:v>
                </c:pt>
                <c:pt idx="32">
                  <c:v>0.65000000000000024</c:v>
                </c:pt>
                <c:pt idx="33">
                  <c:v>0.67000000000000026</c:v>
                </c:pt>
                <c:pt idx="34">
                  <c:v>0.69000000000000028</c:v>
                </c:pt>
                <c:pt idx="35">
                  <c:v>0.7100000000000003</c:v>
                </c:pt>
                <c:pt idx="36">
                  <c:v>0.73000000000000032</c:v>
                </c:pt>
                <c:pt idx="37">
                  <c:v>0.75000000000000033</c:v>
                </c:pt>
                <c:pt idx="38">
                  <c:v>0.77000000000000035</c:v>
                </c:pt>
                <c:pt idx="39">
                  <c:v>0.79000000000000037</c:v>
                </c:pt>
                <c:pt idx="40">
                  <c:v>0.81000000000000039</c:v>
                </c:pt>
                <c:pt idx="41">
                  <c:v>0.8300000000000004</c:v>
                </c:pt>
                <c:pt idx="42">
                  <c:v>0.85000000000000042</c:v>
                </c:pt>
                <c:pt idx="43">
                  <c:v>0.87000000000000044</c:v>
                </c:pt>
                <c:pt idx="44">
                  <c:v>0.89000000000000046</c:v>
                </c:pt>
                <c:pt idx="45">
                  <c:v>0.91000000000000048</c:v>
                </c:pt>
                <c:pt idx="46">
                  <c:v>0.93000000000000049</c:v>
                </c:pt>
                <c:pt idx="47">
                  <c:v>0.95000000000000051</c:v>
                </c:pt>
                <c:pt idx="48">
                  <c:v>0.97000000000000053</c:v>
                </c:pt>
                <c:pt idx="49">
                  <c:v>0.99000000000000055</c:v>
                </c:pt>
                <c:pt idx="50">
                  <c:v>1.0100000000000005</c:v>
                </c:pt>
                <c:pt idx="51">
                  <c:v>1.0300000000000005</c:v>
                </c:pt>
                <c:pt idx="52">
                  <c:v>1.0500000000000005</c:v>
                </c:pt>
              </c:numCache>
            </c:numRef>
          </c:xVal>
          <c:yVal>
            <c:numRef>
              <c:f>gamma!$V$99:$V$151</c:f>
              <c:numCache>
                <c:formatCode>0.00</c:formatCode>
                <c:ptCount val="53"/>
                <c:pt idx="0">
                  <c:v>3.2475519891406685E-56</c:v>
                </c:pt>
                <c:pt idx="1">
                  <c:v>4.1562055214059673E-7</c:v>
                </c:pt>
                <c:pt idx="2">
                  <c:v>2.3097903417404193E-3</c:v>
                </c:pt>
                <c:pt idx="3">
                  <c:v>2.0431312856799284E-2</c:v>
                </c:pt>
                <c:pt idx="4">
                  <c:v>4.4757004699645213E-2</c:v>
                </c:pt>
                <c:pt idx="5">
                  <c:v>6.1848198604205498E-2</c:v>
                </c:pt>
                <c:pt idx="6">
                  <c:v>7.0739542401305741E-2</c:v>
                </c:pt>
                <c:pt idx="7">
                  <c:v>7.4063629824236851E-2</c:v>
                </c:pt>
                <c:pt idx="8">
                  <c:v>7.4144824615626534E-2</c:v>
                </c:pt>
                <c:pt idx="9">
                  <c:v>7.2476084945969119E-2</c:v>
                </c:pt>
                <c:pt idx="10">
                  <c:v>6.9931574346593944E-2</c:v>
                </c:pt>
                <c:pt idx="11">
                  <c:v>6.7005602270763506E-2</c:v>
                </c:pt>
                <c:pt idx="12">
                  <c:v>6.3972248472820528E-2</c:v>
                </c:pt>
                <c:pt idx="13">
                  <c:v>6.0980038522881308E-2</c:v>
                </c:pt>
                <c:pt idx="14">
                  <c:v>5.8106170169135614E-2</c:v>
                </c:pt>
                <c:pt idx="15">
                  <c:v>5.5387365407206138E-2</c:v>
                </c:pt>
                <c:pt idx="16">
                  <c:v>5.283748892749509E-2</c:v>
                </c:pt>
                <c:pt idx="17">
                  <c:v>5.0457676758416649E-2</c:v>
                </c:pt>
                <c:pt idx="18">
                  <c:v>4.8242193567876353E-2</c:v>
                </c:pt>
                <c:pt idx="19">
                  <c:v>4.6181828950019606E-2</c:v>
                </c:pt>
                <c:pt idx="20">
                  <c:v>4.4265861110001602E-2</c:v>
                </c:pt>
                <c:pt idx="21">
                  <c:v>4.2483179281059463E-2</c:v>
                </c:pt>
                <c:pt idx="22">
                  <c:v>4.0822909105557907E-2</c:v>
                </c:pt>
                <c:pt idx="23">
                  <c:v>3.9274743672037926E-2</c:v>
                </c:pt>
                <c:pt idx="24">
                  <c:v>3.7829100738661789E-2</c:v>
                </c:pt>
                <c:pt idx="25">
                  <c:v>3.6477178368642754E-2</c:v>
                </c:pt>
                <c:pt idx="26">
                  <c:v>3.5210952471750594E-2</c:v>
                </c:pt>
                <c:pt idx="27">
                  <c:v>3.4023142482288007E-2</c:v>
                </c:pt>
                <c:pt idx="28">
                  <c:v>3.2907160943583105E-2</c:v>
                </c:pt>
                <c:pt idx="29">
                  <c:v>3.1857056391026553E-2</c:v>
                </c:pt>
                <c:pt idx="30">
                  <c:v>3.0867455022082459E-2</c:v>
                </c:pt>
                <c:pt idx="31">
                  <c:v>2.9933504250885819E-2</c:v>
                </c:pt>
                <c:pt idx="32">
                  <c:v>2.9050819785544711E-2</c:v>
                </c:pt>
                <c:pt idx="33">
                  <c:v>2.8215436983033273E-2</c:v>
                </c:pt>
                <c:pt idx="34">
                  <c:v>2.7423766710904667E-2</c:v>
                </c:pt>
                <c:pt idx="35">
                  <c:v>2.6672555641301676E-2</c:v>
                </c:pt>
                <c:pt idx="36">
                  <c:v>2.5958850736238687E-2</c:v>
                </c:pt>
                <c:pt idx="37">
                  <c:v>2.5279967600833255E-2</c:v>
                </c:pt>
                <c:pt idx="38">
                  <c:v>2.4633462349776956E-2</c:v>
                </c:pt>
                <c:pt idx="39">
                  <c:v>2.401710663095245E-2</c:v>
                </c:pt>
                <c:pt idx="40">
                  <c:v>2.3428865465650893E-2</c:v>
                </c:pt>
                <c:pt idx="41">
                  <c:v>2.2866877589203062E-2</c:v>
                </c:pt>
                <c:pt idx="42">
                  <c:v>2.2329438004032538E-2</c:v>
                </c:pt>
                <c:pt idx="43">
                  <c:v>2.181498248618861E-2</c:v>
                </c:pt>
                <c:pt idx="44">
                  <c:v>2.1322073814595586E-2</c:v>
                </c:pt>
                <c:pt idx="45">
                  <c:v>2.0849389518631627E-2</c:v>
                </c:pt>
                <c:pt idx="46">
                  <c:v>2.0395710963779585E-2</c:v>
                </c:pt>
                <c:pt idx="47">
                  <c:v>1.9959913616829472E-2</c:v>
                </c:pt>
                <c:pt idx="48">
                  <c:v>1.9540958351487715E-2</c:v>
                </c:pt>
                <c:pt idx="49">
                  <c:v>1.9137883672389742E-2</c:v>
                </c:pt>
                <c:pt idx="50">
                  <c:v>1.8749798750598862E-2</c:v>
                </c:pt>
                <c:pt idx="51">
                  <c:v>1.8375877176902873E-2</c:v>
                </c:pt>
                <c:pt idx="52">
                  <c:v>1.8015351350790819E-2</c:v>
                </c:pt>
              </c:numCache>
            </c:numRef>
          </c:yVal>
          <c:smooth val="1"/>
        </c:ser>
        <c:ser>
          <c:idx val="1"/>
          <c:order val="1"/>
          <c:tx>
            <c:v>51  ATM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gamma!$U$99:$U$151</c:f>
              <c:numCache>
                <c:formatCode>General</c:formatCode>
                <c:ptCount val="5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9.0000000000000011E-2</c:v>
                </c:pt>
                <c:pt idx="5">
                  <c:v>0.11000000000000001</c:v>
                </c:pt>
                <c:pt idx="6">
                  <c:v>0.13</c:v>
                </c:pt>
                <c:pt idx="7">
                  <c:v>0.15</c:v>
                </c:pt>
                <c:pt idx="8">
                  <c:v>0.16999999999999998</c:v>
                </c:pt>
                <c:pt idx="9">
                  <c:v>0.18999999999999997</c:v>
                </c:pt>
                <c:pt idx="10">
                  <c:v>0.20999999999999996</c:v>
                </c:pt>
                <c:pt idx="11">
                  <c:v>0.22999999999999995</c:v>
                </c:pt>
                <c:pt idx="12">
                  <c:v>0.24999999999999994</c:v>
                </c:pt>
                <c:pt idx="13">
                  <c:v>0.26999999999999996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0.35000000000000003</c:v>
                </c:pt>
                <c:pt idx="18">
                  <c:v>0.37000000000000005</c:v>
                </c:pt>
                <c:pt idx="19">
                  <c:v>0.39000000000000007</c:v>
                </c:pt>
                <c:pt idx="20">
                  <c:v>0.41000000000000009</c:v>
                </c:pt>
                <c:pt idx="21">
                  <c:v>0.4300000000000001</c:v>
                </c:pt>
                <c:pt idx="22">
                  <c:v>0.45000000000000012</c:v>
                </c:pt>
                <c:pt idx="23">
                  <c:v>0.47000000000000014</c:v>
                </c:pt>
                <c:pt idx="24">
                  <c:v>0.49000000000000016</c:v>
                </c:pt>
                <c:pt idx="25">
                  <c:v>0.51000000000000012</c:v>
                </c:pt>
                <c:pt idx="26">
                  <c:v>0.53000000000000014</c:v>
                </c:pt>
                <c:pt idx="27">
                  <c:v>0.55000000000000016</c:v>
                </c:pt>
                <c:pt idx="28">
                  <c:v>0.57000000000000017</c:v>
                </c:pt>
                <c:pt idx="29">
                  <c:v>0.59000000000000019</c:v>
                </c:pt>
                <c:pt idx="30">
                  <c:v>0.61000000000000021</c:v>
                </c:pt>
                <c:pt idx="31">
                  <c:v>0.63000000000000023</c:v>
                </c:pt>
                <c:pt idx="32">
                  <c:v>0.65000000000000024</c:v>
                </c:pt>
                <c:pt idx="33">
                  <c:v>0.67000000000000026</c:v>
                </c:pt>
                <c:pt idx="34">
                  <c:v>0.69000000000000028</c:v>
                </c:pt>
                <c:pt idx="35">
                  <c:v>0.7100000000000003</c:v>
                </c:pt>
                <c:pt idx="36">
                  <c:v>0.73000000000000032</c:v>
                </c:pt>
                <c:pt idx="37">
                  <c:v>0.75000000000000033</c:v>
                </c:pt>
                <c:pt idx="38">
                  <c:v>0.77000000000000035</c:v>
                </c:pt>
                <c:pt idx="39">
                  <c:v>0.79000000000000037</c:v>
                </c:pt>
                <c:pt idx="40">
                  <c:v>0.81000000000000039</c:v>
                </c:pt>
                <c:pt idx="41">
                  <c:v>0.8300000000000004</c:v>
                </c:pt>
                <c:pt idx="42">
                  <c:v>0.85000000000000042</c:v>
                </c:pt>
                <c:pt idx="43">
                  <c:v>0.87000000000000044</c:v>
                </c:pt>
                <c:pt idx="44">
                  <c:v>0.89000000000000046</c:v>
                </c:pt>
                <c:pt idx="45">
                  <c:v>0.91000000000000048</c:v>
                </c:pt>
                <c:pt idx="46">
                  <c:v>0.93000000000000049</c:v>
                </c:pt>
                <c:pt idx="47">
                  <c:v>0.95000000000000051</c:v>
                </c:pt>
                <c:pt idx="48">
                  <c:v>0.97000000000000053</c:v>
                </c:pt>
                <c:pt idx="49">
                  <c:v>0.99000000000000055</c:v>
                </c:pt>
                <c:pt idx="50">
                  <c:v>1.0100000000000005</c:v>
                </c:pt>
                <c:pt idx="51">
                  <c:v>1.0300000000000005</c:v>
                </c:pt>
                <c:pt idx="52">
                  <c:v>1.0500000000000005</c:v>
                </c:pt>
              </c:numCache>
            </c:numRef>
          </c:xVal>
          <c:yVal>
            <c:numRef>
              <c:f>gamma!$W$99:$W$151</c:f>
              <c:numCache>
                <c:formatCode>0.00</c:formatCode>
                <c:ptCount val="53"/>
                <c:pt idx="0">
                  <c:v>0.14286180369480966</c:v>
                </c:pt>
                <c:pt idx="1">
                  <c:v>0.43942527890903765</c:v>
                </c:pt>
                <c:pt idx="2">
                  <c:v>0.3149392751134879</c:v>
                </c:pt>
                <c:pt idx="3">
                  <c:v>0.23623502970538321</c:v>
                </c:pt>
                <c:pt idx="4">
                  <c:v>0.18746440368824122</c:v>
                </c:pt>
                <c:pt idx="5">
                  <c:v>0.15493742495444529</c:v>
                </c:pt>
                <c:pt idx="6">
                  <c:v>0.13185666987862968</c:v>
                </c:pt>
                <c:pt idx="7">
                  <c:v>0.11468123878346698</c:v>
                </c:pt>
                <c:pt idx="8">
                  <c:v>0.10142239169476681</c:v>
                </c:pt>
                <c:pt idx="9">
                  <c:v>9.0886690228650244E-2</c:v>
                </c:pt>
                <c:pt idx="10">
                  <c:v>8.2317719089999561E-2</c:v>
                </c:pt>
                <c:pt idx="11">
                  <c:v>7.5214019372683627E-2</c:v>
                </c:pt>
                <c:pt idx="12">
                  <c:v>6.9230528621539278E-2</c:v>
                </c:pt>
                <c:pt idx="13">
                  <c:v>6.4122257463295002E-2</c:v>
                </c:pt>
                <c:pt idx="14">
                  <c:v>5.971058295800491E-2</c:v>
                </c:pt>
                <c:pt idx="15">
                  <c:v>5.586226424386289E-2</c:v>
                </c:pt>
                <c:pt idx="16">
                  <c:v>5.2475925875558709E-2</c:v>
                </c:pt>
                <c:pt idx="17">
                  <c:v>4.9473089606943861E-2</c:v>
                </c:pt>
                <c:pt idx="18">
                  <c:v>4.679206756762809E-2</c:v>
                </c:pt>
                <c:pt idx="19">
                  <c:v>4.4383707488496092E-2</c:v>
                </c:pt>
                <c:pt idx="20">
                  <c:v>4.2208367296670032E-2</c:v>
                </c:pt>
                <c:pt idx="21">
                  <c:v>4.0233724319658153E-2</c:v>
                </c:pt>
                <c:pt idx="22">
                  <c:v>3.8433162650503491E-2</c:v>
                </c:pt>
                <c:pt idx="23">
                  <c:v>3.6784568380135593E-2</c:v>
                </c:pt>
                <c:pt idx="24">
                  <c:v>3.5269417347235502E-2</c:v>
                </c:pt>
                <c:pt idx="25">
                  <c:v>3.3872075851693863E-2</c:v>
                </c:pt>
                <c:pt idx="26">
                  <c:v>3.2579258555802224E-2</c:v>
                </c:pt>
                <c:pt idx="27">
                  <c:v>3.1379603875185284E-2</c:v>
                </c:pt>
                <c:pt idx="28">
                  <c:v>3.0263338211168816E-2</c:v>
                </c:pt>
                <c:pt idx="29">
                  <c:v>2.9222008084936781E-2</c:v>
                </c:pt>
                <c:pt idx="30">
                  <c:v>2.8248264686590523E-2</c:v>
                </c:pt>
                <c:pt idx="31">
                  <c:v>2.7335689259006937E-2</c:v>
                </c:pt>
                <c:pt idx="32">
                  <c:v>2.6478650569032428E-2</c:v>
                </c:pt>
                <c:pt idx="33">
                  <c:v>2.5672187795262875E-2</c:v>
                </c:pt>
                <c:pt idx="34">
                  <c:v>2.4911913700009593E-2</c:v>
                </c:pt>
                <c:pt idx="35">
                  <c:v>2.4193934103684287E-2</c:v>
                </c:pt>
                <c:pt idx="36">
                  <c:v>2.3514780548316523E-2</c:v>
                </c:pt>
                <c:pt idx="37">
                  <c:v>2.2871353698045428E-2</c:v>
                </c:pt>
                <c:pt idx="38">
                  <c:v>2.2260875531764014E-2</c:v>
                </c:pt>
                <c:pt idx="39">
                  <c:v>2.1680848775371759E-2</c:v>
                </c:pt>
                <c:pt idx="40">
                  <c:v>2.1129022326577495E-2</c:v>
                </c:pt>
                <c:pt idx="41">
                  <c:v>2.0603361664707751E-2</c:v>
                </c:pt>
                <c:pt idx="42">
                  <c:v>2.0102023426968266E-2</c:v>
                </c:pt>
                <c:pt idx="43">
                  <c:v>1.962333348264398E-2</c:v>
                </c:pt>
                <c:pt idx="44">
                  <c:v>1.9165767956525002E-2</c:v>
                </c:pt>
                <c:pt idx="45">
                  <c:v>1.8727936749030998E-2</c:v>
                </c:pt>
                <c:pt idx="46">
                  <c:v>1.8308569178136429E-2</c:v>
                </c:pt>
                <c:pt idx="47">
                  <c:v>1.7906501431165504E-2</c:v>
                </c:pt>
                <c:pt idx="48">
                  <c:v>1.7520665565842329E-2</c:v>
                </c:pt>
                <c:pt idx="49">
                  <c:v>1.7150079841995226E-2</c:v>
                </c:pt>
                <c:pt idx="50">
                  <c:v>1.679384019985981E-2</c:v>
                </c:pt>
                <c:pt idx="51">
                  <c:v>1.6451112729450216E-2</c:v>
                </c:pt>
                <c:pt idx="52">
                  <c:v>1.6121126999115033E-2</c:v>
                </c:pt>
              </c:numCache>
            </c:numRef>
          </c:yVal>
          <c:smooth val="1"/>
        </c:ser>
        <c:ser>
          <c:idx val="2"/>
          <c:order val="2"/>
          <c:tx>
            <c:v>54  ITM</c:v>
          </c:tx>
          <c:spPr>
            <a:ln w="19050" cap="rnd">
              <a:solidFill>
                <a:srgbClr val="42AC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AC81"/>
              </a:solidFill>
              <a:ln w="9525">
                <a:solidFill>
                  <a:srgbClr val="42AC81"/>
                </a:solidFill>
              </a:ln>
              <a:effectLst/>
            </c:spPr>
          </c:marker>
          <c:xVal>
            <c:numRef>
              <c:f>gamma!$U$99:$U$151</c:f>
              <c:numCache>
                <c:formatCode>General</c:formatCode>
                <c:ptCount val="5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9.0000000000000011E-2</c:v>
                </c:pt>
                <c:pt idx="5">
                  <c:v>0.11000000000000001</c:v>
                </c:pt>
                <c:pt idx="6">
                  <c:v>0.13</c:v>
                </c:pt>
                <c:pt idx="7">
                  <c:v>0.15</c:v>
                </c:pt>
                <c:pt idx="8">
                  <c:v>0.16999999999999998</c:v>
                </c:pt>
                <c:pt idx="9">
                  <c:v>0.18999999999999997</c:v>
                </c:pt>
                <c:pt idx="10">
                  <c:v>0.20999999999999996</c:v>
                </c:pt>
                <c:pt idx="11">
                  <c:v>0.22999999999999995</c:v>
                </c:pt>
                <c:pt idx="12">
                  <c:v>0.24999999999999994</c:v>
                </c:pt>
                <c:pt idx="13">
                  <c:v>0.26999999999999996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0.35000000000000003</c:v>
                </c:pt>
                <c:pt idx="18">
                  <c:v>0.37000000000000005</c:v>
                </c:pt>
                <c:pt idx="19">
                  <c:v>0.39000000000000007</c:v>
                </c:pt>
                <c:pt idx="20">
                  <c:v>0.41000000000000009</c:v>
                </c:pt>
                <c:pt idx="21">
                  <c:v>0.4300000000000001</c:v>
                </c:pt>
                <c:pt idx="22">
                  <c:v>0.45000000000000012</c:v>
                </c:pt>
                <c:pt idx="23">
                  <c:v>0.47000000000000014</c:v>
                </c:pt>
                <c:pt idx="24">
                  <c:v>0.49000000000000016</c:v>
                </c:pt>
                <c:pt idx="25">
                  <c:v>0.51000000000000012</c:v>
                </c:pt>
                <c:pt idx="26">
                  <c:v>0.53000000000000014</c:v>
                </c:pt>
                <c:pt idx="27">
                  <c:v>0.55000000000000016</c:v>
                </c:pt>
                <c:pt idx="28">
                  <c:v>0.57000000000000017</c:v>
                </c:pt>
                <c:pt idx="29">
                  <c:v>0.59000000000000019</c:v>
                </c:pt>
                <c:pt idx="30">
                  <c:v>0.61000000000000021</c:v>
                </c:pt>
                <c:pt idx="31">
                  <c:v>0.63000000000000023</c:v>
                </c:pt>
                <c:pt idx="32">
                  <c:v>0.65000000000000024</c:v>
                </c:pt>
                <c:pt idx="33">
                  <c:v>0.67000000000000026</c:v>
                </c:pt>
                <c:pt idx="34">
                  <c:v>0.69000000000000028</c:v>
                </c:pt>
                <c:pt idx="35">
                  <c:v>0.7100000000000003</c:v>
                </c:pt>
                <c:pt idx="36">
                  <c:v>0.73000000000000032</c:v>
                </c:pt>
                <c:pt idx="37">
                  <c:v>0.75000000000000033</c:v>
                </c:pt>
                <c:pt idx="38">
                  <c:v>0.77000000000000035</c:v>
                </c:pt>
                <c:pt idx="39">
                  <c:v>0.79000000000000037</c:v>
                </c:pt>
                <c:pt idx="40">
                  <c:v>0.81000000000000039</c:v>
                </c:pt>
                <c:pt idx="41">
                  <c:v>0.8300000000000004</c:v>
                </c:pt>
                <c:pt idx="42">
                  <c:v>0.85000000000000042</c:v>
                </c:pt>
                <c:pt idx="43">
                  <c:v>0.87000000000000044</c:v>
                </c:pt>
                <c:pt idx="44">
                  <c:v>0.89000000000000046</c:v>
                </c:pt>
                <c:pt idx="45">
                  <c:v>0.91000000000000048</c:v>
                </c:pt>
                <c:pt idx="46">
                  <c:v>0.93000000000000049</c:v>
                </c:pt>
                <c:pt idx="47">
                  <c:v>0.95000000000000051</c:v>
                </c:pt>
                <c:pt idx="48">
                  <c:v>0.97000000000000053</c:v>
                </c:pt>
                <c:pt idx="49">
                  <c:v>0.99000000000000055</c:v>
                </c:pt>
                <c:pt idx="50">
                  <c:v>1.0100000000000005</c:v>
                </c:pt>
                <c:pt idx="51">
                  <c:v>1.0300000000000005</c:v>
                </c:pt>
                <c:pt idx="52">
                  <c:v>1.0500000000000005</c:v>
                </c:pt>
              </c:numCache>
            </c:numRef>
          </c:xVal>
          <c:yVal>
            <c:numRef>
              <c:f>gamma!$X$99:$X$151</c:f>
              <c:numCache>
                <c:formatCode>0.00</c:formatCode>
                <c:ptCount val="53"/>
                <c:pt idx="0">
                  <c:v>1.7138472116012803E-49</c:v>
                </c:pt>
                <c:pt idx="1">
                  <c:v>1.928579691095864E-6</c:v>
                </c:pt>
                <c:pt idx="2">
                  <c:v>3.5127165098194362E-3</c:v>
                </c:pt>
                <c:pt idx="3">
                  <c:v>2.2850219547395825E-2</c:v>
                </c:pt>
                <c:pt idx="4">
                  <c:v>4.4108931978710832E-2</c:v>
                </c:pt>
                <c:pt idx="5">
                  <c:v>5.7172584997566889E-2</c:v>
                </c:pt>
                <c:pt idx="6">
                  <c:v>6.3027658529732938E-2</c:v>
                </c:pt>
                <c:pt idx="7">
                  <c:v>6.448229959326654E-2</c:v>
                </c:pt>
                <c:pt idx="8">
                  <c:v>6.3563953149845781E-2</c:v>
                </c:pt>
                <c:pt idx="9">
                  <c:v>6.1464317055675295E-2</c:v>
                </c:pt>
                <c:pt idx="10">
                  <c:v>5.884073844289029E-2</c:v>
                </c:pt>
                <c:pt idx="11">
                  <c:v>5.6046179627700712E-2</c:v>
                </c:pt>
                <c:pt idx="12">
                  <c:v>5.326578580234731E-2</c:v>
                </c:pt>
                <c:pt idx="13">
                  <c:v>5.0592871377044539E-2</c:v>
                </c:pt>
                <c:pt idx="14">
                  <c:v>4.807057337244617E-2</c:v>
                </c:pt>
                <c:pt idx="15">
                  <c:v>4.5714734215470405E-2</c:v>
                </c:pt>
                <c:pt idx="16">
                  <c:v>4.3526564147012392E-2</c:v>
                </c:pt>
                <c:pt idx="17">
                  <c:v>4.1499696029149866E-2</c:v>
                </c:pt>
                <c:pt idx="18">
                  <c:v>3.9624127915231497E-2</c:v>
                </c:pt>
                <c:pt idx="19">
                  <c:v>3.7888418114311248E-2</c:v>
                </c:pt>
                <c:pt idx="20">
                  <c:v>3.6280889446812722E-2</c:v>
                </c:pt>
                <c:pt idx="21">
                  <c:v>3.4790268143098622E-2</c:v>
                </c:pt>
                <c:pt idx="22">
                  <c:v>3.3405999663253083E-2</c:v>
                </c:pt>
                <c:pt idx="23">
                  <c:v>3.2118380884803364E-2</c:v>
                </c:pt>
                <c:pt idx="24">
                  <c:v>3.0918589550623973E-2</c:v>
                </c:pt>
                <c:pt idx="25">
                  <c:v>2.9798658100510796E-2</c:v>
                </c:pt>
                <c:pt idx="26">
                  <c:v>2.8751419324113243E-2</c:v>
                </c:pt>
                <c:pt idx="27">
                  <c:v>2.7770439699457132E-2</c:v>
                </c:pt>
                <c:pt idx="28">
                  <c:v>2.6849949438505008E-2</c:v>
                </c:pt>
                <c:pt idx="29">
                  <c:v>2.5984774206371519E-2</c:v>
                </c:pt>
                <c:pt idx="30">
                  <c:v>2.517027108327451E-2</c:v>
                </c:pt>
                <c:pt idx="31">
                  <c:v>2.4402269932289826E-2</c:v>
                </c:pt>
                <c:pt idx="32">
                  <c:v>2.3677020525448338E-2</c:v>
                </c:pt>
                <c:pt idx="33">
                  <c:v>2.2991145328043062E-2</c:v>
                </c:pt>
                <c:pt idx="34">
                  <c:v>2.2341597602659208E-2</c:v>
                </c:pt>
                <c:pt idx="35">
                  <c:v>2.172562438327013E-2</c:v>
                </c:pt>
                <c:pt idx="36">
                  <c:v>2.1140733832749562E-2</c:v>
                </c:pt>
                <c:pt idx="37">
                  <c:v>2.0584666502101268E-2</c:v>
                </c:pt>
                <c:pt idx="38">
                  <c:v>2.0055370037090643E-2</c:v>
                </c:pt>
                <c:pt idx="39">
                  <c:v>1.955097691607988E-2</c:v>
                </c:pt>
                <c:pt idx="40">
                  <c:v>1.9069784844829372E-2</c:v>
                </c:pt>
                <c:pt idx="41">
                  <c:v>1.861023947589191E-2</c:v>
                </c:pt>
                <c:pt idx="42">
                  <c:v>1.8170919159858374E-2</c:v>
                </c:pt>
                <c:pt idx="43">
                  <c:v>1.7750521472067765E-2</c:v>
                </c:pt>
                <c:pt idx="44">
                  <c:v>1.7347851291072976E-2</c:v>
                </c:pt>
                <c:pt idx="45">
                  <c:v>1.6961810234134879E-2</c:v>
                </c:pt>
                <c:pt idx="46">
                  <c:v>1.6591387280482234E-2</c:v>
                </c:pt>
                <c:pt idx="47">
                  <c:v>1.6235650435309164E-2</c:v>
                </c:pt>
                <c:pt idx="48">
                  <c:v>1.5893739306811604E-2</c:v>
                </c:pt>
                <c:pt idx="49">
                  <c:v>1.5564858485319612E-2</c:v>
                </c:pt>
                <c:pt idx="50">
                  <c:v>1.5248271628080411E-2</c:v>
                </c:pt>
                <c:pt idx="51">
                  <c:v>1.4943296165778308E-2</c:v>
                </c:pt>
                <c:pt idx="52">
                  <c:v>1.4649298557704499E-2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041440"/>
        <c:axId val="-1098040352"/>
      </c:scatterChart>
      <c:valAx>
        <c:axId val="-10980414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Волатильность, %</a:t>
                </a:r>
                <a:endParaRPr lang="ru-RU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0352"/>
        <c:crosses val="autoZero"/>
        <c:crossBetween val="midCat"/>
        <c:majorUnit val="0.1"/>
        <c:minorUnit val="5.000000000000001E-2"/>
      </c:valAx>
      <c:valAx>
        <c:axId val="-109804035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Гамма</a:t>
                </a:r>
                <a:endParaRPr lang="ru-RU" sz="1100"/>
              </a:p>
            </c:rich>
          </c:tx>
          <c:layout>
            <c:manualLayout>
              <c:xMode val="edge"/>
              <c:yMode val="edge"/>
              <c:x val="4.1863032803556386E-3"/>
              <c:y val="0.4055744866003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8055555555555556"/>
          <c:y val="7.2201651591176377E-2"/>
          <c:w val="0.15062769367851159"/>
          <c:h val="0.16245599016383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24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4.2458504306679967E-2"/>
          <c:y val="3.9902679103282768E-2"/>
          <c:w val="0.94643525193153677"/>
          <c:h val="0.92538432695913009"/>
        </c:manualLayout>
      </c:layout>
      <c:surface3DChart>
        <c:wireframe val="0"/>
        <c:ser>
          <c:idx val="0"/>
          <c:order val="0"/>
          <c:tx>
            <c:strRef>
              <c:f>theta!$K$2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theta!$K$3:$K$17</c:f>
              <c:numCache>
                <c:formatCode>General</c:formatCode>
                <c:ptCount val="15"/>
                <c:pt idx="0">
                  <c:v>-1.1591854802098871</c:v>
                </c:pt>
                <c:pt idx="1">
                  <c:v>-3.8079636237421934</c:v>
                </c:pt>
                <c:pt idx="2">
                  <c:v>-5.2007219469343786</c:v>
                </c:pt>
                <c:pt idx="3">
                  <c:v>-5.8343369925091499</c:v>
                </c:pt>
                <c:pt idx="4">
                  <c:v>-6.101902227584401</c:v>
                </c:pt>
                <c:pt idx="5">
                  <c:v>-6.1877266791489385</c:v>
                </c:pt>
                <c:pt idx="6">
                  <c:v>-6.1796174429074799</c:v>
                </c:pt>
                <c:pt idx="7">
                  <c:v>-6.1218233609000405</c:v>
                </c:pt>
                <c:pt idx="8">
                  <c:v>-6.0378223443084549</c:v>
                </c:pt>
                <c:pt idx="9">
                  <c:v>-5.9405873782211369</c:v>
                </c:pt>
                <c:pt idx="10">
                  <c:v>-5.8374990769332733</c:v>
                </c:pt>
                <c:pt idx="11">
                  <c:v>-5.7328318580153059</c:v>
                </c:pt>
                <c:pt idx="12">
                  <c:v>-5.6290746560728557</c:v>
                </c:pt>
                <c:pt idx="13">
                  <c:v>-5.5276619717087092</c:v>
                </c:pt>
                <c:pt idx="14">
                  <c:v>-5.4293927829765529</c:v>
                </c:pt>
              </c:numCache>
            </c:numRef>
          </c:val>
        </c:ser>
        <c:ser>
          <c:idx val="1"/>
          <c:order val="1"/>
          <c:tx>
            <c:strRef>
              <c:f>theta!$L$2</c:f>
              <c:strCache>
                <c:ptCount val="1"/>
                <c:pt idx="0">
                  <c:v>47,5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theta!$L$3:$L$17</c:f>
              <c:numCache>
                <c:formatCode>General</c:formatCode>
                <c:ptCount val="15"/>
                <c:pt idx="0">
                  <c:v>-3.0300067139567557</c:v>
                </c:pt>
                <c:pt idx="1">
                  <c:v>-6.1683108786371452</c:v>
                </c:pt>
                <c:pt idx="2">
                  <c:v>-7.1836459322856552</c:v>
                </c:pt>
                <c:pt idx="3">
                  <c:v>-7.4424590664470403</c:v>
                </c:pt>
                <c:pt idx="4">
                  <c:v>-7.4212893357791314</c:v>
                </c:pt>
                <c:pt idx="5">
                  <c:v>-7.2904213079227507</c:v>
                </c:pt>
                <c:pt idx="6">
                  <c:v>-7.1177236807172894</c:v>
                </c:pt>
                <c:pt idx="7">
                  <c:v>-6.9324361758671227</c:v>
                </c:pt>
                <c:pt idx="8">
                  <c:v>-6.7476866825911026</c:v>
                </c:pt>
                <c:pt idx="9">
                  <c:v>-6.5693662956269474</c:v>
                </c:pt>
                <c:pt idx="10">
                  <c:v>-6.3999454933504296</c:v>
                </c:pt>
                <c:pt idx="11">
                  <c:v>-6.240228804500596</c:v>
                </c:pt>
                <c:pt idx="12">
                  <c:v>-6.0902035416087097</c:v>
                </c:pt>
                <c:pt idx="13">
                  <c:v>-5.9494656960947481</c:v>
                </c:pt>
                <c:pt idx="14">
                  <c:v>-5.8174387817483026</c:v>
                </c:pt>
              </c:numCache>
            </c:numRef>
          </c:val>
        </c:ser>
        <c:ser>
          <c:idx val="2"/>
          <c:order val="2"/>
          <c:tx>
            <c:strRef>
              <c:f>theta!$M$2</c:f>
              <c:strCache>
                <c:ptCount val="1"/>
                <c:pt idx="0">
                  <c:v>48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theta!$M$3:$M$17</c:f>
              <c:numCache>
                <c:formatCode>General</c:formatCode>
                <c:ptCount val="15"/>
                <c:pt idx="0">
                  <c:v>-6.5749876629840598</c:v>
                </c:pt>
                <c:pt idx="1">
                  <c:v>-9.1055794352499166</c:v>
                </c:pt>
                <c:pt idx="2">
                  <c:v>-9.3282034503181421</c:v>
                </c:pt>
                <c:pt idx="3">
                  <c:v>-9.0649163278549238</c:v>
                </c:pt>
                <c:pt idx="4">
                  <c:v>-8.6989063809612865</c:v>
                </c:pt>
                <c:pt idx="5">
                  <c:v>-8.3299637377894307</c:v>
                </c:pt>
                <c:pt idx="6">
                  <c:v>-7.985746274909836</c:v>
                </c:pt>
                <c:pt idx="7">
                  <c:v>-7.6723656113074448</c:v>
                </c:pt>
                <c:pt idx="8">
                  <c:v>-7.3890695078937414</c:v>
                </c:pt>
                <c:pt idx="9">
                  <c:v>-7.1330415297536929</c:v>
                </c:pt>
                <c:pt idx="10">
                  <c:v>-6.9010666855596394</c:v>
                </c:pt>
                <c:pt idx="11">
                  <c:v>-6.6901055321571317</c:v>
                </c:pt>
                <c:pt idx="12">
                  <c:v>-6.4974668125511466</c:v>
                </c:pt>
                <c:pt idx="13">
                  <c:v>-6.3208305087856678</c:v>
                </c:pt>
                <c:pt idx="14">
                  <c:v>-6.1582179349095876</c:v>
                </c:pt>
              </c:numCache>
            </c:numRef>
          </c:val>
        </c:ser>
        <c:ser>
          <c:idx val="3"/>
          <c:order val="3"/>
          <c:tx>
            <c:strRef>
              <c:f>theta!$N$2</c:f>
              <c:strCache>
                <c:ptCount val="1"/>
                <c:pt idx="0">
                  <c:v>48,5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theta!$N$3:$N$17</c:f>
              <c:numCache>
                <c:formatCode>General</c:formatCode>
                <c:ptCount val="15"/>
                <c:pt idx="0">
                  <c:v>-11.913323513162743</c:v>
                </c:pt>
                <c:pt idx="1">
                  <c:v>-12.285887722574705</c:v>
                </c:pt>
                <c:pt idx="2">
                  <c:v>-11.410271265677492</c:v>
                </c:pt>
                <c:pt idx="3">
                  <c:v>-10.558346621630374</c:v>
                </c:pt>
                <c:pt idx="4">
                  <c:v>-9.839109227078616</c:v>
                </c:pt>
                <c:pt idx="5">
                  <c:v>-9.239560505474433</c:v>
                </c:pt>
                <c:pt idx="6">
                  <c:v>-8.7351750209125925</c:v>
                </c:pt>
                <c:pt idx="7">
                  <c:v>-8.3052203382883807</c:v>
                </c:pt>
                <c:pt idx="8">
                  <c:v>-7.9339308145257466</c:v>
                </c:pt>
                <c:pt idx="9">
                  <c:v>-7.6095210632912513</c:v>
                </c:pt>
                <c:pt idx="10">
                  <c:v>-7.3231271093912778</c:v>
                </c:pt>
                <c:pt idx="11">
                  <c:v>-7.0679944310196179</c:v>
                </c:pt>
                <c:pt idx="12">
                  <c:v>-6.838899165250182</c:v>
                </c:pt>
                <c:pt idx="13">
                  <c:v>-6.6317416599055585</c:v>
                </c:pt>
                <c:pt idx="14">
                  <c:v>-6.4432598818421294</c:v>
                </c:pt>
              </c:numCache>
            </c:numRef>
          </c:val>
        </c:ser>
        <c:ser>
          <c:idx val="4"/>
          <c:order val="4"/>
          <c:tx>
            <c:strRef>
              <c:f>theta!$O$2</c:f>
              <c:strCache>
                <c:ptCount val="1"/>
                <c:pt idx="0">
                  <c:v>49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theta!$O$3:$O$17</c:f>
              <c:numCache>
                <c:formatCode>General</c:formatCode>
                <c:ptCount val="15"/>
                <c:pt idx="0">
                  <c:v>-18.127185117006348</c:v>
                </c:pt>
                <c:pt idx="1">
                  <c:v>-15.196153103700823</c:v>
                </c:pt>
                <c:pt idx="2">
                  <c:v>-13.173491131088628</c:v>
                </c:pt>
                <c:pt idx="3">
                  <c:v>-11.777887310236013</c:v>
                </c:pt>
                <c:pt idx="4">
                  <c:v>-10.751800559724195</c:v>
                </c:pt>
                <c:pt idx="5">
                  <c:v>-9.9591136445429864</c:v>
                </c:pt>
                <c:pt idx="6">
                  <c:v>-9.3237711497064382</c:v>
                </c:pt>
                <c:pt idx="7">
                  <c:v>-8.8000944100715497</c:v>
                </c:pt>
                <c:pt idx="8">
                  <c:v>-8.3589253714693683</c:v>
                </c:pt>
                <c:pt idx="9">
                  <c:v>-7.9807106150955924</c:v>
                </c:pt>
                <c:pt idx="10">
                  <c:v>-7.6518012302481395</c:v>
                </c:pt>
                <c:pt idx="11">
                  <c:v>-7.3623500069280947</c:v>
                </c:pt>
                <c:pt idx="12">
                  <c:v>-7.1050538409278188</c:v>
                </c:pt>
                <c:pt idx="13">
                  <c:v>-6.8743684874165041</c:v>
                </c:pt>
                <c:pt idx="14">
                  <c:v>-6.6659999225018005</c:v>
                </c:pt>
              </c:numCache>
            </c:numRef>
          </c:val>
        </c:ser>
        <c:ser>
          <c:idx val="5"/>
          <c:order val="5"/>
          <c:tx>
            <c:strRef>
              <c:f>theta!$P$2</c:f>
              <c:strCache>
                <c:ptCount val="1"/>
                <c:pt idx="0">
                  <c:v>49,5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theta!$P$3:$P$17</c:f>
              <c:numCache>
                <c:formatCode>General</c:formatCode>
                <c:ptCount val="15"/>
                <c:pt idx="0">
                  <c:v>-23.294030691474745</c:v>
                </c:pt>
                <c:pt idx="1">
                  <c:v>-17.280575323894766</c:v>
                </c:pt>
                <c:pt idx="2">
                  <c:v>-14.383828445551233</c:v>
                </c:pt>
                <c:pt idx="3">
                  <c:v>-12.601787223449731</c:v>
                </c:pt>
                <c:pt idx="4">
                  <c:v>-11.364968995713062</c:v>
                </c:pt>
                <c:pt idx="5">
                  <c:v>-10.44222933817125</c:v>
                </c:pt>
                <c:pt idx="6">
                  <c:v>-9.719769182308923</c:v>
                </c:pt>
                <c:pt idx="7">
                  <c:v>-9.1342263339840297</c:v>
                </c:pt>
                <c:pt idx="8">
                  <c:v>-8.6471587395462493</c:v>
                </c:pt>
                <c:pt idx="9">
                  <c:v>-8.2337136683644943</c:v>
                </c:pt>
                <c:pt idx="10">
                  <c:v>-7.877016803333734</c:v>
                </c:pt>
                <c:pt idx="11">
                  <c:v>-7.5651552642270286</c:v>
                </c:pt>
                <c:pt idx="12">
                  <c:v>-7.2894470864291803</c:v>
                </c:pt>
                <c:pt idx="13">
                  <c:v>-7.0433954464942357</c:v>
                </c:pt>
                <c:pt idx="14">
                  <c:v>-6.8220288864564358</c:v>
                </c:pt>
              </c:numCache>
            </c:numRef>
          </c:val>
        </c:ser>
        <c:ser>
          <c:idx val="6"/>
          <c:order val="6"/>
          <c:tx>
            <c:strRef>
              <c:f>theta!$Q$2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theta!$Q$3:$Q$17</c:f>
              <c:numCache>
                <c:formatCode>General</c:formatCode>
                <c:ptCount val="15"/>
                <c:pt idx="0">
                  <c:v>-25.426758976138576</c:v>
                </c:pt>
                <c:pt idx="1">
                  <c:v>-18.120778865870637</c:v>
                </c:pt>
                <c:pt idx="2">
                  <c:v>-14.883110340351314</c:v>
                </c:pt>
                <c:pt idx="3">
                  <c:v>-12.952484795655582</c:v>
                </c:pt>
                <c:pt idx="4">
                  <c:v>-11.634556644838412</c:v>
                </c:pt>
                <c:pt idx="5">
                  <c:v>-10.661401934043921</c:v>
                </c:pt>
                <c:pt idx="6">
                  <c:v>-9.9048315146328854</c:v>
                </c:pt>
                <c:pt idx="7">
                  <c:v>-9.2947870872383316</c:v>
                </c:pt>
                <c:pt idx="8">
                  <c:v>-8.7893195961676813</c:v>
                </c:pt>
                <c:pt idx="9">
                  <c:v>-8.3615740977497683</c:v>
                </c:pt>
                <c:pt idx="10">
                  <c:v>-7.99345532931933</c:v>
                </c:pt>
                <c:pt idx="11">
                  <c:v>-7.6722661064089372</c:v>
                </c:pt>
                <c:pt idx="12">
                  <c:v>-7.3887989363674009</c:v>
                </c:pt>
                <c:pt idx="13">
                  <c:v>-7.1361923511219825</c:v>
                </c:pt>
                <c:pt idx="14">
                  <c:v>-6.9092143354780911</c:v>
                </c:pt>
              </c:numCache>
            </c:numRef>
          </c:val>
        </c:ser>
        <c:ser>
          <c:idx val="7"/>
          <c:order val="7"/>
          <c:tx>
            <c:strRef>
              <c:f>theta!$R$2</c:f>
              <c:strCache>
                <c:ptCount val="1"/>
                <c:pt idx="0">
                  <c:v>50,5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theta!$R$3:$R$17</c:f>
              <c:numCache>
                <c:formatCode>General</c:formatCode>
                <c:ptCount val="15"/>
                <c:pt idx="0">
                  <c:v>-23.724482267653496</c:v>
                </c:pt>
                <c:pt idx="1">
                  <c:v>-17.577694745794279</c:v>
                </c:pt>
                <c:pt idx="2">
                  <c:v>-14.624257559149322</c:v>
                </c:pt>
                <c:pt idx="3">
                  <c:v>-12.809017918615314</c:v>
                </c:pt>
                <c:pt idx="4">
                  <c:v>-11.549768935896072</c:v>
                </c:pt>
                <c:pt idx="5">
                  <c:v>-10.610576734080391</c:v>
                </c:pt>
                <c:pt idx="6">
                  <c:v>-9.8753857845670598</c:v>
                </c:pt>
                <c:pt idx="7">
                  <c:v>-9.2796137216926091</c:v>
                </c:pt>
                <c:pt idx="8">
                  <c:v>-8.7840935665795712</c:v>
                </c:pt>
                <c:pt idx="9">
                  <c:v>-8.3635112793369117</c:v>
                </c:pt>
                <c:pt idx="10">
                  <c:v>-8.0006831802725706</c:v>
                </c:pt>
                <c:pt idx="11">
                  <c:v>-7.6834801520157399</c:v>
                </c:pt>
                <c:pt idx="12">
                  <c:v>-7.4030639261222353</c:v>
                </c:pt>
                <c:pt idx="13">
                  <c:v>-7.1528215160150745</c:v>
                </c:pt>
                <c:pt idx="14">
                  <c:v>-6.9276930920327313</c:v>
                </c:pt>
              </c:numCache>
            </c:numRef>
          </c:val>
        </c:ser>
        <c:ser>
          <c:idx val="8"/>
          <c:order val="8"/>
          <c:tx>
            <c:strRef>
              <c:f>theta!$S$2</c:f>
              <c:strCache>
                <c:ptCount val="1"/>
                <c:pt idx="0">
                  <c:v>51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theta!$S$3:$S$17</c:f>
              <c:numCache>
                <c:formatCode>General</c:formatCode>
                <c:ptCount val="15"/>
                <c:pt idx="0">
                  <c:v>-19.065468160882464</c:v>
                </c:pt>
                <c:pt idx="1">
                  <c:v>-15.828668000431829</c:v>
                </c:pt>
                <c:pt idx="2">
                  <c:v>-13.677424664047985</c:v>
                </c:pt>
                <c:pt idx="3">
                  <c:v>-12.20809987196137</c:v>
                </c:pt>
                <c:pt idx="4">
                  <c:v>-11.133007864978225</c:v>
                </c:pt>
                <c:pt idx="5">
                  <c:v>-10.304812587401498</c:v>
                </c:pt>
                <c:pt idx="6">
                  <c:v>-9.6422498495166735</c:v>
                </c:pt>
                <c:pt idx="7">
                  <c:v>-9.0968618120897187</c:v>
                </c:pt>
                <c:pt idx="8">
                  <c:v>-8.6378582342652646</c:v>
                </c:pt>
                <c:pt idx="9">
                  <c:v>-8.2446572508511835</c:v>
                </c:pt>
                <c:pt idx="10">
                  <c:v>-7.9029260626361051</c:v>
                </c:pt>
                <c:pt idx="11">
                  <c:v>-7.6023429096966302</c:v>
                </c:pt>
                <c:pt idx="12">
                  <c:v>-7.3352638320979686</c:v>
                </c:pt>
                <c:pt idx="13">
                  <c:v>-7.095892665956633</c:v>
                </c:pt>
                <c:pt idx="14">
                  <c:v>-6.8797446736565364</c:v>
                </c:pt>
              </c:numCache>
            </c:numRef>
          </c:val>
        </c:ser>
        <c:ser>
          <c:idx val="9"/>
          <c:order val="9"/>
          <c:tx>
            <c:strRef>
              <c:f>theta!$T$2</c:f>
              <c:strCache>
                <c:ptCount val="1"/>
                <c:pt idx="0">
                  <c:v>51,5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theta!$T$3:$T$17</c:f>
              <c:numCache>
                <c:formatCode>General</c:formatCode>
                <c:ptCount val="15"/>
                <c:pt idx="0">
                  <c:v>-13.338362030903939</c:v>
                </c:pt>
                <c:pt idx="1">
                  <c:v>-13.288038355641236</c:v>
                </c:pt>
                <c:pt idx="2">
                  <c:v>-12.206871782841301</c:v>
                </c:pt>
                <c:pt idx="3">
                  <c:v>-11.234342942730077</c:v>
                </c:pt>
                <c:pt idx="4">
                  <c:v>-10.434807880488291</c:v>
                </c:pt>
                <c:pt idx="5">
                  <c:v>-9.7773021672254021</c:v>
                </c:pt>
                <c:pt idx="6">
                  <c:v>-9.2287190483774886</c:v>
                </c:pt>
                <c:pt idx="7">
                  <c:v>-8.763697700426718</c:v>
                </c:pt>
                <c:pt idx="8">
                  <c:v>-8.3637453302056759</c:v>
                </c:pt>
                <c:pt idx="9">
                  <c:v>-8.0153586446848255</c:v>
                </c:pt>
                <c:pt idx="10">
                  <c:v>-7.7085336287411348</c:v>
                </c:pt>
                <c:pt idx="11">
                  <c:v>-7.435726971133418</c:v>
                </c:pt>
                <c:pt idx="12">
                  <c:v>-7.1911500980263474</c:v>
                </c:pt>
                <c:pt idx="13">
                  <c:v>-6.9702874121911389</c:v>
                </c:pt>
                <c:pt idx="14">
                  <c:v>-6.7695630606656136</c:v>
                </c:pt>
              </c:numCache>
            </c:numRef>
          </c:val>
        </c:ser>
        <c:ser>
          <c:idx val="10"/>
          <c:order val="10"/>
          <c:tx>
            <c:strRef>
              <c:f>theta!$U$2</c:f>
              <c:strCache>
                <c:ptCount val="1"/>
                <c:pt idx="0">
                  <c:v>52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theta!$U$3:$U$17</c:f>
              <c:numCache>
                <c:formatCode>General</c:formatCode>
                <c:ptCount val="15"/>
                <c:pt idx="0">
                  <c:v>-8.2745388395759516</c:v>
                </c:pt>
                <c:pt idx="1">
                  <c:v>-10.457196587899377</c:v>
                </c:pt>
                <c:pt idx="2">
                  <c:v>-10.42820853931882</c:v>
                </c:pt>
                <c:pt idx="3">
                  <c:v>-10.002837742459501</c:v>
                </c:pt>
                <c:pt idx="4">
                  <c:v>-9.5251496525536599</c:v>
                </c:pt>
                <c:pt idx="5">
                  <c:v>-9.0744413826333634</c:v>
                </c:pt>
                <c:pt idx="6">
                  <c:v>-8.6675035611644429</c:v>
                </c:pt>
                <c:pt idx="7">
                  <c:v>-8.3042660520427152</c:v>
                </c:pt>
                <c:pt idx="8">
                  <c:v>-7.9802220293545716</c:v>
                </c:pt>
                <c:pt idx="9">
                  <c:v>-7.690146155254137</c:v>
                </c:pt>
                <c:pt idx="10">
                  <c:v>-7.4292064446326282</c:v>
                </c:pt>
                <c:pt idx="11">
                  <c:v>-7.1932365760547059</c:v>
                </c:pt>
                <c:pt idx="12">
                  <c:v>-6.9787349150324651</c:v>
                </c:pt>
                <c:pt idx="13">
                  <c:v>-6.782782952280229</c:v>
                </c:pt>
                <c:pt idx="14">
                  <c:v>-6.6029498026019064</c:v>
                </c:pt>
              </c:numCache>
            </c:numRef>
          </c:val>
        </c:ser>
        <c:ser>
          <c:idx val="11"/>
          <c:order val="11"/>
          <c:tx>
            <c:strRef>
              <c:f>theta!$V$2</c:f>
              <c:strCache>
                <c:ptCount val="1"/>
                <c:pt idx="0">
                  <c:v>52,5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theta!$V$3:$V$17</c:f>
              <c:numCache>
                <c:formatCode>General</c:formatCode>
                <c:ptCount val="15"/>
                <c:pt idx="0">
                  <c:v>-4.7190232773670751</c:v>
                </c:pt>
                <c:pt idx="1">
                  <c:v>-7.7756578782523658</c:v>
                </c:pt>
                <c:pt idx="2">
                  <c:v>-8.5606573035278331</c:v>
                </c:pt>
                <c:pt idx="3">
                  <c:v>-8.6387770025785109</c:v>
                </c:pt>
                <c:pt idx="4">
                  <c:v>-8.48308608682437</c:v>
                </c:pt>
                <c:pt idx="5">
                  <c:v>-8.2498872277538382</c:v>
                </c:pt>
                <c:pt idx="6">
                  <c:v>-7.9970267046857355</c:v>
                </c:pt>
                <c:pt idx="7">
                  <c:v>-7.7472346397045548</c:v>
                </c:pt>
                <c:pt idx="8">
                  <c:v>-7.5093815036140512</c:v>
                </c:pt>
                <c:pt idx="9">
                  <c:v>-7.2864974499808959</c:v>
                </c:pt>
                <c:pt idx="10">
                  <c:v>-7.0790721281706004</c:v>
                </c:pt>
                <c:pt idx="11">
                  <c:v>-6.8864994355931071</c:v>
                </c:pt>
                <c:pt idx="12">
                  <c:v>-6.7077363203101008</c:v>
                </c:pt>
                <c:pt idx="13">
                  <c:v>-6.5416090450226125</c:v>
                </c:pt>
                <c:pt idx="14">
                  <c:v>-6.3869545490152113</c:v>
                </c:pt>
              </c:numCache>
            </c:numRef>
          </c:val>
        </c:ser>
        <c:ser>
          <c:idx val="12"/>
          <c:order val="12"/>
          <c:tx>
            <c:strRef>
              <c:f>theta!$W$2</c:f>
              <c:strCache>
                <c:ptCount val="1"/>
                <c:pt idx="0">
                  <c:v>53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theta!$W$3:$W$17</c:f>
              <c:numCache>
                <c:formatCode>General</c:formatCode>
                <c:ptCount val="15"/>
                <c:pt idx="0">
                  <c:v>-2.6555800741646687</c:v>
                </c:pt>
                <c:pt idx="1">
                  <c:v>-5.5289185556129992</c:v>
                </c:pt>
                <c:pt idx="2">
                  <c:v>-6.7879204501206676</c:v>
                </c:pt>
                <c:pt idx="3">
                  <c:v>-7.2587748245021002</c:v>
                </c:pt>
                <c:pt idx="4">
                  <c:v>-7.3866592618800464</c:v>
                </c:pt>
                <c:pt idx="5">
                  <c:v>-7.3585790163584441</c:v>
                </c:pt>
                <c:pt idx="6">
                  <c:v>-7.2576177947617024</c:v>
                </c:pt>
                <c:pt idx="7">
                  <c:v>-7.1232323461165912</c:v>
                </c:pt>
                <c:pt idx="8">
                  <c:v>-6.9751416113643323</c:v>
                </c:pt>
                <c:pt idx="9">
                  <c:v>-6.8235249264384157</c:v>
                </c:pt>
                <c:pt idx="10">
                  <c:v>-6.673700979859583</c:v>
                </c:pt>
                <c:pt idx="11">
                  <c:v>-6.528409969769573</c:v>
                </c:pt>
                <c:pt idx="12">
                  <c:v>-6.388984160657813</c:v>
                </c:pt>
                <c:pt idx="13">
                  <c:v>-6.2559732832164299</c:v>
                </c:pt>
                <c:pt idx="14">
                  <c:v>-6.1294897258838548</c:v>
                </c:pt>
              </c:numCache>
            </c:numRef>
          </c:val>
        </c:ser>
        <c:ser>
          <c:idx val="13"/>
          <c:order val="13"/>
          <c:tx>
            <c:strRef>
              <c:f>theta!$X$2</c:f>
              <c:strCache>
                <c:ptCount val="1"/>
                <c:pt idx="0">
                  <c:v>53,5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theta!$X$3:$X$17</c:f>
              <c:numCache>
                <c:formatCode>General</c:formatCode>
                <c:ptCount val="15"/>
                <c:pt idx="0">
                  <c:v>-1.6442925770127559</c:v>
                </c:pt>
                <c:pt idx="1">
                  <c:v>-3.8299817125820272</c:v>
                </c:pt>
                <c:pt idx="2">
                  <c:v>-5.235719852755242</c:v>
                </c:pt>
                <c:pt idx="3">
                  <c:v>-5.9572614437892177</c:v>
                </c:pt>
                <c:pt idx="4">
                  <c:v>-6.3046929235025573</c:v>
                </c:pt>
                <c:pt idx="5">
                  <c:v>-6.4515484118059181</c:v>
                </c:pt>
                <c:pt idx="6">
                  <c:v>-6.4880673879587798</c:v>
                </c:pt>
                <c:pt idx="7">
                  <c:v>-6.4624638851127321</c:v>
                </c:pt>
                <c:pt idx="8">
                  <c:v>-6.4015330166220146</c:v>
                </c:pt>
                <c:pt idx="9">
                  <c:v>-6.3207094470356457</c:v>
                </c:pt>
                <c:pt idx="10">
                  <c:v>-6.2291450362956056</c:v>
                </c:pt>
                <c:pt idx="11">
                  <c:v>-6.1323839165216825</c:v>
                </c:pt>
                <c:pt idx="12">
                  <c:v>-6.0338308810013936</c:v>
                </c:pt>
                <c:pt idx="13">
                  <c:v>-5.9355876243887105</c:v>
                </c:pt>
                <c:pt idx="14">
                  <c:v>-5.8389445552169246</c:v>
                </c:pt>
              </c:numCache>
            </c:numRef>
          </c:val>
        </c:ser>
        <c:ser>
          <c:idx val="14"/>
          <c:order val="14"/>
          <c:tx>
            <c:strRef>
              <c:f>theta!$Y$2</c:f>
              <c:strCache>
                <c:ptCount val="1"/>
                <c:pt idx="0">
                  <c:v>54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theta!$Y$3:$Y$17</c:f>
              <c:numCache>
                <c:formatCode>General</c:formatCode>
                <c:ptCount val="15"/>
                <c:pt idx="0">
                  <c:v>-1.2199787999936813</c:v>
                </c:pt>
                <c:pt idx="1">
                  <c:v>-2.6563944905736916</c:v>
                </c:pt>
                <c:pt idx="2">
                  <c:v>-3.9672232478764142</c:v>
                </c:pt>
                <c:pt idx="3">
                  <c:v>-4.7994584583223556</c:v>
                </c:pt>
                <c:pt idx="4">
                  <c:v>-5.2913914938014655</c:v>
                </c:pt>
                <c:pt idx="5">
                  <c:v>-5.57207286954824</c:v>
                </c:pt>
                <c:pt idx="6">
                  <c:v>-5.7228852367975716</c:v>
                </c:pt>
                <c:pt idx="7">
                  <c:v>-5.7927185291623786</c:v>
                </c:pt>
                <c:pt idx="8">
                  <c:v>-5.8112208529972555</c:v>
                </c:pt>
                <c:pt idx="9">
                  <c:v>-5.7967789444251592</c:v>
                </c:pt>
                <c:pt idx="10">
                  <c:v>-5.7610704596101643</c:v>
                </c:pt>
                <c:pt idx="11">
                  <c:v>-5.7116750382524</c:v>
                </c:pt>
                <c:pt idx="12">
                  <c:v>-5.6536047865378496</c:v>
                </c:pt>
                <c:pt idx="13">
                  <c:v>-5.5902246836817895</c:v>
                </c:pt>
                <c:pt idx="14">
                  <c:v>-5.5238203807418405</c:v>
                </c:pt>
              </c:numCache>
            </c:numRef>
          </c:val>
        </c:ser>
        <c:ser>
          <c:idx val="15"/>
          <c:order val="15"/>
          <c:tx>
            <c:strRef>
              <c:f>theta!$Z$2</c:f>
              <c:strCache>
                <c:ptCount val="1"/>
                <c:pt idx="0">
                  <c:v>54,5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theta!$Z$3:$Z$17</c:f>
              <c:numCache>
                <c:formatCode>General</c:formatCode>
                <c:ptCount val="15"/>
                <c:pt idx="0">
                  <c:v>-1.0660656945047953</c:v>
                </c:pt>
                <c:pt idx="1">
                  <c:v>-1.9097701255594399</c:v>
                </c:pt>
                <c:pt idx="2">
                  <c:v>-2.992226558554115</c:v>
                </c:pt>
                <c:pt idx="3">
                  <c:v>-3.8206343554559519</c:v>
                </c:pt>
                <c:pt idx="4">
                  <c:v>-4.383971211005246</c:v>
                </c:pt>
                <c:pt idx="5">
                  <c:v>-4.7534128492973169</c:v>
                </c:pt>
                <c:pt idx="6">
                  <c:v>-4.9904457310772505</c:v>
                </c:pt>
                <c:pt idx="7">
                  <c:v>-5.1379063717086266</c:v>
                </c:pt>
                <c:pt idx="8">
                  <c:v>-5.2243557728399521</c:v>
                </c:pt>
                <c:pt idx="9">
                  <c:v>-5.2688013658936583</c:v>
                </c:pt>
                <c:pt idx="10">
                  <c:v>-5.2840343831377643</c:v>
                </c:pt>
                <c:pt idx="11">
                  <c:v>-5.2787921652691532</c:v>
                </c:pt>
                <c:pt idx="12">
                  <c:v>-5.2591348454830094</c:v>
                </c:pt>
                <c:pt idx="13">
                  <c:v>-5.2293262203588791</c:v>
                </c:pt>
                <c:pt idx="14">
                  <c:v>-5.1924048544572052</c:v>
                </c:pt>
              </c:numCache>
            </c:numRef>
          </c:val>
        </c:ser>
        <c:ser>
          <c:idx val="16"/>
          <c:order val="16"/>
          <c:tx>
            <c:strRef>
              <c:f>theta!$AA$2</c:f>
              <c:strCache>
                <c:ptCount val="1"/>
                <c:pt idx="0">
                  <c:v>55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theta!$AA$3:$AA$17</c:f>
              <c:numCache>
                <c:formatCode>General</c:formatCode>
                <c:ptCount val="15"/>
                <c:pt idx="0">
                  <c:v>-1.0174324395154735</c:v>
                </c:pt>
                <c:pt idx="1">
                  <c:v>-1.4697031906592772</c:v>
                </c:pt>
                <c:pt idx="2">
                  <c:v>-2.2835443852260342</c:v>
                </c:pt>
                <c:pt idx="3">
                  <c:v>-3.030084191124744</c:v>
                </c:pt>
                <c:pt idx="4">
                  <c:v>-3.6029642457331894</c:v>
                </c:pt>
                <c:pt idx="5">
                  <c:v>-4.0180855366326593</c:v>
                </c:pt>
                <c:pt idx="6">
                  <c:v>-4.3120538264099588</c:v>
                </c:pt>
                <c:pt idx="7">
                  <c:v>-4.5171702191661094</c:v>
                </c:pt>
                <c:pt idx="8">
                  <c:v>-4.6577993673807168</c:v>
                </c:pt>
                <c:pt idx="9">
                  <c:v>-4.7515296745092845</c:v>
                </c:pt>
                <c:pt idx="10">
                  <c:v>-4.810936684940545</c:v>
                </c:pt>
                <c:pt idx="11">
                  <c:v>-4.8450409071579319</c:v>
                </c:pt>
                <c:pt idx="12">
                  <c:v>-4.8603664418294246</c:v>
                </c:pt>
                <c:pt idx="13">
                  <c:v>-4.8616793630238142</c:v>
                </c:pt>
                <c:pt idx="14">
                  <c:v>-4.8524975125771759</c:v>
                </c:pt>
              </c:numCache>
            </c:numRef>
          </c:val>
        </c:ser>
        <c:ser>
          <c:idx val="17"/>
          <c:order val="17"/>
          <c:tx>
            <c:strRef>
              <c:f>theta!$AB$2</c:f>
              <c:strCache>
                <c:ptCount val="1"/>
                <c:pt idx="0">
                  <c:v>55,5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theta!$J$3:$J$17</c:f>
              <c:numCache>
                <c:formatCode>General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cat>
          <c:val>
            <c:numRef>
              <c:f>theta!$AB$3:$AB$17</c:f>
              <c:numCache>
                <c:formatCode>General</c:formatCode>
                <c:ptCount val="15"/>
                <c:pt idx="0">
                  <c:v>-1.0039624316329916</c:v>
                </c:pt>
                <c:pt idx="1">
                  <c:v>-1.2282848033490446</c:v>
                </c:pt>
                <c:pt idx="2">
                  <c:v>-1.7944249024281329</c:v>
                </c:pt>
                <c:pt idx="3">
                  <c:v>-2.4177507585012696</c:v>
                </c:pt>
                <c:pt idx="4">
                  <c:v>-2.9544711326825772</c:v>
                </c:pt>
                <c:pt idx="5">
                  <c:v>-3.3784148305806361</c:v>
                </c:pt>
                <c:pt idx="6">
                  <c:v>-3.7018405853508041</c:v>
                </c:pt>
                <c:pt idx="7">
                  <c:v>-3.9445468880634764</c:v>
                </c:pt>
                <c:pt idx="8">
                  <c:v>-4.1247226731105258</c:v>
                </c:pt>
                <c:pt idx="9">
                  <c:v>-4.2570067635168298</c:v>
                </c:pt>
                <c:pt idx="10">
                  <c:v>-4.3526572458232913</c:v>
                </c:pt>
                <c:pt idx="11">
                  <c:v>-4.4202006845302408</c:v>
                </c:pt>
                <c:pt idx="12">
                  <c:v>-4.4660778426524255</c:v>
                </c:pt>
                <c:pt idx="13">
                  <c:v>-4.495169157282926</c:v>
                </c:pt>
                <c:pt idx="14">
                  <c:v>-4.5111941390880963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098048512"/>
        <c:axId val="-1098049056"/>
        <c:axId val="-1099041184"/>
      </c:surface3DChart>
      <c:catAx>
        <c:axId val="-10980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9056"/>
        <c:crosses val="autoZero"/>
        <c:auto val="1"/>
        <c:lblAlgn val="ctr"/>
        <c:lblOffset val="100"/>
        <c:noMultiLvlLbl val="0"/>
      </c:catAx>
      <c:valAx>
        <c:axId val="-10980490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8512"/>
        <c:crosses val="autoZero"/>
        <c:crossBetween val="midCat"/>
      </c:valAx>
      <c:serAx>
        <c:axId val="-1099041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9804905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E$68" horiz="1" max="150" page="0" val="18"/>
</file>

<file path=xl/ctrlProps/ctrlProp10.xml><?xml version="1.0" encoding="utf-8"?>
<formControlPr xmlns="http://schemas.microsoft.com/office/spreadsheetml/2009/9/main" objectType="Scroll" dx="22" fmlaLink="$E$62" horiz="1" max="10" page="10" val="2"/>
</file>

<file path=xl/ctrlProps/ctrlProp11.xml><?xml version="1.0" encoding="utf-8"?>
<formControlPr xmlns="http://schemas.microsoft.com/office/spreadsheetml/2009/9/main" objectType="Scroll" dx="22" fmlaLink="$E$60" horiz="1" max="150" page="10" val="31"/>
</file>

<file path=xl/ctrlProps/ctrlProp12.xml><?xml version="1.0" encoding="utf-8"?>
<formControlPr xmlns="http://schemas.microsoft.com/office/spreadsheetml/2009/9/main" objectType="Scroll" dx="22" fmlaLink="$E$61" horiz="1" max="10" page="10"/>
</file>

<file path=xl/ctrlProps/ctrlProp13.xml><?xml version="1.0" encoding="utf-8"?>
<formControlPr xmlns="http://schemas.microsoft.com/office/spreadsheetml/2009/9/main" objectType="Scroll" dx="22" fmlaLink="$E$69" horiz="1" max="100" page="10" val="20"/>
</file>

<file path=xl/ctrlProps/ctrlProp14.xml><?xml version="1.0" encoding="utf-8"?>
<formControlPr xmlns="http://schemas.microsoft.com/office/spreadsheetml/2009/9/main" objectType="Scroll" dx="22" fmlaLink="$E$70" horiz="1" max="10" page="10" val="2"/>
</file>

<file path=xl/ctrlProps/ctrlProp15.xml><?xml version="1.0" encoding="utf-8"?>
<formControlPr xmlns="http://schemas.microsoft.com/office/spreadsheetml/2009/9/main" objectType="Scroll" dx="22" fmlaLink="$F$68" horiz="1" max="200" page="10" val="40"/>
</file>

<file path=xl/ctrlProps/ctrlProp16.xml><?xml version="1.0" encoding="utf-8"?>
<formControlPr xmlns="http://schemas.microsoft.com/office/spreadsheetml/2009/9/main" objectType="Scroll" dx="22" fmlaLink="$F$67" horiz="1" max="200" page="10" val="24"/>
</file>

<file path=xl/ctrlProps/ctrlProp17.xml><?xml version="1.0" encoding="utf-8"?>
<formControlPr xmlns="http://schemas.microsoft.com/office/spreadsheetml/2009/9/main" objectType="Scroll" dx="22" fmlaLink="$E$71" horiz="1" max="100" page="0" val="13"/>
</file>

<file path=xl/ctrlProps/ctrlProp2.xml><?xml version="1.0" encoding="utf-8"?>
<formControlPr xmlns="http://schemas.microsoft.com/office/spreadsheetml/2009/9/main" objectType="Scroll" dx="22" fmlaLink="$E$69" horiz="1" max="10" page="10" val="5"/>
</file>

<file path=xl/ctrlProps/ctrlProp3.xml><?xml version="1.0" encoding="utf-8"?>
<formControlPr xmlns="http://schemas.microsoft.com/office/spreadsheetml/2009/9/main" objectType="Scroll" dx="22" fmlaLink="$E$61" horiz="1" max="150" page="10" val="14"/>
</file>

<file path=xl/ctrlProps/ctrlProp4.xml><?xml version="1.0" encoding="utf-8"?>
<formControlPr xmlns="http://schemas.microsoft.com/office/spreadsheetml/2009/9/main" objectType="Scroll" dx="22" fmlaLink="$E$62" horiz="1" max="10" page="10" val="5"/>
</file>

<file path=xl/ctrlProps/ctrlProp5.xml><?xml version="1.0" encoding="utf-8"?>
<formControlPr xmlns="http://schemas.microsoft.com/office/spreadsheetml/2009/9/main" objectType="Scroll" dx="22" fmlaLink="$E$60" horiz="1" max="150" page="10" val="25"/>
</file>

<file path=xl/ctrlProps/ctrlProp6.xml><?xml version="1.0" encoding="utf-8"?>
<formControlPr xmlns="http://schemas.microsoft.com/office/spreadsheetml/2009/9/main" objectType="Scroll" dx="22" fmlaLink="$E$61" horiz="1" max="10" page="10" val="2"/>
</file>

<file path=xl/ctrlProps/ctrlProp7.xml><?xml version="1.0" encoding="utf-8"?>
<formControlPr xmlns="http://schemas.microsoft.com/office/spreadsheetml/2009/9/main" objectType="Scroll" dx="22" fmlaLink="$E$60" horiz="1" max="150" page="10" val="13"/>
</file>

<file path=xl/ctrlProps/ctrlProp8.xml><?xml version="1.0" encoding="utf-8"?>
<formControlPr xmlns="http://schemas.microsoft.com/office/spreadsheetml/2009/9/main" objectType="Scroll" dx="22" fmlaLink="$E$61" horiz="1" max="10" page="10" val="2"/>
</file>

<file path=xl/ctrlProps/ctrlProp9.xml><?xml version="1.0" encoding="utf-8"?>
<formControlPr xmlns="http://schemas.microsoft.com/office/spreadsheetml/2009/9/main" objectType="Scroll" dx="22" fmlaLink="$E$61" horiz="1" max="150" page="10" val="1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56</xdr:row>
      <xdr:rowOff>133351</xdr:rowOff>
    </xdr:from>
    <xdr:to>
      <xdr:col>28</xdr:col>
      <xdr:colOff>219075</xdr:colOff>
      <xdr:row>91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57</xdr:row>
      <xdr:rowOff>161924</xdr:rowOff>
    </xdr:from>
    <xdr:to>
      <xdr:col>14</xdr:col>
      <xdr:colOff>240221</xdr:colOff>
      <xdr:row>79</xdr:row>
      <xdr:rowOff>85724</xdr:rowOff>
    </xdr:to>
    <xdr:graphicFrame macro="">
      <xdr:nvGraphicFramePr>
        <xdr:cNvPr id="4" name="Диаграмма 3" title="delta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67</xdr:row>
          <xdr:rowOff>19050</xdr:rowOff>
        </xdr:from>
        <xdr:to>
          <xdr:col>4</xdr:col>
          <xdr:colOff>19050</xdr:colOff>
          <xdr:row>67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590550</xdr:colOff>
          <xdr:row>68</xdr:row>
          <xdr:rowOff>9525</xdr:rowOff>
        </xdr:from>
        <xdr:to>
          <xdr:col>3</xdr:col>
          <xdr:colOff>600075</xdr:colOff>
          <xdr:row>68</xdr:row>
          <xdr:rowOff>171450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295275</xdr:colOff>
      <xdr:row>80</xdr:row>
      <xdr:rowOff>128587</xdr:rowOff>
    </xdr:from>
    <xdr:to>
      <xdr:col>14</xdr:col>
      <xdr:colOff>47625</xdr:colOff>
      <xdr:row>97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561975</xdr:colOff>
      <xdr:row>98</xdr:row>
      <xdr:rowOff>147637</xdr:rowOff>
    </xdr:from>
    <xdr:to>
      <xdr:col>14</xdr:col>
      <xdr:colOff>66675</xdr:colOff>
      <xdr:row>121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55</xdr:row>
      <xdr:rowOff>114301</xdr:rowOff>
    </xdr:from>
    <xdr:to>
      <xdr:col>29</xdr:col>
      <xdr:colOff>552449</xdr:colOff>
      <xdr:row>90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190501</xdr:colOff>
      <xdr:row>55</xdr:row>
      <xdr:rowOff>142875</xdr:rowOff>
    </xdr:from>
    <xdr:to>
      <xdr:col>14</xdr:col>
      <xdr:colOff>495301</xdr:colOff>
      <xdr:row>82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19050</xdr:colOff>
          <xdr:row>60</xdr:row>
          <xdr:rowOff>9525</xdr:rowOff>
        </xdr:from>
        <xdr:to>
          <xdr:col>4</xdr:col>
          <xdr:colOff>19050</xdr:colOff>
          <xdr:row>60</xdr:row>
          <xdr:rowOff>171450</xdr:rowOff>
        </xdr:to>
        <xdr:sp macro="" textlink="">
          <xdr:nvSpPr>
            <xdr:cNvPr id="2053" name="Scroll Ba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590550</xdr:colOff>
          <xdr:row>60</xdr:row>
          <xdr:rowOff>180975</xdr:rowOff>
        </xdr:from>
        <xdr:to>
          <xdr:col>3</xdr:col>
          <xdr:colOff>600075</xdr:colOff>
          <xdr:row>61</xdr:row>
          <xdr:rowOff>161925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47626</xdr:colOff>
      <xdr:row>84</xdr:row>
      <xdr:rowOff>42861</xdr:rowOff>
    </xdr:from>
    <xdr:to>
      <xdr:col>14</xdr:col>
      <xdr:colOff>209550</xdr:colOff>
      <xdr:row>103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105</xdr:row>
      <xdr:rowOff>4762</xdr:rowOff>
    </xdr:from>
    <xdr:to>
      <xdr:col>14</xdr:col>
      <xdr:colOff>76200</xdr:colOff>
      <xdr:row>125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56</xdr:row>
      <xdr:rowOff>95251</xdr:rowOff>
    </xdr:from>
    <xdr:to>
      <xdr:col>30</xdr:col>
      <xdr:colOff>590550</xdr:colOff>
      <xdr:row>91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56</xdr:row>
      <xdr:rowOff>76200</xdr:rowOff>
    </xdr:from>
    <xdr:to>
      <xdr:col>14</xdr:col>
      <xdr:colOff>57150</xdr:colOff>
      <xdr:row>82</xdr:row>
      <xdr:rowOff>47625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600075</xdr:colOff>
          <xdr:row>59</xdr:row>
          <xdr:rowOff>9525</xdr:rowOff>
        </xdr:from>
        <xdr:to>
          <xdr:col>4</xdr:col>
          <xdr:colOff>0</xdr:colOff>
          <xdr:row>59</xdr:row>
          <xdr:rowOff>171450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600075</xdr:colOff>
          <xdr:row>60</xdr:row>
          <xdr:rowOff>19050</xdr:rowOff>
        </xdr:from>
        <xdr:to>
          <xdr:col>3</xdr:col>
          <xdr:colOff>600075</xdr:colOff>
          <xdr:row>60</xdr:row>
          <xdr:rowOff>180975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495300</xdr:colOff>
      <xdr:row>102</xdr:row>
      <xdr:rowOff>152399</xdr:rowOff>
    </xdr:from>
    <xdr:to>
      <xdr:col>14</xdr:col>
      <xdr:colOff>142875</xdr:colOff>
      <xdr:row>123</xdr:row>
      <xdr:rowOff>123824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504825</xdr:colOff>
      <xdr:row>83</xdr:row>
      <xdr:rowOff>109537</xdr:rowOff>
    </xdr:from>
    <xdr:to>
      <xdr:col>14</xdr:col>
      <xdr:colOff>9525</xdr:colOff>
      <xdr:row>101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495295</xdr:colOff>
      <xdr:row>56</xdr:row>
      <xdr:rowOff>161923</xdr:rowOff>
    </xdr:from>
    <xdr:to>
      <xdr:col>28</xdr:col>
      <xdr:colOff>327860</xdr:colOff>
      <xdr:row>95</xdr:row>
      <xdr:rowOff>189354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57</xdr:row>
      <xdr:rowOff>47625</xdr:rowOff>
    </xdr:from>
    <xdr:to>
      <xdr:col>14</xdr:col>
      <xdr:colOff>95250</xdr:colOff>
      <xdr:row>84</xdr:row>
      <xdr:rowOff>104775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590550</xdr:colOff>
          <xdr:row>59</xdr:row>
          <xdr:rowOff>19050</xdr:rowOff>
        </xdr:from>
        <xdr:to>
          <xdr:col>3</xdr:col>
          <xdr:colOff>590550</xdr:colOff>
          <xdr:row>59</xdr:row>
          <xdr:rowOff>180975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590550</xdr:colOff>
          <xdr:row>60</xdr:row>
          <xdr:rowOff>9525</xdr:rowOff>
        </xdr:from>
        <xdr:to>
          <xdr:col>4</xdr:col>
          <xdr:colOff>0</xdr:colOff>
          <xdr:row>60</xdr:row>
          <xdr:rowOff>171450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152400</xdr:colOff>
      <xdr:row>86</xdr:row>
      <xdr:rowOff>61912</xdr:rowOff>
    </xdr:from>
    <xdr:to>
      <xdr:col>14</xdr:col>
      <xdr:colOff>9525</xdr:colOff>
      <xdr:row>102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400049</xdr:colOff>
      <xdr:row>58</xdr:row>
      <xdr:rowOff>104776</xdr:rowOff>
    </xdr:from>
    <xdr:to>
      <xdr:col>31</xdr:col>
      <xdr:colOff>400048</xdr:colOff>
      <xdr:row>93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58</xdr:row>
      <xdr:rowOff>66675</xdr:rowOff>
    </xdr:from>
    <xdr:to>
      <xdr:col>13</xdr:col>
      <xdr:colOff>314325</xdr:colOff>
      <xdr:row>87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600075</xdr:colOff>
          <xdr:row>60</xdr:row>
          <xdr:rowOff>9525</xdr:rowOff>
        </xdr:from>
        <xdr:to>
          <xdr:col>3</xdr:col>
          <xdr:colOff>600075</xdr:colOff>
          <xdr:row>60</xdr:row>
          <xdr:rowOff>171450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61</xdr:row>
          <xdr:rowOff>9525</xdr:rowOff>
        </xdr:from>
        <xdr:to>
          <xdr:col>4</xdr:col>
          <xdr:colOff>0</xdr:colOff>
          <xdr:row>61</xdr:row>
          <xdr:rowOff>171450</xdr:rowOff>
        </xdr:to>
        <xdr:sp macro="" textlink="">
          <xdr:nvSpPr>
            <xdr:cNvPr id="5122" name="Scroll Bar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56</xdr:row>
      <xdr:rowOff>28576</xdr:rowOff>
    </xdr:from>
    <xdr:to>
      <xdr:col>28</xdr:col>
      <xdr:colOff>114300</xdr:colOff>
      <xdr:row>91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56</xdr:row>
      <xdr:rowOff>19049</xdr:rowOff>
    </xdr:from>
    <xdr:to>
      <xdr:col>14</xdr:col>
      <xdr:colOff>504825</xdr:colOff>
      <xdr:row>84</xdr:row>
      <xdr:rowOff>47624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59</xdr:row>
          <xdr:rowOff>9525</xdr:rowOff>
        </xdr:from>
        <xdr:to>
          <xdr:col>3</xdr:col>
          <xdr:colOff>600075</xdr:colOff>
          <xdr:row>59</xdr:row>
          <xdr:rowOff>171450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60</xdr:row>
          <xdr:rowOff>9525</xdr:rowOff>
        </xdr:from>
        <xdr:to>
          <xdr:col>4</xdr:col>
          <xdr:colOff>0</xdr:colOff>
          <xdr:row>60</xdr:row>
          <xdr:rowOff>171450</xdr:rowOff>
        </xdr:to>
        <xdr:sp macro="" textlink="">
          <xdr:nvSpPr>
            <xdr:cNvPr id="6146" name="Scroll Bar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68</xdr:row>
          <xdr:rowOff>9525</xdr:rowOff>
        </xdr:from>
        <xdr:to>
          <xdr:col>3</xdr:col>
          <xdr:colOff>590550</xdr:colOff>
          <xdr:row>68</xdr:row>
          <xdr:rowOff>171450</xdr:rowOff>
        </xdr:to>
        <xdr:sp macro="" textlink="">
          <xdr:nvSpPr>
            <xdr:cNvPr id="10241" name="Scroll Bar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9525</xdr:rowOff>
        </xdr:from>
        <xdr:to>
          <xdr:col>4</xdr:col>
          <xdr:colOff>0</xdr:colOff>
          <xdr:row>69</xdr:row>
          <xdr:rowOff>171450</xdr:rowOff>
        </xdr:to>
        <xdr:sp macro="" textlink="">
          <xdr:nvSpPr>
            <xdr:cNvPr id="10242" name="Scroll Bar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409575</xdr:colOff>
      <xdr:row>58</xdr:row>
      <xdr:rowOff>85725</xdr:rowOff>
    </xdr:from>
    <xdr:to>
      <xdr:col>28</xdr:col>
      <xdr:colOff>428625</xdr:colOff>
      <xdr:row>86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67</xdr:row>
          <xdr:rowOff>19050</xdr:rowOff>
        </xdr:from>
        <xdr:to>
          <xdr:col>4</xdr:col>
          <xdr:colOff>600075</xdr:colOff>
          <xdr:row>67</xdr:row>
          <xdr:rowOff>180975</xdr:rowOff>
        </xdr:to>
        <xdr:sp macro="" textlink="">
          <xdr:nvSpPr>
            <xdr:cNvPr id="10247" name="Scroll Bar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66</xdr:row>
          <xdr:rowOff>9525</xdr:rowOff>
        </xdr:from>
        <xdr:to>
          <xdr:col>4</xdr:col>
          <xdr:colOff>600075</xdr:colOff>
          <xdr:row>66</xdr:row>
          <xdr:rowOff>171450</xdr:rowOff>
        </xdr:to>
        <xdr:sp macro="" textlink="">
          <xdr:nvSpPr>
            <xdr:cNvPr id="10248" name="Scroll Bar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70</xdr:row>
          <xdr:rowOff>9525</xdr:rowOff>
        </xdr:from>
        <xdr:to>
          <xdr:col>4</xdr:col>
          <xdr:colOff>0</xdr:colOff>
          <xdr:row>70</xdr:row>
          <xdr:rowOff>171450</xdr:rowOff>
        </xdr:to>
        <xdr:sp macro="" textlink="">
          <xdr:nvSpPr>
            <xdr:cNvPr id="10249" name="Scroll Bar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133350</xdr:colOff>
      <xdr:row>59</xdr:row>
      <xdr:rowOff>71437</xdr:rowOff>
    </xdr:from>
    <xdr:to>
      <xdr:col>14</xdr:col>
      <xdr:colOff>57150</xdr:colOff>
      <xdr:row>82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7" Type="http://schemas.openxmlformats.org/officeDocument/2006/relationships/ctrlProp" Target="../ctrlProps/ctrlProp1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2:AK155"/>
  <sheetViews>
    <sheetView tabSelected="1" topLeftCell="A94" workbookViewId="0">
      <selection activeCell="D73" sqref="D73"/>
    </sheetView>
  </sheetViews>
  <sheetFormatPr defaultRowHeight="15" x14ac:dyDescent="0.25"/>
  <cols>
    <col min="11" max="11" width="12" bestFit="1" customWidth="1"/>
    <col min="21" max="21" width="12" bestFit="1" customWidth="1"/>
  </cols>
  <sheetData>
    <row r="2" spans="2:37" x14ac:dyDescent="0.25">
      <c r="J2" s="31"/>
      <c r="K2" s="31">
        <f>$B$66</f>
        <v>37</v>
      </c>
      <c r="L2" s="31">
        <f>K2+$C$3</f>
        <v>37.5</v>
      </c>
      <c r="M2" s="31">
        <f t="shared" ref="M2:AB2" si="0">L2+$C$3</f>
        <v>38</v>
      </c>
      <c r="N2" s="31">
        <f t="shared" si="0"/>
        <v>38.5</v>
      </c>
      <c r="O2" s="31">
        <f t="shared" si="0"/>
        <v>39</v>
      </c>
      <c r="P2" s="31">
        <f t="shared" si="0"/>
        <v>39.5</v>
      </c>
      <c r="Q2" s="31">
        <f t="shared" si="0"/>
        <v>40</v>
      </c>
      <c r="R2" s="31">
        <f t="shared" si="0"/>
        <v>40.5</v>
      </c>
      <c r="S2" s="31">
        <f t="shared" si="0"/>
        <v>41</v>
      </c>
      <c r="T2" s="31">
        <f t="shared" si="0"/>
        <v>41.5</v>
      </c>
      <c r="U2" s="31">
        <f t="shared" si="0"/>
        <v>42</v>
      </c>
      <c r="V2" s="31">
        <f t="shared" si="0"/>
        <v>42.5</v>
      </c>
      <c r="W2" s="31">
        <f t="shared" si="0"/>
        <v>43</v>
      </c>
      <c r="X2" s="31">
        <f t="shared" si="0"/>
        <v>43.5</v>
      </c>
      <c r="Y2" s="31">
        <f t="shared" si="0"/>
        <v>44</v>
      </c>
      <c r="Z2" s="31">
        <f t="shared" si="0"/>
        <v>44.5</v>
      </c>
      <c r="AA2" s="31">
        <f t="shared" si="0"/>
        <v>45</v>
      </c>
      <c r="AB2" s="31">
        <f t="shared" si="0"/>
        <v>45.5</v>
      </c>
      <c r="AC2" s="31">
        <f t="shared" ref="AC2" si="1">AB2+$C$3</f>
        <v>46</v>
      </c>
      <c r="AD2" s="31">
        <f t="shared" ref="AD2" si="2">AC2+$C$3</f>
        <v>46.5</v>
      </c>
      <c r="AE2" s="31">
        <f t="shared" ref="AE2" si="3">AD2+$C$3</f>
        <v>47</v>
      </c>
      <c r="AF2" s="31">
        <f t="shared" ref="AF2" si="4">AE2+$C$3</f>
        <v>47.5</v>
      </c>
      <c r="AG2" s="31">
        <f t="shared" ref="AG2" si="5">AF2+$C$3</f>
        <v>48</v>
      </c>
      <c r="AH2" s="31">
        <f t="shared" ref="AH2" si="6">AG2+$C$3</f>
        <v>48.5</v>
      </c>
      <c r="AI2" s="31">
        <f t="shared" ref="AI2" si="7">AH2+$C$3</f>
        <v>49</v>
      </c>
      <c r="AJ2" s="31">
        <f t="shared" ref="AJ2" si="8">AI2+$C$3</f>
        <v>49.5</v>
      </c>
      <c r="AK2" s="31">
        <f t="shared" ref="AK2" si="9">AJ2+$C$3</f>
        <v>50</v>
      </c>
    </row>
    <row r="3" spans="2:37" x14ac:dyDescent="0.25">
      <c r="B3" s="1" t="s">
        <v>4</v>
      </c>
      <c r="C3">
        <v>0.5</v>
      </c>
      <c r="J3" s="31">
        <v>1E-4</v>
      </c>
      <c r="K3">
        <f>_xlfn.NORM.S.DIST((LN(K$2/$B$67)+($F$69+$F$68^2/2)*$J3)/($F$68*SQRT($J3)),TRUE)</f>
        <v>0</v>
      </c>
      <c r="L3">
        <f t="shared" ref="L3:AC17" si="10">_xlfn.NORM.S.DIST((LN(L$2/$B$67)+($F$69+$F$68^2/2)*$J3)/($F$68*SQRT($J3)),TRUE)</f>
        <v>8.8533264649941465E-282</v>
      </c>
      <c r="M3">
        <f t="shared" si="10"/>
        <v>7.2346520110353505E-179</v>
      </c>
      <c r="N3">
        <f t="shared" si="10"/>
        <v>2.5055079117130188E-100</v>
      </c>
      <c r="O3">
        <f t="shared" si="10"/>
        <v>3.2616481147142844E-45</v>
      </c>
      <c r="P3">
        <f t="shared" si="10"/>
        <v>1.4290094357565743E-12</v>
      </c>
      <c r="Q3">
        <f t="shared" si="10"/>
        <v>0.50146721774586567</v>
      </c>
      <c r="R3">
        <f t="shared" si="10"/>
        <v>0.99999999999749123</v>
      </c>
      <c r="S3">
        <f t="shared" si="10"/>
        <v>1</v>
      </c>
      <c r="T3">
        <f t="shared" si="10"/>
        <v>1</v>
      </c>
      <c r="U3">
        <f t="shared" si="10"/>
        <v>1</v>
      </c>
      <c r="V3">
        <f t="shared" si="10"/>
        <v>1</v>
      </c>
      <c r="W3">
        <f>_xlfn.NORM.S.DIST((LN(W$2/$B$67)+($F$69+$F$68^2/2)*$J3)/($F$68*SQRT($J3)),TRUE)</f>
        <v>1</v>
      </c>
      <c r="X3">
        <f t="shared" si="10"/>
        <v>1</v>
      </c>
      <c r="Y3">
        <f t="shared" si="10"/>
        <v>1</v>
      </c>
      <c r="Z3">
        <f t="shared" si="10"/>
        <v>1</v>
      </c>
      <c r="AA3">
        <f t="shared" si="10"/>
        <v>1</v>
      </c>
      <c r="AB3">
        <f t="shared" si="10"/>
        <v>1</v>
      </c>
      <c r="AC3">
        <f t="shared" si="10"/>
        <v>1</v>
      </c>
      <c r="AD3">
        <f t="shared" ref="AD3:AK18" si="11">_xlfn.NORM.S.DIST((LN(AD$2/$B$67)+($F$69+$F$68^2/2)*$J3)/($F$68*SQRT($J3)),TRUE)</f>
        <v>1</v>
      </c>
      <c r="AE3">
        <f t="shared" si="11"/>
        <v>1</v>
      </c>
      <c r="AF3">
        <f t="shared" si="11"/>
        <v>1</v>
      </c>
      <c r="AG3">
        <f t="shared" si="11"/>
        <v>1</v>
      </c>
      <c r="AH3">
        <f t="shared" si="11"/>
        <v>1</v>
      </c>
      <c r="AI3">
        <f t="shared" si="11"/>
        <v>1</v>
      </c>
      <c r="AJ3">
        <f t="shared" si="11"/>
        <v>1</v>
      </c>
      <c r="AK3">
        <f t="shared" si="11"/>
        <v>1</v>
      </c>
    </row>
    <row r="4" spans="2:37" x14ac:dyDescent="0.25">
      <c r="B4" s="1" t="s">
        <v>3</v>
      </c>
      <c r="J4" s="31">
        <f>J3+$C$5</f>
        <v>1.01E-2</v>
      </c>
      <c r="K4">
        <f t="shared" ref="K4:Z33" si="12">_xlfn.NORM.S.DIST((LN(K$2/$B$67)+($F$69+$F$68^2/2)*$J4)/($F$68*SQRT($J4)),TRUE)</f>
        <v>9.6542501502802432E-6</v>
      </c>
      <c r="L4">
        <f t="shared" si="10"/>
        <v>2.0721654129346676E-4</v>
      </c>
      <c r="M4">
        <f t="shared" si="10"/>
        <v>2.5668369319546106E-3</v>
      </c>
      <c r="N4">
        <f t="shared" si="10"/>
        <v>1.8951532409449554E-2</v>
      </c>
      <c r="O4">
        <f t="shared" si="10"/>
        <v>8.6503789798272113E-2</v>
      </c>
      <c r="P4">
        <f t="shared" si="10"/>
        <v>0.25514316699639694</v>
      </c>
      <c r="Q4">
        <f t="shared" si="10"/>
        <v>0.51474203242850902</v>
      </c>
      <c r="R4">
        <f t="shared" si="10"/>
        <v>0.76536771855135743</v>
      </c>
      <c r="S4">
        <f t="shared" si="10"/>
        <v>0.91953714754886717</v>
      </c>
      <c r="T4">
        <f t="shared" si="10"/>
        <v>0.98086876667270495</v>
      </c>
      <c r="U4">
        <f t="shared" si="10"/>
        <v>0.99687219956106232</v>
      </c>
      <c r="V4">
        <f t="shared" si="10"/>
        <v>0.99964833894821503</v>
      </c>
      <c r="W4">
        <f t="shared" si="10"/>
        <v>0.99997267978649285</v>
      </c>
      <c r="X4">
        <f t="shared" si="10"/>
        <v>0.99999852245278009</v>
      </c>
      <c r="Y4">
        <f t="shared" si="10"/>
        <v>0.99999994387715507</v>
      </c>
      <c r="Z4">
        <f t="shared" si="10"/>
        <v>0.9999999984883744</v>
      </c>
      <c r="AA4">
        <f t="shared" si="10"/>
        <v>0.99999999997084155</v>
      </c>
      <c r="AB4">
        <f t="shared" si="10"/>
        <v>0.9999999999995931</v>
      </c>
      <c r="AC4">
        <f t="shared" ref="AB4:AK41" si="13">_xlfn.NORM.S.DIST((LN(AC$2/$B$67)+($F$69+$F$68^2/2)*$J4)/($F$68*SQRT($J4)),TRUE)</f>
        <v>0.99999999999999589</v>
      </c>
      <c r="AD4">
        <f t="shared" si="11"/>
        <v>1</v>
      </c>
      <c r="AE4">
        <f t="shared" si="11"/>
        <v>1</v>
      </c>
      <c r="AF4">
        <f t="shared" si="11"/>
        <v>1</v>
      </c>
      <c r="AG4">
        <f t="shared" si="11"/>
        <v>1</v>
      </c>
      <c r="AH4">
        <f t="shared" si="11"/>
        <v>1</v>
      </c>
      <c r="AI4">
        <f t="shared" si="11"/>
        <v>1</v>
      </c>
      <c r="AJ4">
        <f t="shared" si="11"/>
        <v>1</v>
      </c>
      <c r="AK4">
        <f t="shared" si="11"/>
        <v>1</v>
      </c>
    </row>
    <row r="5" spans="2:37" x14ac:dyDescent="0.25">
      <c r="B5" s="1" t="s">
        <v>7</v>
      </c>
      <c r="C5">
        <v>0.01</v>
      </c>
      <c r="J5" s="31">
        <f t="shared" ref="J5:J35" si="14">J4+$C$5</f>
        <v>2.01E-2</v>
      </c>
      <c r="K5">
        <f t="shared" si="12"/>
        <v>1.3373249079510767E-3</v>
      </c>
      <c r="L5">
        <f t="shared" si="10"/>
        <v>6.6272601263650845E-3</v>
      </c>
      <c r="M5">
        <f t="shared" si="10"/>
        <v>2.5124938486938472E-2</v>
      </c>
      <c r="N5">
        <f t="shared" si="10"/>
        <v>7.4146132831737682E-2</v>
      </c>
      <c r="O5">
        <f t="shared" si="10"/>
        <v>0.17361935454872315</v>
      </c>
      <c r="P5">
        <f t="shared" si="10"/>
        <v>0.32969012110146312</v>
      </c>
      <c r="Q5">
        <f t="shared" si="10"/>
        <v>0.52079202678009495</v>
      </c>
      <c r="R5">
        <f t="shared" si="10"/>
        <v>0.70503198116970078</v>
      </c>
      <c r="S5">
        <f t="shared" si="10"/>
        <v>0.84607480578867211</v>
      </c>
      <c r="T5">
        <f t="shared" si="10"/>
        <v>0.9325074052797272</v>
      </c>
      <c r="U5">
        <f t="shared" si="10"/>
        <v>0.97523648535698881</v>
      </c>
      <c r="V5">
        <f t="shared" si="10"/>
        <v>0.9924040108191603</v>
      </c>
      <c r="W5">
        <f t="shared" si="10"/>
        <v>0.99804969307571612</v>
      </c>
      <c r="X5">
        <f t="shared" si="10"/>
        <v>0.99957976395434311</v>
      </c>
      <c r="Y5">
        <f t="shared" si="10"/>
        <v>0.99992374721165489</v>
      </c>
      <c r="Z5">
        <f t="shared" si="10"/>
        <v>0.99998830173786679</v>
      </c>
      <c r="AA5">
        <f t="shared" si="10"/>
        <v>0.99999847609970405</v>
      </c>
      <c r="AB5">
        <f t="shared" si="13"/>
        <v>0.99999983068336473</v>
      </c>
      <c r="AC5">
        <f t="shared" si="13"/>
        <v>0.9999999838817325</v>
      </c>
      <c r="AD5">
        <f t="shared" si="11"/>
        <v>0.99999999867936884</v>
      </c>
      <c r="AE5">
        <f t="shared" si="11"/>
        <v>0.99999999990645083</v>
      </c>
      <c r="AF5">
        <f t="shared" si="11"/>
        <v>0.99999999999424538</v>
      </c>
      <c r="AG5">
        <f t="shared" si="11"/>
        <v>0.99999999999969125</v>
      </c>
      <c r="AH5">
        <f t="shared" si="11"/>
        <v>0.99999999999998546</v>
      </c>
      <c r="AI5">
        <f t="shared" si="11"/>
        <v>0.99999999999999944</v>
      </c>
      <c r="AJ5">
        <f t="shared" si="11"/>
        <v>1</v>
      </c>
      <c r="AK5">
        <f t="shared" si="11"/>
        <v>1</v>
      </c>
    </row>
    <row r="6" spans="2:37" x14ac:dyDescent="0.25">
      <c r="J6" s="31">
        <f t="shared" si="14"/>
        <v>3.0100000000000002E-2</v>
      </c>
      <c r="K6">
        <f t="shared" si="12"/>
        <v>7.4943237210443334E-3</v>
      </c>
      <c r="L6">
        <f t="shared" si="10"/>
        <v>2.2598013634736205E-2</v>
      </c>
      <c r="M6">
        <f t="shared" si="10"/>
        <v>5.7203485900184696E-2</v>
      </c>
      <c r="N6">
        <f t="shared" si="10"/>
        <v>0.12300389162269905</v>
      </c>
      <c r="O6">
        <f t="shared" si="10"/>
        <v>0.22755836031999913</v>
      </c>
      <c r="P6">
        <f t="shared" si="10"/>
        <v>0.36730983589290211</v>
      </c>
      <c r="Q6">
        <f t="shared" si="10"/>
        <v>0.52543807154520061</v>
      </c>
      <c r="R6">
        <f t="shared" si="10"/>
        <v>0.67781487793447392</v>
      </c>
      <c r="S6">
        <f t="shared" si="10"/>
        <v>0.80358772388099209</v>
      </c>
      <c r="T6">
        <f t="shared" si="10"/>
        <v>0.89300207766475492</v>
      </c>
      <c r="U6">
        <f t="shared" si="10"/>
        <v>0.94804118529714532</v>
      </c>
      <c r="V6">
        <f t="shared" si="10"/>
        <v>0.97752435022730433</v>
      </c>
      <c r="W6">
        <f t="shared" si="10"/>
        <v>0.99133514668025779</v>
      </c>
      <c r="X6">
        <f t="shared" si="10"/>
        <v>0.99701872621342513</v>
      </c>
      <c r="Y6">
        <f t="shared" si="10"/>
        <v>0.99908276702192422</v>
      </c>
      <c r="Z6">
        <f t="shared" si="10"/>
        <v>0.99974706704031102</v>
      </c>
      <c r="AA6">
        <f t="shared" si="10"/>
        <v>0.99993732476761055</v>
      </c>
      <c r="AB6">
        <f t="shared" si="13"/>
        <v>0.99998600630868018</v>
      </c>
      <c r="AC6">
        <f t="shared" si="13"/>
        <v>0.99999717687338485</v>
      </c>
      <c r="AD6">
        <f t="shared" si="11"/>
        <v>0.99999948391620153</v>
      </c>
      <c r="AE6">
        <f t="shared" si="11"/>
        <v>0.99999991427026091</v>
      </c>
      <c r="AF6">
        <f t="shared" si="11"/>
        <v>0.99999998702273951</v>
      </c>
      <c r="AG6">
        <f t="shared" si="11"/>
        <v>0.99999999820495378</v>
      </c>
      <c r="AH6">
        <f t="shared" si="11"/>
        <v>0.99999999977249698</v>
      </c>
      <c r="AI6">
        <f t="shared" si="11"/>
        <v>0.99999999997351074</v>
      </c>
      <c r="AJ6">
        <f t="shared" si="11"/>
        <v>0.99999999999715916</v>
      </c>
      <c r="AK6">
        <f t="shared" si="11"/>
        <v>0.99999999999971867</v>
      </c>
    </row>
    <row r="7" spans="2:37" x14ac:dyDescent="0.25">
      <c r="J7" s="31">
        <f t="shared" si="14"/>
        <v>4.0100000000000004E-2</v>
      </c>
      <c r="K7">
        <f t="shared" si="12"/>
        <v>1.8342657388799994E-2</v>
      </c>
      <c r="L7">
        <f t="shared" si="10"/>
        <v>4.3003060284179002E-2</v>
      </c>
      <c r="M7">
        <f t="shared" si="10"/>
        <v>8.8606089365212262E-2</v>
      </c>
      <c r="N7">
        <f t="shared" si="10"/>
        <v>0.16188793333946352</v>
      </c>
      <c r="O7">
        <f t="shared" si="10"/>
        <v>0.26475716951960893</v>
      </c>
      <c r="P7">
        <f t="shared" si="10"/>
        <v>0.39153242372240249</v>
      </c>
      <c r="Q7">
        <f t="shared" si="10"/>
        <v>0.52935454006464155</v>
      </c>
      <c r="R7">
        <f t="shared" si="10"/>
        <v>0.66213132125054475</v>
      </c>
      <c r="S7">
        <f t="shared" si="10"/>
        <v>0.77598325449653593</v>
      </c>
      <c r="T7">
        <f t="shared" si="10"/>
        <v>0.86323772476900207</v>
      </c>
      <c r="U7">
        <f t="shared" si="10"/>
        <v>0.92324446973582797</v>
      </c>
      <c r="V7">
        <f t="shared" si="10"/>
        <v>0.9604185267301697</v>
      </c>
      <c r="W7">
        <f t="shared" si="10"/>
        <v>0.98123944731543422</v>
      </c>
      <c r="X7">
        <f t="shared" si="10"/>
        <v>0.99181995039242055</v>
      </c>
      <c r="Y7">
        <f t="shared" si="10"/>
        <v>0.99671461157727403</v>
      </c>
      <c r="Z7">
        <f t="shared" si="10"/>
        <v>0.99878262190419753</v>
      </c>
      <c r="AA7">
        <f t="shared" si="10"/>
        <v>0.99958308927883266</v>
      </c>
      <c r="AB7">
        <f t="shared" si="13"/>
        <v>0.99986779003344506</v>
      </c>
      <c r="AC7">
        <f t="shared" si="13"/>
        <v>0.99996110032111019</v>
      </c>
      <c r="AD7">
        <f t="shared" si="11"/>
        <v>0.99998935949087164</v>
      </c>
      <c r="AE7">
        <f t="shared" si="11"/>
        <v>0.99999728860623405</v>
      </c>
      <c r="AF7">
        <f t="shared" si="11"/>
        <v>0.99999935506961657</v>
      </c>
      <c r="AG7">
        <f t="shared" si="11"/>
        <v>0.99999985652030232</v>
      </c>
      <c r="AH7">
        <f t="shared" si="11"/>
        <v>0.99999997008565622</v>
      </c>
      <c r="AI7">
        <f t="shared" si="11"/>
        <v>0.9999999941437766</v>
      </c>
      <c r="AJ7">
        <f t="shared" si="11"/>
        <v>0.99999999892149005</v>
      </c>
      <c r="AK7">
        <f t="shared" si="11"/>
        <v>0.99999999981280319</v>
      </c>
    </row>
    <row r="8" spans="2:37" x14ac:dyDescent="0.25">
      <c r="J8" s="31">
        <f t="shared" si="14"/>
        <v>5.0100000000000006E-2</v>
      </c>
      <c r="K8">
        <f t="shared" si="12"/>
        <v>3.1961523869074672E-2</v>
      </c>
      <c r="L8">
        <f t="shared" si="10"/>
        <v>6.4311858783816983E-2</v>
      </c>
      <c r="M8">
        <f t="shared" si="10"/>
        <v>0.1168660832244906</v>
      </c>
      <c r="N8">
        <f t="shared" si="10"/>
        <v>0.19315031475032862</v>
      </c>
      <c r="O8">
        <f t="shared" si="10"/>
        <v>0.29250612481380195</v>
      </c>
      <c r="P8">
        <f t="shared" si="10"/>
        <v>0.40908843141758511</v>
      </c>
      <c r="Q8">
        <f t="shared" si="10"/>
        <v>0.53280379819755008</v>
      </c>
      <c r="R8">
        <f t="shared" si="10"/>
        <v>0.65197261810877494</v>
      </c>
      <c r="S8">
        <f t="shared" si="10"/>
        <v>0.75653505320389902</v>
      </c>
      <c r="T8">
        <f t="shared" si="10"/>
        <v>0.84038878489196522</v>
      </c>
      <c r="U8">
        <f t="shared" si="10"/>
        <v>0.90204820593190949</v>
      </c>
      <c r="V8">
        <f t="shared" si="10"/>
        <v>0.94374896266473629</v>
      </c>
      <c r="W8">
        <f t="shared" si="10"/>
        <v>0.96976472204753716</v>
      </c>
      <c r="X8">
        <f t="shared" si="10"/>
        <v>0.98477899236981692</v>
      </c>
      <c r="Y8">
        <f t="shared" si="10"/>
        <v>0.99281653623181465</v>
      </c>
      <c r="Z8">
        <f t="shared" si="10"/>
        <v>0.99681802745272319</v>
      </c>
      <c r="AA8">
        <f t="shared" si="10"/>
        <v>0.99867532676236914</v>
      </c>
      <c r="AB8">
        <f t="shared" si="13"/>
        <v>0.99948096853673229</v>
      </c>
      <c r="AC8">
        <f t="shared" si="13"/>
        <v>0.99980830861111591</v>
      </c>
      <c r="AD8">
        <f t="shared" si="11"/>
        <v>0.99993316509536123</v>
      </c>
      <c r="AE8">
        <f t="shared" si="11"/>
        <v>0.99997796713479725</v>
      </c>
      <c r="AF8">
        <f t="shared" si="11"/>
        <v>0.99999312169933374</v>
      </c>
      <c r="AG8">
        <f t="shared" si="11"/>
        <v>0.99999796340359648</v>
      </c>
      <c r="AH8">
        <f t="shared" si="11"/>
        <v>0.999999427196956</v>
      </c>
      <c r="AI8">
        <f t="shared" si="11"/>
        <v>0.99999984673811382</v>
      </c>
      <c r="AJ8">
        <f t="shared" si="11"/>
        <v>0.99999996093114885</v>
      </c>
      <c r="AK8">
        <f t="shared" si="11"/>
        <v>0.99999999049789889</v>
      </c>
    </row>
    <row r="9" spans="2:37" x14ac:dyDescent="0.25">
      <c r="J9" s="31">
        <f t="shared" si="14"/>
        <v>6.0100000000000008E-2</v>
      </c>
      <c r="K9">
        <f t="shared" si="12"/>
        <v>4.6813281615189488E-2</v>
      </c>
      <c r="L9">
        <f t="shared" si="10"/>
        <v>8.4972077113579209E-2</v>
      </c>
      <c r="M9">
        <f t="shared" si="10"/>
        <v>0.14180938916621125</v>
      </c>
      <c r="N9">
        <f t="shared" si="10"/>
        <v>0.21887703587181154</v>
      </c>
      <c r="O9">
        <f t="shared" si="10"/>
        <v>0.31434205796725756</v>
      </c>
      <c r="P9">
        <f t="shared" si="10"/>
        <v>0.42273824110916003</v>
      </c>
      <c r="Q9">
        <f t="shared" si="10"/>
        <v>0.53592069220172911</v>
      </c>
      <c r="R9">
        <f t="shared" si="10"/>
        <v>0.64493288057188447</v>
      </c>
      <c r="S9">
        <f t="shared" si="10"/>
        <v>0.74206846849139341</v>
      </c>
      <c r="T9">
        <f t="shared" si="10"/>
        <v>0.82236739765544964</v>
      </c>
      <c r="U9">
        <f t="shared" si="10"/>
        <v>0.88411741964540702</v>
      </c>
      <c r="V9">
        <f t="shared" si="10"/>
        <v>0.92840463480497526</v>
      </c>
      <c r="W9">
        <f t="shared" si="10"/>
        <v>0.95810105071777274</v>
      </c>
      <c r="X9">
        <f t="shared" si="10"/>
        <v>0.97676225568970743</v>
      </c>
      <c r="Y9">
        <f t="shared" si="10"/>
        <v>0.98777684308882763</v>
      </c>
      <c r="Z9">
        <f t="shared" si="10"/>
        <v>0.99389657106943785</v>
      </c>
      <c r="AA9">
        <f t="shared" si="10"/>
        <v>0.99710383944535819</v>
      </c>
      <c r="AB9">
        <f t="shared" si="13"/>
        <v>0.99869255148364411</v>
      </c>
      <c r="AC9">
        <f t="shared" si="13"/>
        <v>0.99943778847414944</v>
      </c>
      <c r="AD9">
        <f t="shared" si="11"/>
        <v>0.9997694403844557</v>
      </c>
      <c r="AE9">
        <f t="shared" si="11"/>
        <v>0.99990971450167687</v>
      </c>
      <c r="AF9">
        <f t="shared" si="11"/>
        <v>0.99996619748054261</v>
      </c>
      <c r="AG9">
        <f t="shared" si="11"/>
        <v>0.99998788511268888</v>
      </c>
      <c r="AH9">
        <f t="shared" si="11"/>
        <v>0.99999583834060002</v>
      </c>
      <c r="AI9">
        <f t="shared" si="11"/>
        <v>0.99999862810629514</v>
      </c>
      <c r="AJ9">
        <f t="shared" si="11"/>
        <v>0.9999995654881102</v>
      </c>
      <c r="AK9">
        <f t="shared" si="11"/>
        <v>0.99999986762074144</v>
      </c>
    </row>
    <row r="10" spans="2:37" x14ac:dyDescent="0.25">
      <c r="J10" s="31">
        <f t="shared" si="14"/>
        <v>7.010000000000001E-2</v>
      </c>
      <c r="K10">
        <f t="shared" si="12"/>
        <v>6.1963680420978627E-2</v>
      </c>
      <c r="L10">
        <f t="shared" si="10"/>
        <v>0.10440573865175178</v>
      </c>
      <c r="M10">
        <f t="shared" si="10"/>
        <v>0.16381096350372998</v>
      </c>
      <c r="N10">
        <f t="shared" si="10"/>
        <v>0.24052242572094068</v>
      </c>
      <c r="O10">
        <f t="shared" si="10"/>
        <v>0.33219129958218158</v>
      </c>
      <c r="P10">
        <f t="shared" si="10"/>
        <v>0.43385545734319952</v>
      </c>
      <c r="Q10">
        <f t="shared" si="10"/>
        <v>0.5387854362022404</v>
      </c>
      <c r="R10">
        <f t="shared" si="10"/>
        <v>0.639842042925302</v>
      </c>
      <c r="S10">
        <f t="shared" si="10"/>
        <v>0.73088788119998038</v>
      </c>
      <c r="T10">
        <f t="shared" si="10"/>
        <v>0.80780704334674602</v>
      </c>
      <c r="U10">
        <f t="shared" si="10"/>
        <v>0.86888596513596017</v>
      </c>
      <c r="V10">
        <f t="shared" si="10"/>
        <v>0.91457276972116597</v>
      </c>
      <c r="W10">
        <f t="shared" si="10"/>
        <v>0.94683186775459216</v>
      </c>
      <c r="X10">
        <f t="shared" si="10"/>
        <v>0.96837735749912501</v>
      </c>
      <c r="Y10">
        <f t="shared" si="10"/>
        <v>0.98201524816646113</v>
      </c>
      <c r="Z10">
        <f t="shared" si="10"/>
        <v>0.99021184976361531</v>
      </c>
      <c r="AA10">
        <f t="shared" si="10"/>
        <v>0.99489774119602226</v>
      </c>
      <c r="AB10">
        <f t="shared" si="13"/>
        <v>0.99745024798225224</v>
      </c>
      <c r="AC10">
        <f t="shared" si="13"/>
        <v>0.99877725269217399</v>
      </c>
      <c r="AD10">
        <f t="shared" si="11"/>
        <v>0.99943672265529893</v>
      </c>
      <c r="AE10">
        <f t="shared" si="11"/>
        <v>0.99975047978047182</v>
      </c>
      <c r="AF10">
        <f t="shared" si="11"/>
        <v>0.99989360014146489</v>
      </c>
      <c r="AG10">
        <f t="shared" si="11"/>
        <v>0.99995627987543401</v>
      </c>
      <c r="AH10">
        <f t="shared" si="11"/>
        <v>0.99998267088372517</v>
      </c>
      <c r="AI10">
        <f t="shared" si="11"/>
        <v>0.99999336760853785</v>
      </c>
      <c r="AJ10">
        <f t="shared" si="11"/>
        <v>0.99999754642446059</v>
      </c>
      <c r="AK10">
        <f t="shared" si="11"/>
        <v>0.99999912180137607</v>
      </c>
    </row>
    <row r="11" spans="2:37" x14ac:dyDescent="0.25">
      <c r="J11" s="31">
        <f t="shared" si="14"/>
        <v>8.0100000000000005E-2</v>
      </c>
      <c r="K11">
        <f t="shared" si="12"/>
        <v>7.6895951153069145E-2</v>
      </c>
      <c r="L11">
        <f t="shared" si="10"/>
        <v>0.12246010220937673</v>
      </c>
      <c r="M11">
        <f t="shared" si="10"/>
        <v>0.1833218384563535</v>
      </c>
      <c r="N11">
        <f t="shared" si="10"/>
        <v>0.25908188323302372</v>
      </c>
      <c r="O11">
        <f t="shared" si="10"/>
        <v>0.34720038554851984</v>
      </c>
      <c r="P11">
        <f t="shared" si="10"/>
        <v>0.44321297848357921</v>
      </c>
      <c r="Q11">
        <f t="shared" si="10"/>
        <v>0.54145034569503947</v>
      </c>
      <c r="R11">
        <f t="shared" si="10"/>
        <v>0.63605634050301751</v>
      </c>
      <c r="S11">
        <f t="shared" si="10"/>
        <v>0.72200030757746758</v>
      </c>
      <c r="T11">
        <f t="shared" si="10"/>
        <v>0.79580536017325088</v>
      </c>
      <c r="U11">
        <f t="shared" si="10"/>
        <v>0.85584111305205557</v>
      </c>
      <c r="V11">
        <f t="shared" si="10"/>
        <v>0.90218883329552557</v>
      </c>
      <c r="W11">
        <f t="shared" si="10"/>
        <v>0.9362098172825547</v>
      </c>
      <c r="X11">
        <f t="shared" si="10"/>
        <v>0.95999666991281929</v>
      </c>
      <c r="Y11">
        <f t="shared" si="10"/>
        <v>0.97586524771107708</v>
      </c>
      <c r="Z11">
        <f t="shared" si="10"/>
        <v>0.98598240793210035</v>
      </c>
      <c r="AA11">
        <f t="shared" si="10"/>
        <v>0.99215657629036569</v>
      </c>
      <c r="AB11">
        <f t="shared" si="13"/>
        <v>0.99576859110392002</v>
      </c>
      <c r="AC11">
        <f t="shared" si="13"/>
        <v>0.99779719628842323</v>
      </c>
      <c r="AD11">
        <f t="shared" si="11"/>
        <v>0.99889247148663163</v>
      </c>
      <c r="AE11">
        <f t="shared" si="11"/>
        <v>0.99946172232808539</v>
      </c>
      <c r="AF11">
        <f t="shared" si="11"/>
        <v>0.9997468853280147</v>
      </c>
      <c r="AG11">
        <f t="shared" si="11"/>
        <v>0.99988474096771029</v>
      </c>
      <c r="AH11">
        <f t="shared" si="11"/>
        <v>0.99994912972312189</v>
      </c>
      <c r="AI11">
        <f t="shared" si="11"/>
        <v>0.99997821962975664</v>
      </c>
      <c r="AJ11">
        <f t="shared" si="11"/>
        <v>0.99999094573238034</v>
      </c>
      <c r="AK11">
        <f t="shared" si="11"/>
        <v>0.99999634239760637</v>
      </c>
    </row>
    <row r="12" spans="2:37" x14ac:dyDescent="0.25">
      <c r="J12" s="31">
        <f t="shared" si="14"/>
        <v>9.01E-2</v>
      </c>
      <c r="K12">
        <f t="shared" si="12"/>
        <v>9.1342021999934325E-2</v>
      </c>
      <c r="L12">
        <f t="shared" si="10"/>
        <v>0.13916028407886022</v>
      </c>
      <c r="M12">
        <f t="shared" si="10"/>
        <v>0.20074757854912395</v>
      </c>
      <c r="N12">
        <f t="shared" si="10"/>
        <v>0.27524944080521985</v>
      </c>
      <c r="O12">
        <f t="shared" si="10"/>
        <v>0.36009928218691323</v>
      </c>
      <c r="P12">
        <f t="shared" si="10"/>
        <v>0.4512845878077183</v>
      </c>
      <c r="Q12">
        <f t="shared" si="10"/>
        <v>0.54395178723559778</v>
      </c>
      <c r="R12">
        <f t="shared" si="10"/>
        <v>0.63318980499849564</v>
      </c>
      <c r="S12">
        <f t="shared" si="10"/>
        <v>0.71478264284548598</v>
      </c>
      <c r="T12">
        <f t="shared" si="10"/>
        <v>0.78574864304493874</v>
      </c>
      <c r="U12">
        <f t="shared" si="10"/>
        <v>0.84456892353306567</v>
      </c>
      <c r="V12">
        <f t="shared" si="10"/>
        <v>0.89110940939685701</v>
      </c>
      <c r="W12">
        <f t="shared" si="10"/>
        <v>0.92632041491960815</v>
      </c>
      <c r="X12">
        <f t="shared" si="10"/>
        <v>0.9518330888220089</v>
      </c>
      <c r="Y12">
        <f t="shared" si="10"/>
        <v>0.96956359663441927</v>
      </c>
      <c r="Z12">
        <f t="shared" si="10"/>
        <v>0.98139958022934115</v>
      </c>
      <c r="AA12">
        <f t="shared" si="10"/>
        <v>0.9889995166721659</v>
      </c>
      <c r="AB12">
        <f t="shared" si="13"/>
        <v>0.9936997327948377</v>
      </c>
      <c r="AC12">
        <f t="shared" si="13"/>
        <v>0.99650312849926648</v>
      </c>
      <c r="AD12">
        <f t="shared" si="11"/>
        <v>0.99811765020567966</v>
      </c>
      <c r="AE12">
        <f t="shared" si="11"/>
        <v>0.9990165459312017</v>
      </c>
      <c r="AF12">
        <f t="shared" si="11"/>
        <v>0.9995009118373076</v>
      </c>
      <c r="AG12">
        <f t="shared" si="11"/>
        <v>0.99975378941864934</v>
      </c>
      <c r="AH12">
        <f t="shared" si="11"/>
        <v>0.99988183806832287</v>
      </c>
      <c r="AI12">
        <f t="shared" si="11"/>
        <v>0.99994478949134669</v>
      </c>
      <c r="AJ12">
        <f t="shared" si="11"/>
        <v>0.99997486571534144</v>
      </c>
      <c r="AK12">
        <f t="shared" si="11"/>
        <v>0.99998884335204274</v>
      </c>
    </row>
    <row r="13" spans="2:37" x14ac:dyDescent="0.25">
      <c r="J13" s="31">
        <f t="shared" si="14"/>
        <v>0.10009999999999999</v>
      </c>
      <c r="K13">
        <f t="shared" si="12"/>
        <v>0.10517553337311276</v>
      </c>
      <c r="L13">
        <f t="shared" si="10"/>
        <v>0.15460048438116303</v>
      </c>
      <c r="M13">
        <f t="shared" si="10"/>
        <v>0.21642576746594877</v>
      </c>
      <c r="N13">
        <f t="shared" si="10"/>
        <v>0.28952151580047397</v>
      </c>
      <c r="O13">
        <f t="shared" si="10"/>
        <v>0.37137771428653765</v>
      </c>
      <c r="P13">
        <f t="shared" si="10"/>
        <v>0.4583797034206058</v>
      </c>
      <c r="Q13">
        <f t="shared" si="10"/>
        <v>0.54631625602899203</v>
      </c>
      <c r="R13">
        <f t="shared" si="10"/>
        <v>0.63099586410934883</v>
      </c>
      <c r="S13">
        <f t="shared" si="10"/>
        <v>0.70882245436136571</v>
      </c>
      <c r="T13">
        <f t="shared" si="10"/>
        <v>0.77720631171588006</v>
      </c>
      <c r="U13">
        <f t="shared" si="10"/>
        <v>0.8347450265592431</v>
      </c>
      <c r="V13">
        <f t="shared" si="10"/>
        <v>0.8811775004630561</v>
      </c>
      <c r="W13">
        <f t="shared" si="10"/>
        <v>0.91716767135067878</v>
      </c>
      <c r="X13">
        <f t="shared" si="10"/>
        <v>0.9440003738453171</v>
      </c>
      <c r="Y13">
        <f t="shared" si="10"/>
        <v>0.96326920791606119</v>
      </c>
      <c r="Z13">
        <f t="shared" si="10"/>
        <v>0.97661438924304089</v>
      </c>
      <c r="AA13">
        <f t="shared" si="10"/>
        <v>0.9855395428948952</v>
      </c>
      <c r="AB13">
        <f t="shared" si="13"/>
        <v>0.99131054301574495</v>
      </c>
      <c r="AC13">
        <f t="shared" si="13"/>
        <v>0.99492240811736132</v>
      </c>
      <c r="AD13">
        <f t="shared" si="11"/>
        <v>0.99711288091024408</v>
      </c>
      <c r="AE13">
        <f t="shared" si="11"/>
        <v>0.99840152171511376</v>
      </c>
      <c r="AF13">
        <f t="shared" si="11"/>
        <v>0.99913765622935102</v>
      </c>
      <c r="AG13">
        <f t="shared" si="11"/>
        <v>0.99954638958783271</v>
      </c>
      <c r="AH13">
        <f t="shared" si="11"/>
        <v>0.99976718519439034</v>
      </c>
      <c r="AI13">
        <f t="shared" si="11"/>
        <v>0.99988333068201085</v>
      </c>
      <c r="AJ13">
        <f t="shared" si="11"/>
        <v>0.99994287700879725</v>
      </c>
      <c r="AK13">
        <f t="shared" si="11"/>
        <v>0.99997265621999287</v>
      </c>
    </row>
    <row r="14" spans="2:37" x14ac:dyDescent="0.25">
      <c r="J14" s="31">
        <f t="shared" si="14"/>
        <v>0.11009999999999999</v>
      </c>
      <c r="K14">
        <f t="shared" si="12"/>
        <v>0.11834944589918429</v>
      </c>
      <c r="L14">
        <f>_xlfn.NORM.S.DIST((LN(L$2/$B$67)+($F$69+$F$68^2/2)*$J14)/($F$68*SQRT($J14)),TRUE)</f>
        <v>0.16889619133153053</v>
      </c>
      <c r="M14">
        <f t="shared" si="10"/>
        <v>0.23063074687447163</v>
      </c>
      <c r="N14">
        <f t="shared" si="10"/>
        <v>0.30226225320007849</v>
      </c>
      <c r="O14">
        <f t="shared" si="10"/>
        <v>0.38137821983668507</v>
      </c>
      <c r="P14">
        <f t="shared" si="10"/>
        <v>0.46471051422075188</v>
      </c>
      <c r="Q14">
        <f t="shared" si="10"/>
        <v>0.54856376482859548</v>
      </c>
      <c r="R14">
        <f t="shared" si="10"/>
        <v>0.62930910167003185</v>
      </c>
      <c r="S14">
        <f t="shared" si="10"/>
        <v>0.70383494713110661</v>
      </c>
      <c r="T14">
        <f t="shared" si="10"/>
        <v>0.76986753237772376</v>
      </c>
      <c r="U14">
        <f t="shared" si="10"/>
        <v>0.82611621839287674</v>
      </c>
      <c r="V14">
        <f t="shared" si="10"/>
        <v>0.87224608768207923</v>
      </c>
      <c r="W14">
        <f t="shared" si="10"/>
        <v>0.90871767469197906</v>
      </c>
      <c r="X14">
        <f t="shared" si="10"/>
        <v>0.93655270245894007</v>
      </c>
      <c r="Y14">
        <f t="shared" si="10"/>
        <v>0.95708471851115107</v>
      </c>
      <c r="Z14">
        <f t="shared" si="10"/>
        <v>0.97173987522463678</v>
      </c>
      <c r="AA14">
        <f t="shared" si="10"/>
        <v>0.98187345801191728</v>
      </c>
      <c r="AB14">
        <f t="shared" si="13"/>
        <v>0.98866899549114784</v>
      </c>
      <c r="AC14">
        <f t="shared" si="13"/>
        <v>0.99309312889506918</v>
      </c>
      <c r="AD14">
        <f t="shared" si="11"/>
        <v>0.99589219625808889</v>
      </c>
      <c r="AE14">
        <f t="shared" si="11"/>
        <v>0.99761485394485738</v>
      </c>
      <c r="AF14">
        <f t="shared" si="11"/>
        <v>0.9986471121972027</v>
      </c>
      <c r="AG14">
        <f t="shared" si="11"/>
        <v>0.99924990629003707</v>
      </c>
      <c r="AH14">
        <f t="shared" si="11"/>
        <v>0.99959323757011487</v>
      </c>
      <c r="AI14">
        <f t="shared" si="11"/>
        <v>0.9997841260598298</v>
      </c>
      <c r="AJ14">
        <f t="shared" si="11"/>
        <v>0.99988781028609719</v>
      </c>
      <c r="AK14">
        <f t="shared" si="11"/>
        <v>0.99994287125072534</v>
      </c>
    </row>
    <row r="15" spans="2:37" x14ac:dyDescent="0.25">
      <c r="J15" s="31">
        <f t="shared" si="14"/>
        <v>0.12009999999999998</v>
      </c>
      <c r="K15">
        <f t="shared" si="12"/>
        <v>0.13086041132464751</v>
      </c>
      <c r="L15">
        <f t="shared" si="10"/>
        <v>0.18216347928480145</v>
      </c>
      <c r="M15">
        <f t="shared" si="10"/>
        <v>0.24358436444749798</v>
      </c>
      <c r="N15">
        <f t="shared" si="10"/>
        <v>0.31374500250850157</v>
      </c>
      <c r="O15">
        <f t="shared" si="10"/>
        <v>0.39034865812049241</v>
      </c>
      <c r="P15">
        <f t="shared" si="10"/>
        <v>0.4704282970177297</v>
      </c>
      <c r="Q15">
        <f t="shared" si="10"/>
        <v>0.55070986914244213</v>
      </c>
      <c r="R15">
        <f t="shared" si="10"/>
        <v>0.62801414688919988</v>
      </c>
      <c r="S15">
        <f t="shared" si="10"/>
        <v>0.69961658547642469</v>
      </c>
      <c r="T15">
        <f t="shared" si="10"/>
        <v>0.76350220083955944</v>
      </c>
      <c r="U15">
        <f t="shared" si="10"/>
        <v>0.81848373303975464</v>
      </c>
      <c r="V15">
        <f t="shared" si="10"/>
        <v>0.86418530805358995</v>
      </c>
      <c r="W15">
        <f t="shared" si="10"/>
        <v>0.90092064915329573</v>
      </c>
      <c r="X15">
        <f t="shared" si="10"/>
        <v>0.92950910848626811</v>
      </c>
      <c r="Y15">
        <f t="shared" si="10"/>
        <v>0.95107387359699425</v>
      </c>
      <c r="Z15">
        <f t="shared" si="10"/>
        <v>0.96685794446477891</v>
      </c>
      <c r="AA15">
        <f t="shared" si="10"/>
        <v>0.97807986337738206</v>
      </c>
      <c r="AB15">
        <f t="shared" si="13"/>
        <v>0.98583740344044068</v>
      </c>
      <c r="AC15">
        <f t="shared" si="13"/>
        <v>0.99105664147833172</v>
      </c>
      <c r="AD15">
        <f t="shared" si="11"/>
        <v>0.99447735732658915</v>
      </c>
      <c r="AE15">
        <f t="shared" si="11"/>
        <v>0.99666329829774469</v>
      </c>
      <c r="AF15">
        <f t="shared" si="11"/>
        <v>0.9980264398498383</v>
      </c>
      <c r="AG15">
        <f t="shared" si="11"/>
        <v>0.99885663407145386</v>
      </c>
      <c r="AH15">
        <f t="shared" si="11"/>
        <v>0.9993508264653157</v>
      </c>
      <c r="AI15">
        <f t="shared" si="11"/>
        <v>0.99963857841810255</v>
      </c>
      <c r="AJ15">
        <f t="shared" si="11"/>
        <v>0.99980258532886968</v>
      </c>
      <c r="AK15">
        <f t="shared" si="11"/>
        <v>0.99989415075372057</v>
      </c>
    </row>
    <row r="16" spans="2:37" x14ac:dyDescent="0.25">
      <c r="J16" s="31">
        <f t="shared" si="14"/>
        <v>0.13009999999999999</v>
      </c>
      <c r="K16">
        <f t="shared" si="12"/>
        <v>0.1427284722908283</v>
      </c>
      <c r="L16">
        <f t="shared" si="10"/>
        <v>0.1945105425494742</v>
      </c>
      <c r="M16">
        <f t="shared" si="10"/>
        <v>0.25546653680966469</v>
      </c>
      <c r="N16">
        <f t="shared" si="10"/>
        <v>0.32417921899702662</v>
      </c>
      <c r="O16">
        <f t="shared" si="10"/>
        <v>0.39847349846468116</v>
      </c>
      <c r="P16">
        <f t="shared" si="10"/>
        <v>0.47564437186092434</v>
      </c>
      <c r="Q16">
        <f t="shared" si="10"/>
        <v>0.55276694492388612</v>
      </c>
      <c r="R16">
        <f t="shared" si="10"/>
        <v>0.62702794512275206</v>
      </c>
      <c r="S16">
        <f t="shared" si="10"/>
        <v>0.69601770986581546</v>
      </c>
      <c r="T16">
        <f t="shared" si="10"/>
        <v>0.75793619075298646</v>
      </c>
      <c r="U16">
        <f t="shared" si="10"/>
        <v>0.81169009872771425</v>
      </c>
      <c r="V16">
        <f t="shared" si="10"/>
        <v>0.85688326733879272</v>
      </c>
      <c r="W16">
        <f t="shared" si="10"/>
        <v>0.89372204119685161</v>
      </c>
      <c r="X16">
        <f t="shared" si="10"/>
        <v>0.92286829289676997</v>
      </c>
      <c r="Y16">
        <f t="shared" si="10"/>
        <v>0.94527411960196295</v>
      </c>
      <c r="Z16">
        <f t="shared" si="10"/>
        <v>0.96202650003115386</v>
      </c>
      <c r="AA16">
        <f t="shared" si="10"/>
        <v>0.97422054907199829</v>
      </c>
      <c r="AB16">
        <f t="shared" si="13"/>
        <v>0.98286976340800858</v>
      </c>
      <c r="AC16">
        <f t="shared" si="13"/>
        <v>0.98885316138083657</v>
      </c>
      <c r="AD16">
        <f t="shared" si="11"/>
        <v>0.99289362653722046</v>
      </c>
      <c r="AE16">
        <f t="shared" si="11"/>
        <v>0.99555914759575792</v>
      </c>
      <c r="AF16">
        <f t="shared" si="11"/>
        <v>0.99727840609346952</v>
      </c>
      <c r="AG16">
        <f t="shared" si="11"/>
        <v>0.99836342237713427</v>
      </c>
      <c r="AH16">
        <f t="shared" si="11"/>
        <v>0.99903389701612999</v>
      </c>
      <c r="AI16">
        <f t="shared" si="11"/>
        <v>0.99943985621145093</v>
      </c>
      <c r="AJ16">
        <f t="shared" si="11"/>
        <v>0.99968086212919249</v>
      </c>
      <c r="AK16">
        <f t="shared" si="11"/>
        <v>0.99982124001095973</v>
      </c>
    </row>
    <row r="17" spans="10:37" x14ac:dyDescent="0.25">
      <c r="J17" s="31">
        <f t="shared" si="14"/>
        <v>0.1401</v>
      </c>
      <c r="K17">
        <f t="shared" si="12"/>
        <v>0.15398547265111934</v>
      </c>
      <c r="L17">
        <f t="shared" si="10"/>
        <v>0.20603479569992003</v>
      </c>
      <c r="M17">
        <f t="shared" si="10"/>
        <v>0.26642408859972222</v>
      </c>
      <c r="N17">
        <f t="shared" si="10"/>
        <v>0.33372834604664281</v>
      </c>
      <c r="O17">
        <f t="shared" si="10"/>
        <v>0.40589332567387915</v>
      </c>
      <c r="P17">
        <f t="shared" si="10"/>
        <v>0.48044283990641279</v>
      </c>
      <c r="Q17">
        <f t="shared" si="10"/>
        <v>0.55474503064502834</v>
      </c>
      <c r="R17">
        <f t="shared" si="10"/>
        <v>0.62628911324597147</v>
      </c>
      <c r="S17">
        <f t="shared" si="10"/>
        <v>0.69292561091495508</v>
      </c>
      <c r="T17">
        <f t="shared" si="10"/>
        <v>0.75303518096049704</v>
      </c>
      <c r="U17">
        <f t="shared" si="10"/>
        <v>0.80560926421784096</v>
      </c>
      <c r="V17">
        <f t="shared" si="10"/>
        <v>0.85024453890009011</v>
      </c>
      <c r="W17">
        <f t="shared" si="10"/>
        <v>0.88706796942071287</v>
      </c>
      <c r="X17">
        <f t="shared" si="10"/>
        <v>0.91661755074324558</v>
      </c>
      <c r="Y17">
        <f t="shared" si="10"/>
        <v>0.93970534342936529</v>
      </c>
      <c r="Z17">
        <f t="shared" si="10"/>
        <v>0.95728550280225877</v>
      </c>
      <c r="AA17">
        <f t="shared" si="10"/>
        <v>0.97034303469443428</v>
      </c>
      <c r="AB17">
        <f t="shared" si="13"/>
        <v>0.97981129009743761</v>
      </c>
      <c r="AC17">
        <f t="shared" si="13"/>
        <v>0.98651950549657386</v>
      </c>
      <c r="AD17">
        <f t="shared" si="11"/>
        <v>0.99116696295665963</v>
      </c>
      <c r="AE17">
        <f t="shared" si="11"/>
        <v>0.99431779170057277</v>
      </c>
      <c r="AF17">
        <f t="shared" si="11"/>
        <v>0.9964097435639655</v>
      </c>
      <c r="AG17">
        <f t="shared" si="11"/>
        <v>0.99777087564366762</v>
      </c>
      <c r="AH17">
        <f t="shared" si="11"/>
        <v>0.99863936187050695</v>
      </c>
      <c r="AI17">
        <f t="shared" si="11"/>
        <v>0.99918313886916277</v>
      </c>
      <c r="AJ17">
        <f t="shared" si="11"/>
        <v>0.99951744504210149</v>
      </c>
      <c r="AK17">
        <f t="shared" si="11"/>
        <v>0.99971937178169057</v>
      </c>
    </row>
    <row r="18" spans="10:37" x14ac:dyDescent="0.25">
      <c r="J18" s="31">
        <f t="shared" si="14"/>
        <v>0.15010000000000001</v>
      </c>
      <c r="K18">
        <f t="shared" si="12"/>
        <v>0.16466844313868037</v>
      </c>
      <c r="L18">
        <f t="shared" si="12"/>
        <v>0.21682247525296738</v>
      </c>
      <c r="M18">
        <f t="shared" si="12"/>
        <v>0.27657775342801583</v>
      </c>
      <c r="N18">
        <f t="shared" si="12"/>
        <v>0.3425219933574063</v>
      </c>
      <c r="O18">
        <f t="shared" si="12"/>
        <v>0.41271747017680444</v>
      </c>
      <c r="P18">
        <f t="shared" si="12"/>
        <v>0.48488866622912469</v>
      </c>
      <c r="Q18">
        <f t="shared" si="12"/>
        <v>0.55665240260540449</v>
      </c>
      <c r="R18">
        <f t="shared" si="12"/>
        <v>0.6257512675252328</v>
      </c>
      <c r="S18">
        <f t="shared" si="12"/>
        <v>0.69025365709773523</v>
      </c>
      <c r="T18">
        <f t="shared" si="12"/>
        <v>0.74869379578604955</v>
      </c>
      <c r="U18">
        <f t="shared" si="12"/>
        <v>0.80013927359250281</v>
      </c>
      <c r="V18">
        <f t="shared" si="12"/>
        <v>0.84418799553573898</v>
      </c>
      <c r="W18">
        <f t="shared" si="12"/>
        <v>0.88090775768406693</v>
      </c>
      <c r="X18">
        <f t="shared" si="12"/>
        <v>0.91073814226357974</v>
      </c>
      <c r="Y18">
        <f t="shared" si="12"/>
        <v>0.93437582765234839</v>
      </c>
      <c r="Z18">
        <f t="shared" si="12"/>
        <v>0.95266172780284886</v>
      </c>
      <c r="AA18">
        <f t="shared" ref="AA18:AA32" si="15">_xlfn.NORM.S.DIST((LN(AA$2/$B$67)+($F$69+$F$68^2/2)*$J18)/($F$68*SQRT($J18)),TRUE)</f>
        <v>0.96648324167778177</v>
      </c>
      <c r="AB18">
        <f t="shared" si="13"/>
        <v>0.97669899723601261</v>
      </c>
      <c r="AC18">
        <f t="shared" si="13"/>
        <v>0.98408814944648915</v>
      </c>
      <c r="AD18">
        <f t="shared" si="11"/>
        <v>0.98932232398840869</v>
      </c>
      <c r="AE18">
        <f t="shared" si="11"/>
        <v>0.99295593748587641</v>
      </c>
      <c r="AF18">
        <f t="shared" si="11"/>
        <v>0.99542972012520126</v>
      </c>
      <c r="AG18">
        <f t="shared" si="11"/>
        <v>0.99708244438975069</v>
      </c>
      <c r="AH18">
        <f t="shared" si="11"/>
        <v>0.99816669106814759</v>
      </c>
      <c r="AI18">
        <f t="shared" si="11"/>
        <v>0.99886557798456088</v>
      </c>
      <c r="AJ18">
        <f t="shared" si="11"/>
        <v>0.99930846108830096</v>
      </c>
      <c r="AK18">
        <f t="shared" si="11"/>
        <v>0.99958452996180347</v>
      </c>
    </row>
    <row r="19" spans="10:37" x14ac:dyDescent="0.25">
      <c r="J19" s="31">
        <f t="shared" si="14"/>
        <v>0.16010000000000002</v>
      </c>
      <c r="K19">
        <f t="shared" si="12"/>
        <v>0.17481585436576261</v>
      </c>
      <c r="L19">
        <f t="shared" si="12"/>
        <v>0.22694931018231493</v>
      </c>
      <c r="M19">
        <f t="shared" si="12"/>
        <v>0.28602760881415146</v>
      </c>
      <c r="N19">
        <f t="shared" si="12"/>
        <v>0.35066442030395645</v>
      </c>
      <c r="O19">
        <f t="shared" si="12"/>
        <v>0.41903245516120313</v>
      </c>
      <c r="P19">
        <f t="shared" si="12"/>
        <v>0.48903299728702748</v>
      </c>
      <c r="Q19">
        <f t="shared" si="12"/>
        <v>0.55849598003014356</v>
      </c>
      <c r="R19">
        <f t="shared" si="12"/>
        <v>0.6253786875559495</v>
      </c>
      <c r="S19">
        <f t="shared" si="12"/>
        <v>0.68793407883487767</v>
      </c>
      <c r="T19">
        <f t="shared" si="12"/>
        <v>0.74482813025146399</v>
      </c>
      <c r="U19">
        <f t="shared" si="12"/>
        <v>0.79519682896123078</v>
      </c>
      <c r="V19">
        <f t="shared" si="12"/>
        <v>0.83864462727265066</v>
      </c>
      <c r="W19">
        <f t="shared" si="12"/>
        <v>0.87519495723227037</v>
      </c>
      <c r="X19">
        <f t="shared" si="12"/>
        <v>0.90520851431202065</v>
      </c>
      <c r="Y19">
        <f t="shared" si="12"/>
        <v>0.92928627868302816</v>
      </c>
      <c r="Z19">
        <f t="shared" si="12"/>
        <v>0.94817235863428329</v>
      </c>
      <c r="AA19">
        <f t="shared" si="15"/>
        <v>0.96266789396241847</v>
      </c>
      <c r="AB19">
        <f t="shared" si="13"/>
        <v>0.97356269611020652</v>
      </c>
      <c r="AC19">
        <f t="shared" si="13"/>
        <v>0.98158704405157815</v>
      </c>
      <c r="AD19">
        <f t="shared" si="13"/>
        <v>0.98738273955972755</v>
      </c>
      <c r="AE19">
        <f t="shared" si="13"/>
        <v>0.99149040351558448</v>
      </c>
      <c r="AF19">
        <f t="shared" si="13"/>
        <v>0.99434901112156171</v>
      </c>
      <c r="AG19">
        <f t="shared" si="13"/>
        <v>0.99630357736148845</v>
      </c>
      <c r="AH19">
        <f t="shared" si="13"/>
        <v>0.99761740396301779</v>
      </c>
      <c r="AI19">
        <f t="shared" si="13"/>
        <v>0.9984860908822627</v>
      </c>
      <c r="AJ19">
        <f t="shared" si="13"/>
        <v>0.99905136938880612</v>
      </c>
      <c r="AK19">
        <f t="shared" si="13"/>
        <v>0.99941358158156768</v>
      </c>
    </row>
    <row r="20" spans="10:37" x14ac:dyDescent="0.25">
      <c r="J20" s="31">
        <f t="shared" si="14"/>
        <v>0.17010000000000003</v>
      </c>
      <c r="K20">
        <f t="shared" si="12"/>
        <v>0.18446553641568308</v>
      </c>
      <c r="L20">
        <f t="shared" si="12"/>
        <v>0.23648158830370225</v>
      </c>
      <c r="M20">
        <f t="shared" si="12"/>
        <v>0.2948572726658612</v>
      </c>
      <c r="N20">
        <f t="shared" si="12"/>
        <v>0.35824056930127313</v>
      </c>
      <c r="O20">
        <f t="shared" si="12"/>
        <v>0.42490780585166882</v>
      </c>
      <c r="P20">
        <f t="shared" si="12"/>
        <v>0.49291676843680421</v>
      </c>
      <c r="Q20">
        <f t="shared" si="12"/>
        <v>0.56028161774105656</v>
      </c>
      <c r="R20">
        <f t="shared" si="12"/>
        <v>0.62514341021483288</v>
      </c>
      <c r="S20">
        <f t="shared" si="12"/>
        <v>0.68591304253508201</v>
      </c>
      <c r="T20">
        <f t="shared" si="12"/>
        <v>0.74137048942186601</v>
      </c>
      <c r="U20">
        <f t="shared" si="12"/>
        <v>0.79071322928003585</v>
      </c>
      <c r="V20">
        <f t="shared" si="12"/>
        <v>0.8335555808604258</v>
      </c>
      <c r="W20">
        <f t="shared" si="12"/>
        <v>0.86988759465158039</v>
      </c>
      <c r="X20">
        <f t="shared" si="12"/>
        <v>0.90000621641562528</v>
      </c>
      <c r="Y20">
        <f t="shared" si="12"/>
        <v>0.92443254430958266</v>
      </c>
      <c r="Z20">
        <f t="shared" si="12"/>
        <v>0.94382765283999226</v>
      </c>
      <c r="AA20">
        <f t="shared" si="15"/>
        <v>0.95891652839335217</v>
      </c>
      <c r="AB20">
        <f t="shared" si="13"/>
        <v>0.97042608941799069</v>
      </c>
      <c r="AC20">
        <f t="shared" si="13"/>
        <v>0.97903983435785835</v>
      </c>
      <c r="AD20">
        <f t="shared" si="13"/>
        <v>0.9853688902669403</v>
      </c>
      <c r="AE20">
        <f t="shared" si="13"/>
        <v>0.98993735830169571</v>
      </c>
      <c r="AF20">
        <f t="shared" si="13"/>
        <v>0.99317886804076472</v>
      </c>
      <c r="AG20">
        <f t="shared" si="13"/>
        <v>0.99544100712778383</v>
      </c>
      <c r="AH20">
        <f t="shared" si="13"/>
        <v>0.99699456325514668</v>
      </c>
      <c r="AI20">
        <f t="shared" si="13"/>
        <v>0.99804507629124839</v>
      </c>
      <c r="AJ20">
        <f t="shared" si="13"/>
        <v>0.99874486213888836</v>
      </c>
      <c r="AK20">
        <f t="shared" si="13"/>
        <v>0.99920430553758233</v>
      </c>
    </row>
    <row r="21" spans="10:37" x14ac:dyDescent="0.25">
      <c r="J21" s="31">
        <f t="shared" si="14"/>
        <v>0.18010000000000004</v>
      </c>
      <c r="K21">
        <f t="shared" si="12"/>
        <v>0.1936535727031852</v>
      </c>
      <c r="L21">
        <f t="shared" si="12"/>
        <v>0.24547730648156652</v>
      </c>
      <c r="M21">
        <f t="shared" si="12"/>
        <v>0.30313714836445926</v>
      </c>
      <c r="N21">
        <f t="shared" si="12"/>
        <v>0.3653204384743014</v>
      </c>
      <c r="O21">
        <f t="shared" si="12"/>
        <v>0.43040014290188011</v>
      </c>
      <c r="P21">
        <f t="shared" si="12"/>
        <v>0.49657321721683145</v>
      </c>
      <c r="Q21">
        <f t="shared" si="12"/>
        <v>0.56201432233886284</v>
      </c>
      <c r="R21">
        <f t="shared" si="12"/>
        <v>0.62502322957044554</v>
      </c>
      <c r="S21">
        <f t="shared" si="12"/>
        <v>0.68414720447620203</v>
      </c>
      <c r="T21">
        <f t="shared" si="12"/>
        <v>0.73826561131003876</v>
      </c>
      <c r="U21">
        <f t="shared" si="12"/>
        <v>0.7866313102971797</v>
      </c>
      <c r="V21">
        <f t="shared" si="12"/>
        <v>0.82887048268962626</v>
      </c>
      <c r="W21">
        <f t="shared" si="12"/>
        <v>0.86494803583401048</v>
      </c>
      <c r="X21">
        <f t="shared" si="12"/>
        <v>0.89510902018011806</v>
      </c>
      <c r="Y21">
        <f t="shared" si="12"/>
        <v>0.91980744520681046</v>
      </c>
      <c r="Z21">
        <f t="shared" si="12"/>
        <v>0.93963289953018492</v>
      </c>
      <c r="AA21">
        <f t="shared" si="15"/>
        <v>0.95524311786266902</v>
      </c>
      <c r="AB21">
        <f t="shared" si="13"/>
        <v>0.96730780811640515</v>
      </c>
      <c r="AC21">
        <f t="shared" si="13"/>
        <v>0.97646626743708098</v>
      </c>
      <c r="AD21">
        <f t="shared" si="13"/>
        <v>0.98329899667135534</v>
      </c>
      <c r="AE21">
        <f t="shared" si="13"/>
        <v>0.98831187794743469</v>
      </c>
      <c r="AF21">
        <f t="shared" si="13"/>
        <v>0.99193053813774323</v>
      </c>
      <c r="AG21">
        <f t="shared" si="13"/>
        <v>0.99450218594249518</v>
      </c>
      <c r="AH21">
        <f t="shared" si="13"/>
        <v>0.99630232244427741</v>
      </c>
      <c r="AI21">
        <f t="shared" si="13"/>
        <v>0.99754411159816192</v>
      </c>
      <c r="AJ21">
        <f t="shared" si="13"/>
        <v>0.99838870686838233</v>
      </c>
      <c r="AK21">
        <f t="shared" si="13"/>
        <v>0.99895535012018555</v>
      </c>
    </row>
    <row r="22" spans="10:37" x14ac:dyDescent="0.25">
      <c r="J22" s="31">
        <f t="shared" si="14"/>
        <v>0.19010000000000005</v>
      </c>
      <c r="K22">
        <f t="shared" si="12"/>
        <v>0.20241376401264333</v>
      </c>
      <c r="L22">
        <f t="shared" si="12"/>
        <v>0.25398726637567831</v>
      </c>
      <c r="M22">
        <f t="shared" si="12"/>
        <v>0.31092694649756036</v>
      </c>
      <c r="N22">
        <f t="shared" si="12"/>
        <v>0.37196230549383547</v>
      </c>
      <c r="O22">
        <f t="shared" si="12"/>
        <v>0.43555612894408224</v>
      </c>
      <c r="P22">
        <f t="shared" si="12"/>
        <v>0.50002967530585107</v>
      </c>
      <c r="Q22">
        <f t="shared" si="12"/>
        <v>0.56369841499852136</v>
      </c>
      <c r="R22">
        <f t="shared" si="12"/>
        <v>0.62500028806208219</v>
      </c>
      <c r="S22">
        <f t="shared" si="12"/>
        <v>0.68260124753998164</v>
      </c>
      <c r="T22">
        <f t="shared" si="12"/>
        <v>0.73546790577753363</v>
      </c>
      <c r="U22">
        <f t="shared" si="12"/>
        <v>0.78290311618459485</v>
      </c>
      <c r="V22">
        <f t="shared" si="12"/>
        <v>0.8245460372730653</v>
      </c>
      <c r="W22">
        <f t="shared" si="12"/>
        <v>0.86034267340236636</v>
      </c>
      <c r="X22">
        <f t="shared" si="12"/>
        <v>0.89049555081958609</v>
      </c>
      <c r="Y22">
        <f t="shared" si="12"/>
        <v>0.91540200776756098</v>
      </c>
      <c r="Z22">
        <f t="shared" si="12"/>
        <v>0.93558985056469568</v>
      </c>
      <c r="AA22">
        <f t="shared" si="15"/>
        <v>0.9516573553313753</v>
      </c>
      <c r="AB22">
        <f t="shared" si="13"/>
        <v>0.96422232918500661</v>
      </c>
      <c r="AC22">
        <f t="shared" si="13"/>
        <v>0.97388266674452939</v>
      </c>
      <c r="AD22">
        <f t="shared" si="13"/>
        <v>0.9811888897372083</v>
      </c>
      <c r="AE22">
        <f t="shared" si="13"/>
        <v>0.98662772282332323</v>
      </c>
      <c r="AF22">
        <f t="shared" si="13"/>
        <v>0.99061488061443304</v>
      </c>
      <c r="AG22">
        <f t="shared" si="13"/>
        <v>0.99349486131003817</v>
      </c>
      <c r="AH22">
        <f t="shared" si="13"/>
        <v>0.99554554690305397</v>
      </c>
      <c r="AI22">
        <f t="shared" si="13"/>
        <v>0.99698566644529663</v>
      </c>
      <c r="AJ22">
        <f t="shared" si="13"/>
        <v>0.99798356566713609</v>
      </c>
      <c r="AK22">
        <f t="shared" si="13"/>
        <v>0.99866614744444304</v>
      </c>
    </row>
    <row r="23" spans="10:37" x14ac:dyDescent="0.25">
      <c r="J23" s="31">
        <f t="shared" si="14"/>
        <v>0.20010000000000006</v>
      </c>
      <c r="K23">
        <f t="shared" si="12"/>
        <v>0.21077742430788979</v>
      </c>
      <c r="L23">
        <f t="shared" si="12"/>
        <v>0.26205606130477543</v>
      </c>
      <c r="M23">
        <f t="shared" si="12"/>
        <v>0.31827765743123748</v>
      </c>
      <c r="N23">
        <f t="shared" si="12"/>
        <v>0.37821514167854492</v>
      </c>
      <c r="O23">
        <f t="shared" si="12"/>
        <v>0.44041463007906961</v>
      </c>
      <c r="P23">
        <f t="shared" si="12"/>
        <v>0.50330887247185963</v>
      </c>
      <c r="Q23">
        <f t="shared" si="12"/>
        <v>0.5653376561597856</v>
      </c>
      <c r="R23">
        <f t="shared" si="12"/>
        <v>0.6250600637275664</v>
      </c>
      <c r="S23">
        <f t="shared" si="12"/>
        <v>0.68124608664635244</v>
      </c>
      <c r="T23">
        <f t="shared" si="12"/>
        <v>0.73293940314614392</v>
      </c>
      <c r="U23">
        <f t="shared" si="12"/>
        <v>0.77948811006241148</v>
      </c>
      <c r="V23">
        <f t="shared" si="12"/>
        <v>0.8205448688768604</v>
      </c>
      <c r="W23">
        <f t="shared" si="12"/>
        <v>0.85604154731843962</v>
      </c>
      <c r="X23">
        <f t="shared" si="12"/>
        <v>0.8861456197914821</v>
      </c>
      <c r="Y23">
        <f t="shared" si="12"/>
        <v>0.91120629156888111</v>
      </c>
      <c r="Z23">
        <f t="shared" si="12"/>
        <v>0.93169776471952503</v>
      </c>
      <c r="AA23">
        <f t="shared" si="15"/>
        <v>0.9481656577717229</v>
      </c>
      <c r="AB23">
        <f t="shared" si="13"/>
        <v>0.96118075791091939</v>
      </c>
      <c r="AC23">
        <f t="shared" si="13"/>
        <v>0.97130240679695434</v>
      </c>
      <c r="AD23">
        <f t="shared" si="13"/>
        <v>0.979052178385038</v>
      </c>
      <c r="AE23">
        <f t="shared" si="13"/>
        <v>0.98489725836207953</v>
      </c>
      <c r="AF23">
        <f t="shared" si="13"/>
        <v>0.98924212922828958</v>
      </c>
      <c r="AG23">
        <f t="shared" si="13"/>
        <v>0.99242676980851019</v>
      </c>
      <c r="AH23">
        <f t="shared" si="13"/>
        <v>0.9947295110360187</v>
      </c>
      <c r="AI23">
        <f t="shared" si="13"/>
        <v>0.99637285006360865</v>
      </c>
      <c r="AJ23">
        <f t="shared" si="13"/>
        <v>0.99753081441127811</v>
      </c>
      <c r="AK23">
        <f t="shared" si="13"/>
        <v>0.99833680636780153</v>
      </c>
    </row>
    <row r="24" spans="10:37" x14ac:dyDescent="0.25">
      <c r="J24" s="31">
        <f t="shared" si="14"/>
        <v>0.21010000000000006</v>
      </c>
      <c r="K24">
        <f t="shared" si="12"/>
        <v>0.21877336648581189</v>
      </c>
      <c r="L24">
        <f t="shared" si="12"/>
        <v>0.26972293972469075</v>
      </c>
      <c r="M24">
        <f t="shared" si="12"/>
        <v>0.32523310569885727</v>
      </c>
      <c r="N24">
        <f t="shared" si="12"/>
        <v>0.38412044551585589</v>
      </c>
      <c r="O24">
        <f t="shared" si="12"/>
        <v>0.44500832842835075</v>
      </c>
      <c r="P24">
        <f t="shared" si="12"/>
        <v>0.50642990270832144</v>
      </c>
      <c r="Q24">
        <f t="shared" si="12"/>
        <v>0.56693534247921629</v>
      </c>
      <c r="R24">
        <f t="shared" si="12"/>
        <v>0.62519062886888577</v>
      </c>
      <c r="S24">
        <f t="shared" si="12"/>
        <v>0.68005753898514054</v>
      </c>
      <c r="T24">
        <f t="shared" si="12"/>
        <v>0.73064820756088433</v>
      </c>
      <c r="U24">
        <f t="shared" si="12"/>
        <v>0.77635178505076741</v>
      </c>
      <c r="V24">
        <f t="shared" si="12"/>
        <v>0.81683456840749158</v>
      </c>
      <c r="W24">
        <f t="shared" si="12"/>
        <v>0.8520179555779106</v>
      </c>
      <c r="X24">
        <f t="shared" si="12"/>
        <v>0.88204037511485534</v>
      </c>
      <c r="Y24">
        <f t="shared" si="12"/>
        <v>0.90720994152980827</v>
      </c>
      <c r="Z24">
        <f t="shared" si="12"/>
        <v>0.92795416882610626</v>
      </c>
      <c r="AA24">
        <f t="shared" si="15"/>
        <v>0.94477194588549018</v>
      </c>
      <c r="AB24">
        <f t="shared" si="13"/>
        <v>0.95819147991356823</v>
      </c>
      <c r="AC24">
        <f t="shared" si="13"/>
        <v>0.96873635501750333</v>
      </c>
      <c r="AD24">
        <f t="shared" si="13"/>
        <v>0.97690046172656642</v>
      </c>
      <c r="AE24">
        <f t="shared" si="13"/>
        <v>0.98313146666022844</v>
      </c>
      <c r="AF24">
        <f t="shared" si="13"/>
        <v>0.98782176000091626</v>
      </c>
      <c r="AG24">
        <f t="shared" si="13"/>
        <v>0.99130542552852263</v>
      </c>
      <c r="AH24">
        <f t="shared" si="13"/>
        <v>0.99385966506933365</v>
      </c>
      <c r="AI24">
        <f t="shared" si="13"/>
        <v>0.99570919867911933</v>
      </c>
      <c r="AJ24">
        <f t="shared" si="13"/>
        <v>0.99703237533512412</v>
      </c>
      <c r="AK24">
        <f t="shared" si="13"/>
        <v>0.99796799898554212</v>
      </c>
    </row>
    <row r="25" spans="10:37" x14ac:dyDescent="0.25">
      <c r="J25" s="31">
        <f t="shared" si="14"/>
        <v>0.22010000000000007</v>
      </c>
      <c r="K25">
        <f t="shared" si="12"/>
        <v>0.22642799327808569</v>
      </c>
      <c r="L25">
        <f t="shared" si="12"/>
        <v>0.27702254905631141</v>
      </c>
      <c r="M25">
        <f t="shared" si="12"/>
        <v>0.33183118422354219</v>
      </c>
      <c r="N25">
        <f t="shared" si="12"/>
        <v>0.38971365332608265</v>
      </c>
      <c r="O25">
        <f t="shared" si="12"/>
        <v>0.44936494349520029</v>
      </c>
      <c r="P25">
        <f t="shared" si="12"/>
        <v>0.50940895171632339</v>
      </c>
      <c r="Q25">
        <f t="shared" si="12"/>
        <v>0.56849438323309265</v>
      </c>
      <c r="R25">
        <f t="shared" si="12"/>
        <v>0.62538209858200999</v>
      </c>
      <c r="S25">
        <f t="shared" si="12"/>
        <v>0.67901532355226146</v>
      </c>
      <c r="T25">
        <f t="shared" si="12"/>
        <v>0.72856731525550589</v>
      </c>
      <c r="U25">
        <f t="shared" si="12"/>
        <v>0.77346457588869177</v>
      </c>
      <c r="V25">
        <f t="shared" si="12"/>
        <v>0.81338690979374928</v>
      </c>
      <c r="W25">
        <f t="shared" si="12"/>
        <v>0.84824808319668343</v>
      </c>
      <c r="X25">
        <f t="shared" si="12"/>
        <v>0.87816234175267061</v>
      </c>
      <c r="Y25">
        <f t="shared" si="12"/>
        <v>0.90340255252806545</v>
      </c>
      <c r="Z25">
        <f t="shared" si="12"/>
        <v>0.92435541226739981</v>
      </c>
      <c r="AA25">
        <f t="shared" si="15"/>
        <v>0.94147824742117203</v>
      </c>
      <c r="AB25">
        <f t="shared" si="13"/>
        <v>0.95526069711954786</v>
      </c>
      <c r="AC25">
        <f t="shared" si="13"/>
        <v>0.96619326654200544</v>
      </c>
      <c r="AD25">
        <f t="shared" si="13"/>
        <v>0.97474355443031746</v>
      </c>
      <c r="AE25">
        <f t="shared" si="13"/>
        <v>0.98134001219648526</v>
      </c>
      <c r="AF25">
        <f t="shared" si="13"/>
        <v>0.98636243197733553</v>
      </c>
      <c r="AG25">
        <f t="shared" si="13"/>
        <v>0.99013798134101105</v>
      </c>
      <c r="AH25">
        <f t="shared" si="13"/>
        <v>0.99294146137809003</v>
      </c>
      <c r="AI25">
        <f t="shared" si="13"/>
        <v>0.99499850290602088</v>
      </c>
      <c r="AJ25">
        <f t="shared" si="13"/>
        <v>0.99649056955074145</v>
      </c>
      <c r="AK25">
        <f t="shared" si="13"/>
        <v>0.99756085039852593</v>
      </c>
    </row>
    <row r="26" spans="10:37" x14ac:dyDescent="0.25">
      <c r="J26" s="31">
        <f t="shared" si="14"/>
        <v>0.23010000000000008</v>
      </c>
      <c r="K26">
        <f t="shared" si="12"/>
        <v>0.23376544257021814</v>
      </c>
      <c r="L26">
        <f t="shared" si="12"/>
        <v>0.28398557113516765</v>
      </c>
      <c r="M26">
        <f t="shared" si="12"/>
        <v>0.33810484179400419</v>
      </c>
      <c r="N26">
        <f t="shared" si="12"/>
        <v>0.39502523748582247</v>
      </c>
      <c r="O26">
        <f t="shared" si="12"/>
        <v>0.45350816994875359</v>
      </c>
      <c r="P26">
        <f t="shared" si="12"/>
        <v>0.51225985268335761</v>
      </c>
      <c r="Q26">
        <f t="shared" si="12"/>
        <v>0.57001736125692082</v>
      </c>
      <c r="R26">
        <f t="shared" si="12"/>
        <v>0.62562621453651046</v>
      </c>
      <c r="S26">
        <f t="shared" si="12"/>
        <v>0.67810229803859212</v>
      </c>
      <c r="T26">
        <f t="shared" si="12"/>
        <v>0.72667370058395353</v>
      </c>
      <c r="U26">
        <f t="shared" si="12"/>
        <v>0.77080099830125792</v>
      </c>
      <c r="V26">
        <f t="shared" si="12"/>
        <v>0.81017720481603439</v>
      </c>
      <c r="W26">
        <f t="shared" si="12"/>
        <v>0.8447106621286693</v>
      </c>
      <c r="X26">
        <f t="shared" si="12"/>
        <v>0.87449539719308955</v>
      </c>
      <c r="Y26">
        <f t="shared" si="12"/>
        <v>0.89977390597144846</v>
      </c>
      <c r="Z26">
        <f t="shared" si="12"/>
        <v>0.92089707054020653</v>
      </c>
      <c r="AA26">
        <f t="shared" si="15"/>
        <v>0.93828516307380849</v>
      </c>
      <c r="AB26">
        <f t="shared" si="13"/>
        <v>0.95239286451821148</v>
      </c>
      <c r="AC26">
        <f t="shared" si="13"/>
        <v>0.96368012823465254</v>
      </c>
      <c r="AD26">
        <f t="shared" si="13"/>
        <v>0.97258970709824211</v>
      </c>
      <c r="AE26">
        <f t="shared" si="13"/>
        <v>0.97953133709619689</v>
      </c>
      <c r="AF26">
        <f t="shared" si="13"/>
        <v>0.98487197713347063</v>
      </c>
      <c r="AG26">
        <f t="shared" si="13"/>
        <v>0.98893114458279341</v>
      </c>
      <c r="AH26">
        <f t="shared" si="13"/>
        <v>0.9919802295364798</v>
      </c>
      <c r="AI26">
        <f t="shared" si="13"/>
        <v>0.99424467169592168</v>
      </c>
      <c r="AJ26">
        <f t="shared" si="13"/>
        <v>0.99590799176732792</v>
      </c>
      <c r="AK26">
        <f t="shared" si="13"/>
        <v>0.99711683738949253</v>
      </c>
    </row>
    <row r="27" spans="10:37" x14ac:dyDescent="0.25">
      <c r="J27" s="31">
        <f t="shared" si="14"/>
        <v>0.24010000000000009</v>
      </c>
      <c r="K27">
        <f t="shared" si="12"/>
        <v>0.24080775694433953</v>
      </c>
      <c r="L27">
        <f t="shared" si="12"/>
        <v>0.29063926288205022</v>
      </c>
      <c r="M27">
        <f t="shared" si="12"/>
        <v>0.34408287900934992</v>
      </c>
      <c r="N27">
        <f t="shared" si="12"/>
        <v>0.40008157072551498</v>
      </c>
      <c r="O27">
        <f t="shared" si="12"/>
        <v>0.45745840664239551</v>
      </c>
      <c r="P27">
        <f t="shared" si="12"/>
        <v>0.5149945164829477</v>
      </c>
      <c r="Q27">
        <f t="shared" si="12"/>
        <v>0.57150658208336547</v>
      </c>
      <c r="R27">
        <f t="shared" si="12"/>
        <v>0.62591602669544599</v>
      </c>
      <c r="S27">
        <f t="shared" si="12"/>
        <v>0.67730386947318788</v>
      </c>
      <c r="T27">
        <f t="shared" si="12"/>
        <v>0.72494760123911151</v>
      </c>
      <c r="U27">
        <f t="shared" si="12"/>
        <v>0.76833896258253853</v>
      </c>
      <c r="V27">
        <f t="shared" si="12"/>
        <v>0.80718377048343504</v>
      </c>
      <c r="W27">
        <f t="shared" si="12"/>
        <v>0.84138666641504656</v>
      </c>
      <c r="X27">
        <f t="shared" si="12"/>
        <v>0.87102471041516516</v>
      </c>
      <c r="Y27">
        <f t="shared" si="12"/>
        <v>0.89631411885796708</v>
      </c>
      <c r="Z27">
        <f t="shared" si="12"/>
        <v>0.91757423841277319</v>
      </c>
      <c r="AA27">
        <f t="shared" si="15"/>
        <v>0.93519222590682327</v>
      </c>
      <c r="AB27">
        <f t="shared" si="13"/>
        <v>0.94959104411644613</v>
      </c>
      <c r="AC27">
        <f t="shared" si="13"/>
        <v>0.96120245362009227</v>
      </c>
      <c r="AD27">
        <f t="shared" si="13"/>
        <v>0.97044581197422197</v>
      </c>
      <c r="AE27">
        <f t="shared" si="13"/>
        <v>0.97771276991388134</v>
      </c>
      <c r="AF27">
        <f t="shared" si="13"/>
        <v>0.98335742209515886</v>
      </c>
      <c r="AG27">
        <f t="shared" si="13"/>
        <v>0.98769113237255668</v>
      </c>
      <c r="AH27">
        <f t="shared" si="13"/>
        <v>0.99098109000952961</v>
      </c>
      <c r="AI27">
        <f t="shared" si="13"/>
        <v>0.99345162798095377</v>
      </c>
      <c r="AJ27">
        <f t="shared" si="13"/>
        <v>0.99528740686012263</v>
      </c>
      <c r="AK27">
        <f t="shared" si="13"/>
        <v>0.99663769880078201</v>
      </c>
    </row>
    <row r="28" spans="10:37" x14ac:dyDescent="0.25">
      <c r="J28" s="31">
        <f t="shared" si="14"/>
        <v>0.2501000000000001</v>
      </c>
      <c r="K28">
        <f t="shared" si="12"/>
        <v>0.24757505971889188</v>
      </c>
      <c r="L28">
        <f t="shared" si="12"/>
        <v>0.29700791567953166</v>
      </c>
      <c r="M28">
        <f t="shared" si="12"/>
        <v>0.34979059445401972</v>
      </c>
      <c r="N28">
        <f t="shared" si="12"/>
        <v>0.40490561314280926</v>
      </c>
      <c r="O28">
        <f t="shared" si="12"/>
        <v>0.46123332976981063</v>
      </c>
      <c r="P28">
        <f t="shared" si="12"/>
        <v>0.51762326865415942</v>
      </c>
      <c r="Q28">
        <f t="shared" si="12"/>
        <v>0.57296411395765789</v>
      </c>
      <c r="R28">
        <f t="shared" si="12"/>
        <v>0.6262456470199671</v>
      </c>
      <c r="S28">
        <f t="shared" si="12"/>
        <v>0.67660753387068029</v>
      </c>
      <c r="T28">
        <f t="shared" si="12"/>
        <v>0.72337195351173211</v>
      </c>
      <c r="U28">
        <f t="shared" si="12"/>
        <v>0.76605922167008189</v>
      </c>
      <c r="V28">
        <f t="shared" si="12"/>
        <v>0.80438748779382063</v>
      </c>
      <c r="W28">
        <f t="shared" si="12"/>
        <v>0.83825904252241024</v>
      </c>
      <c r="X28">
        <f t="shared" si="12"/>
        <v>0.86773666179732345</v>
      </c>
      <c r="Y28">
        <f t="shared" si="12"/>
        <v>0.89301373307772414</v>
      </c>
      <c r="Z28">
        <f t="shared" si="12"/>
        <v>0.91438174216848944</v>
      </c>
      <c r="AA28">
        <f t="shared" si="15"/>
        <v>0.9321981784816944</v>
      </c>
      <c r="AB28">
        <f t="shared" si="13"/>
        <v>0.94685719081227104</v>
      </c>
      <c r="AC28">
        <f t="shared" si="13"/>
        <v>0.95876453302379649</v>
      </c>
      <c r="AD28">
        <f t="shared" si="13"/>
        <v>0.96831758948549096</v>
      </c>
      <c r="AE28">
        <f t="shared" si="13"/>
        <v>0.97589063778657115</v>
      </c>
      <c r="AF28">
        <f t="shared" si="13"/>
        <v>0.98182502937145288</v>
      </c>
      <c r="AG28">
        <f t="shared" si="13"/>
        <v>0.98642365507210716</v>
      </c>
      <c r="AH28">
        <f t="shared" si="13"/>
        <v>0.98994889774776218</v>
      </c>
      <c r="AI28">
        <f t="shared" si="13"/>
        <v>0.99262323082633752</v>
      </c>
      <c r="AJ28">
        <f t="shared" si="13"/>
        <v>0.99463166652626067</v>
      </c>
      <c r="AK28">
        <f t="shared" si="13"/>
        <v>0.99612535853173112</v>
      </c>
    </row>
    <row r="29" spans="10:37" x14ac:dyDescent="0.25">
      <c r="J29" s="31">
        <f t="shared" si="14"/>
        <v>0.26010000000000011</v>
      </c>
      <c r="K29">
        <f t="shared" si="12"/>
        <v>0.25408572735514107</v>
      </c>
      <c r="L29">
        <f t="shared" si="12"/>
        <v>0.30311324577424215</v>
      </c>
      <c r="M29">
        <f t="shared" si="12"/>
        <v>0.35525031289556785</v>
      </c>
      <c r="N29">
        <f t="shared" si="12"/>
        <v>0.40951746334205952</v>
      </c>
      <c r="O29">
        <f t="shared" si="12"/>
        <v>0.46484834815600995</v>
      </c>
      <c r="P29">
        <f t="shared" si="12"/>
        <v>0.52015511624012656</v>
      </c>
      <c r="Q29">
        <f t="shared" si="12"/>
        <v>0.57439182071909922</v>
      </c>
      <c r="R29">
        <f t="shared" si="12"/>
        <v>0.62661005680165649</v>
      </c>
      <c r="S29">
        <f t="shared" si="12"/>
        <v>0.67600251289872093</v>
      </c>
      <c r="T29">
        <f t="shared" si="12"/>
        <v>0.72193194187933962</v>
      </c>
      <c r="U29">
        <f t="shared" si="12"/>
        <v>0.76394492395745517</v>
      </c>
      <c r="V29">
        <f t="shared" si="12"/>
        <v>0.80177143476343482</v>
      </c>
      <c r="W29">
        <f t="shared" si="12"/>
        <v>0.83531247269685782</v>
      </c>
      <c r="X29">
        <f t="shared" si="12"/>
        <v>0.86461875482227246</v>
      </c>
      <c r="Y29">
        <f t="shared" si="12"/>
        <v>0.88986376404454692</v>
      </c>
      <c r="Z29">
        <f t="shared" si="12"/>
        <v>0.91131429243234308</v>
      </c>
      <c r="AA29">
        <f t="shared" si="15"/>
        <v>0.92930118644166493</v>
      </c>
      <c r="AB29">
        <f t="shared" si="13"/>
        <v>0.94419238280464468</v>
      </c>
      <c r="AC29">
        <f t="shared" si="13"/>
        <v>0.95636964418765247</v>
      </c>
      <c r="AD29">
        <f t="shared" si="13"/>
        <v>0.9662097542061826</v>
      </c>
      <c r="AE29">
        <f t="shared" si="13"/>
        <v>0.97407037578328748</v>
      </c>
      <c r="AF29">
        <f t="shared" si="13"/>
        <v>0.98028034955416854</v>
      </c>
      <c r="AG29">
        <f t="shared" si="13"/>
        <v>0.98513391918579774</v>
      </c>
      <c r="AH29">
        <f t="shared" si="13"/>
        <v>0.9888882084394166</v>
      </c>
      <c r="AI29">
        <f t="shared" si="13"/>
        <v>0.99176321917856902</v>
      </c>
      <c r="AJ29">
        <f t="shared" si="13"/>
        <v>0.99394364361905729</v>
      </c>
      <c r="AK29">
        <f t="shared" si="13"/>
        <v>0.99558186091489165</v>
      </c>
    </row>
    <row r="30" spans="10:37" x14ac:dyDescent="0.25">
      <c r="J30" s="31">
        <f t="shared" si="14"/>
        <v>0.27010000000000012</v>
      </c>
      <c r="K30">
        <f t="shared" si="12"/>
        <v>0.26035655273014446</v>
      </c>
      <c r="L30">
        <f t="shared" si="12"/>
        <v>0.30897472649963337</v>
      </c>
      <c r="M30">
        <f t="shared" si="12"/>
        <v>0.36048181987824973</v>
      </c>
      <c r="N30">
        <f t="shared" si="12"/>
        <v>0.41393480435071905</v>
      </c>
      <c r="O30">
        <f t="shared" si="12"/>
        <v>0.46831696836524145</v>
      </c>
      <c r="P30">
        <f t="shared" si="12"/>
        <v>0.52259796119510682</v>
      </c>
      <c r="Q30">
        <f t="shared" si="12"/>
        <v>0.57579138904436356</v>
      </c>
      <c r="R30">
        <f t="shared" si="12"/>
        <v>0.6270049544432128</v>
      </c>
      <c r="S30">
        <f t="shared" si="12"/>
        <v>0.67547946437657047</v>
      </c>
      <c r="T30">
        <f t="shared" si="12"/>
        <v>0.72061463664603098</v>
      </c>
      <c r="U30">
        <f t="shared" si="12"/>
        <v>0.76198124835608227</v>
      </c>
      <c r="V30">
        <f t="shared" si="12"/>
        <v>0.7993205799560088</v>
      </c>
      <c r="W30">
        <f t="shared" si="12"/>
        <v>0.83253316824614099</v>
      </c>
      <c r="X30">
        <f t="shared" si="12"/>
        <v>0.86165952618388819</v>
      </c>
      <c r="Y30">
        <f t="shared" si="12"/>
        <v>0.88685572183540007</v>
      </c>
      <c r="Z30">
        <f t="shared" si="12"/>
        <v>0.90836659329114167</v>
      </c>
      <c r="AA30">
        <f t="shared" si="15"/>
        <v>0.92649900301452881</v>
      </c>
      <c r="AB30">
        <f t="shared" si="13"/>
        <v>0.94159700707480165</v>
      </c>
      <c r="AC30">
        <f t="shared" si="13"/>
        <v>0.95402022873627446</v>
      </c>
      <c r="AD30">
        <f t="shared" si="13"/>
        <v>0.96412616059874345</v>
      </c>
      <c r="AE30">
        <f t="shared" si="13"/>
        <v>0.97225662991383988</v>
      </c>
      <c r="AF30">
        <f t="shared" si="13"/>
        <v>0.97872827866482415</v>
      </c>
      <c r="AG30">
        <f t="shared" si="13"/>
        <v>0.98382664322194713</v>
      </c>
      <c r="AH30">
        <f t="shared" si="13"/>
        <v>0.9878032615904877</v>
      </c>
      <c r="AI30">
        <f t="shared" si="13"/>
        <v>0.99087517284259907</v>
      </c>
      <c r="AJ30">
        <f t="shared" si="13"/>
        <v>0.99322618157333498</v>
      </c>
      <c r="AK30">
        <f t="shared" si="13"/>
        <v>0.99500931757149746</v>
      </c>
    </row>
    <row r="31" spans="10:37" x14ac:dyDescent="0.25">
      <c r="J31" s="31">
        <f t="shared" si="14"/>
        <v>0.28010000000000013</v>
      </c>
      <c r="K31">
        <f t="shared" si="12"/>
        <v>0.26640289658377098</v>
      </c>
      <c r="L31">
        <f t="shared" si="12"/>
        <v>0.31460987155975306</v>
      </c>
      <c r="M31">
        <f t="shared" si="12"/>
        <v>0.36550272153053343</v>
      </c>
      <c r="N31">
        <f t="shared" si="12"/>
        <v>0.41817326726072107</v>
      </c>
      <c r="O31">
        <f t="shared" si="12"/>
        <v>0.47165109005749306</v>
      </c>
      <c r="P31">
        <f t="shared" si="12"/>
        <v>0.5249587726252567</v>
      </c>
      <c r="Q31">
        <f t="shared" si="12"/>
        <v>0.57716435119122145</v>
      </c>
      <c r="R31">
        <f t="shared" si="12"/>
        <v>0.62742663409441224</v>
      </c>
      <c r="S31">
        <f t="shared" si="12"/>
        <v>0.67503024957072977</v>
      </c>
      <c r="T31">
        <f t="shared" si="12"/>
        <v>0.71940870006555646</v>
      </c>
      <c r="U31">
        <f t="shared" si="12"/>
        <v>0.76015510445869827</v>
      </c>
      <c r="V31">
        <f t="shared" si="12"/>
        <v>0.79702152544843652</v>
      </c>
      <c r="W31">
        <f t="shared" si="12"/>
        <v>0.82990868940246787</v>
      </c>
      <c r="X31">
        <f t="shared" si="12"/>
        <v>0.8588484582051874</v>
      </c>
      <c r="Y31">
        <f t="shared" si="12"/>
        <v>0.88398161396072406</v>
      </c>
      <c r="Z31">
        <f t="shared" si="12"/>
        <v>0.90553341922549335</v>
      </c>
      <c r="AA31">
        <f t="shared" si="15"/>
        <v>0.92378909557443412</v>
      </c>
      <c r="AB31">
        <f t="shared" si="13"/>
        <v>0.93907090859562836</v>
      </c>
      <c r="AC31">
        <f t="shared" si="13"/>
        <v>0.95171803954177503</v>
      </c>
      <c r="AD31">
        <f t="shared" si="13"/>
        <v>0.96206992983366768</v>
      </c>
      <c r="AE31">
        <f t="shared" si="13"/>
        <v>0.97045335198012594</v>
      </c>
      <c r="AF31">
        <f t="shared" si="13"/>
        <v>0.97717311678396113</v>
      </c>
      <c r="AG31">
        <f t="shared" si="13"/>
        <v>0.98250608177842025</v>
      </c>
      <c r="AH31">
        <f t="shared" si="13"/>
        <v>0.98669797584316621</v>
      </c>
      <c r="AI31">
        <f t="shared" si="13"/>
        <v>0.98996248696168976</v>
      </c>
      <c r="AJ31">
        <f t="shared" si="13"/>
        <v>0.99248205642174536</v>
      </c>
      <c r="AK31">
        <f t="shared" si="13"/>
        <v>0.99440986452207647</v>
      </c>
    </row>
    <row r="32" spans="10:37" x14ac:dyDescent="0.25">
      <c r="J32" s="31">
        <f t="shared" si="14"/>
        <v>0.29010000000000014</v>
      </c>
      <c r="K32">
        <f t="shared" si="12"/>
        <v>0.27223882613065814</v>
      </c>
      <c r="L32">
        <f t="shared" si="12"/>
        <v>0.32003447717849676</v>
      </c>
      <c r="M32">
        <f t="shared" si="12"/>
        <v>0.37032874421903905</v>
      </c>
      <c r="N32">
        <f t="shared" si="12"/>
        <v>0.4222467299598176</v>
      </c>
      <c r="O32">
        <f t="shared" si="12"/>
        <v>0.47486124685628806</v>
      </c>
      <c r="P32">
        <f t="shared" si="12"/>
        <v>0.52724372698039179</v>
      </c>
      <c r="Q32">
        <f t="shared" si="12"/>
        <v>0.57851210411911647</v>
      </c>
      <c r="R32">
        <f t="shared" si="12"/>
        <v>0.62787188807203909</v>
      </c>
      <c r="S32">
        <f t="shared" si="12"/>
        <v>0.674647744622763</v>
      </c>
      <c r="T32">
        <f t="shared" si="12"/>
        <v>0.71830414621761873</v>
      </c>
      <c r="U32">
        <f t="shared" si="12"/>
        <v>0.75845488461880384</v>
      </c>
      <c r="V32">
        <f t="shared" si="12"/>
        <v>0.79486229033957578</v>
      </c>
      <c r="W32">
        <f t="shared" si="12"/>
        <v>0.82742778849922138</v>
      </c>
      <c r="X32">
        <f t="shared" si="12"/>
        <v>0.85617589576716158</v>
      </c>
      <c r="Y32">
        <f t="shared" si="12"/>
        <v>0.88123393609116396</v>
      </c>
      <c r="Z32">
        <f t="shared" si="12"/>
        <v>0.90280966832486709</v>
      </c>
      <c r="AA32">
        <f t="shared" si="15"/>
        <v>0.92116874283928452</v>
      </c>
      <c r="AB32">
        <f t="shared" si="13"/>
        <v>0.93661351031086482</v>
      </c>
      <c r="AC32">
        <f t="shared" si="13"/>
        <v>0.94946426351475943</v>
      </c>
      <c r="AD32">
        <f t="shared" si="13"/>
        <v>0.96004355943132424</v>
      </c>
      <c r="AE32">
        <f t="shared" si="13"/>
        <v>0.96866388555019567</v>
      </c>
      <c r="AF32">
        <f t="shared" si="13"/>
        <v>0.97561862547708578</v>
      </c>
      <c r="AG32">
        <f t="shared" si="13"/>
        <v>0.9811760544409025</v>
      </c>
      <c r="AH32">
        <f t="shared" si="13"/>
        <v>0.98557595298070821</v>
      </c>
      <c r="AI32">
        <f t="shared" si="13"/>
        <v>0.98902835690714264</v>
      </c>
      <c r="AJ32">
        <f t="shared" si="13"/>
        <v>0.99171394912647159</v>
      </c>
      <c r="AK32">
        <f t="shared" si="13"/>
        <v>0.99378562821686656</v>
      </c>
    </row>
    <row r="33" spans="10:37" x14ac:dyDescent="0.25">
      <c r="J33" s="31">
        <f t="shared" si="14"/>
        <v>0.30010000000000014</v>
      </c>
      <c r="K33">
        <f t="shared" si="12"/>
        <v>0.2778772408149312</v>
      </c>
      <c r="L33">
        <f t="shared" ref="L33:AA48" si="16">_xlfn.NORM.S.DIST((LN(L$2/$B$67)+($F$69+$F$68^2/2)*$J33)/($F$68*SQRT($J33)),TRUE)</f>
        <v>0.32526282965550229</v>
      </c>
      <c r="M33">
        <f t="shared" si="16"/>
        <v>0.37497398550612249</v>
      </c>
      <c r="N33">
        <f t="shared" si="16"/>
        <v>0.42616756422399504</v>
      </c>
      <c r="O33">
        <f t="shared" si="16"/>
        <v>0.47795680425645393</v>
      </c>
      <c r="P33">
        <f t="shared" si="16"/>
        <v>0.52945832305328222</v>
      </c>
      <c r="Q33">
        <f t="shared" si="16"/>
        <v>0.57983592566813003</v>
      </c>
      <c r="R33">
        <f t="shared" si="16"/>
        <v>0.62833792779034736</v>
      </c>
      <c r="S33">
        <f t="shared" si="16"/>
        <v>0.67432568658741543</v>
      </c>
      <c r="T33">
        <f t="shared" si="16"/>
        <v>0.71729214343586312</v>
      </c>
      <c r="U33">
        <f t="shared" si="16"/>
        <v>0.7568702577252846</v>
      </c>
      <c r="V33">
        <f t="shared" si="16"/>
        <v>0.79283212763891542</v>
      </c>
      <c r="W33">
        <f t="shared" si="16"/>
        <v>0.8250802734391619</v>
      </c>
      <c r="X33">
        <f t="shared" si="16"/>
        <v>0.85363296887042361</v>
      </c>
      <c r="Y33">
        <f t="shared" si="16"/>
        <v>0.87860565512609334</v>
      </c>
      <c r="Z33">
        <f t="shared" si="16"/>
        <v>0.90019039803598988</v>
      </c>
      <c r="AA33">
        <f t="shared" si="16"/>
        <v>0.91863510931176429</v>
      </c>
      <c r="AB33">
        <f t="shared" si="13"/>
        <v>0.93422390957697021</v>
      </c>
      <c r="AC33">
        <f t="shared" si="13"/>
        <v>0.94725962377157491</v>
      </c>
      <c r="AD33">
        <f t="shared" si="13"/>
        <v>0.95804901761484418</v>
      </c>
      <c r="AE33">
        <f t="shared" si="13"/>
        <v>0.96689104301467432</v>
      </c>
      <c r="AF33">
        <f t="shared" si="13"/>
        <v>0.97406808249225163</v>
      </c>
      <c r="AG33">
        <f t="shared" si="13"/>
        <v>0.97983997707863979</v>
      </c>
      <c r="AH33">
        <f t="shared" si="13"/>
        <v>0.98444048790870076</v>
      </c>
      <c r="AI33">
        <f t="shared" si="13"/>
        <v>0.98807577106252142</v>
      </c>
      <c r="AJ33">
        <f t="shared" si="13"/>
        <v>0.99092442623258836</v>
      </c>
      <c r="AK33">
        <f t="shared" si="13"/>
        <v>0.99313869916845998</v>
      </c>
    </row>
    <row r="34" spans="10:37" x14ac:dyDescent="0.25">
      <c r="J34" s="31">
        <f t="shared" si="14"/>
        <v>0.31010000000000015</v>
      </c>
      <c r="K34">
        <f t="shared" ref="K34:Z55" si="17">_xlfn.NORM.S.DIST((LN(K$2/$B$67)+($F$69+$F$68^2/2)*$J34)/($F$68*SQRT($J34)),TRUE)</f>
        <v>0.28332998574142509</v>
      </c>
      <c r="L34">
        <f t="shared" si="16"/>
        <v>0.33030788378856857</v>
      </c>
      <c r="M34">
        <f t="shared" si="16"/>
        <v>0.37945112544290521</v>
      </c>
      <c r="N34">
        <f t="shared" si="16"/>
        <v>0.42994684140766409</v>
      </c>
      <c r="O34">
        <f t="shared" si="16"/>
        <v>0.48094612337012316</v>
      </c>
      <c r="P34">
        <f t="shared" si="16"/>
        <v>0.53160747699865085</v>
      </c>
      <c r="Q34">
        <f t="shared" si="16"/>
        <v>0.58113698833134131</v>
      </c>
      <c r="R34">
        <f t="shared" si="16"/>
        <v>0.6288223192268636</v>
      </c>
      <c r="S34">
        <f t="shared" si="16"/>
        <v>0.67405854684776489</v>
      </c>
      <c r="T34">
        <f t="shared" si="16"/>
        <v>0.71636485068840816</v>
      </c>
      <c r="U34">
        <f t="shared" si="16"/>
        <v>0.7553919966885938</v>
      </c>
      <c r="V34">
        <f t="shared" si="16"/>
        <v>0.79092136874929952</v>
      </c>
      <c r="W34">
        <f t="shared" si="16"/>
        <v>0.82285688874182883</v>
      </c>
      <c r="X34">
        <f t="shared" si="16"/>
        <v>0.851211521279439</v>
      </c>
      <c r="Y34">
        <f t="shared" si="16"/>
        <v>0.87609018763804969</v>
      </c>
      <c r="Z34">
        <f t="shared" si="16"/>
        <v>0.89767084806966624</v>
      </c>
      <c r="AA34">
        <f t="shared" si="16"/>
        <v>0.91618530206255833</v>
      </c>
      <c r="AB34">
        <f t="shared" si="13"/>
        <v>0.93190095565304532</v>
      </c>
      <c r="AC34">
        <f t="shared" si="13"/>
        <v>0.94510446456294728</v>
      </c>
      <c r="AD34">
        <f t="shared" si="13"/>
        <v>0.9560878242376839</v>
      </c>
      <c r="AE34">
        <f t="shared" si="13"/>
        <v>0.96513717408754329</v>
      </c>
      <c r="AF34">
        <f t="shared" si="13"/>
        <v>0.97252433286425577</v>
      </c>
      <c r="AG34">
        <f t="shared" si="13"/>
        <v>0.97850089386128947</v>
      </c>
      <c r="AH34">
        <f t="shared" si="13"/>
        <v>0.98329458257170443</v>
      </c>
      <c r="AI34">
        <f t="shared" si="13"/>
        <v>0.98710750948857839</v>
      </c>
      <c r="AJ34">
        <f t="shared" si="13"/>
        <v>0.99011592714192165</v>
      </c>
      <c r="AK34">
        <f t="shared" si="13"/>
        <v>0.99247111195916682</v>
      </c>
    </row>
    <row r="35" spans="10:37" x14ac:dyDescent="0.25">
      <c r="J35" s="31">
        <f t="shared" si="14"/>
        <v>0.32010000000000016</v>
      </c>
      <c r="K35">
        <f t="shared" si="17"/>
        <v>0.28860795360745384</v>
      </c>
      <c r="L35">
        <f t="shared" si="16"/>
        <v>0.33518141671176155</v>
      </c>
      <c r="M35">
        <f t="shared" si="16"/>
        <v>0.38377160536423049</v>
      </c>
      <c r="N35">
        <f t="shared" si="16"/>
        <v>0.43359450469636091</v>
      </c>
      <c r="O35">
        <f t="shared" si="16"/>
        <v>0.4838366972899909</v>
      </c>
      <c r="P35">
        <f t="shared" si="16"/>
        <v>0.53369560137374339</v>
      </c>
      <c r="Q35">
        <f t="shared" si="16"/>
        <v>0.58241637104424382</v>
      </c>
      <c r="R35">
        <f t="shared" si="16"/>
        <v>0.62932292989693484</v>
      </c>
      <c r="S35">
        <f t="shared" si="16"/>
        <v>0.6738414263596989</v>
      </c>
      <c r="T35">
        <f t="shared" si="16"/>
        <v>0.7155152812510186</v>
      </c>
      <c r="U35">
        <f t="shared" si="16"/>
        <v>0.75401183335684252</v>
      </c>
      <c r="V35">
        <f t="shared" si="16"/>
        <v>0.78912129085487059</v>
      </c>
      <c r="W35">
        <f t="shared" si="16"/>
        <v>0.82074921178112248</v>
      </c>
      <c r="X35">
        <f t="shared" si="16"/>
        <v>0.84890404528799923</v>
      </c>
      <c r="Y35">
        <f t="shared" si="16"/>
        <v>0.87368137578260496</v>
      </c>
      <c r="Z35">
        <f t="shared" si="16"/>
        <v>0.89524645389737778</v>
      </c>
      <c r="AA35">
        <f t="shared" si="16"/>
        <v>0.9138164137969097</v>
      </c>
      <c r="AB35">
        <f t="shared" si="13"/>
        <v>0.92964331192488958</v>
      </c>
      <c r="AC35">
        <f t="shared" si="13"/>
        <v>0.94299882183104267</v>
      </c>
      <c r="AD35">
        <f t="shared" si="13"/>
        <v>0.95416112003267017</v>
      </c>
      <c r="AE35">
        <f t="shared" si="13"/>
        <v>0.96340422633456391</v>
      </c>
      <c r="AF35">
        <f t="shared" si="13"/>
        <v>0.97098983600635991</v>
      </c>
      <c r="AG35">
        <f t="shared" si="13"/>
        <v>0.97716150886253628</v>
      </c>
      <c r="AH35">
        <f t="shared" si="13"/>
        <v>0.98214096228764458</v>
      </c>
      <c r="AI35">
        <f t="shared" si="13"/>
        <v>0.98612614687734768</v>
      </c>
      <c r="AJ35">
        <f t="shared" si="13"/>
        <v>0.98929075658381427</v>
      </c>
      <c r="AK35">
        <f t="shared" si="13"/>
        <v>0.99178483052113031</v>
      </c>
    </row>
    <row r="36" spans="10:37" x14ac:dyDescent="0.25">
      <c r="J36" s="31">
        <f t="shared" ref="J36:J55" si="18">J35+$C$5</f>
        <v>0.33010000000000017</v>
      </c>
      <c r="K36">
        <f t="shared" si="17"/>
        <v>0.29372117608744497</v>
      </c>
      <c r="L36">
        <f t="shared" si="16"/>
        <v>0.33989416093857133</v>
      </c>
      <c r="M36">
        <f t="shared" si="16"/>
        <v>0.38794577990780754</v>
      </c>
      <c r="N36">
        <f t="shared" si="16"/>
        <v>0.43711951416944139</v>
      </c>
      <c r="O36">
        <f t="shared" si="16"/>
        <v>0.48663526533979956</v>
      </c>
      <c r="P36">
        <f t="shared" si="16"/>
        <v>0.5357266713017258</v>
      </c>
      <c r="Q36">
        <f t="shared" si="16"/>
        <v>0.58367506932945723</v>
      </c>
      <c r="R36">
        <f t="shared" si="16"/>
        <v>0.62983788501118976</v>
      </c>
      <c r="S36">
        <f t="shared" si="16"/>
        <v>0.67366996843253768</v>
      </c>
      <c r="T36">
        <f t="shared" si="16"/>
        <v>0.71473718847214762</v>
      </c>
      <c r="U36">
        <f t="shared" si="16"/>
        <v>0.75272233588492377</v>
      </c>
      <c r="V36">
        <f t="shared" si="16"/>
        <v>0.78742400340043162</v>
      </c>
      <c r="W36">
        <f t="shared" si="16"/>
        <v>0.81874956213327155</v>
      </c>
      <c r="X36">
        <f t="shared" si="16"/>
        <v>0.84670362240139707</v>
      </c>
      <c r="Y36">
        <f t="shared" si="16"/>
        <v>0.87137346210110489</v>
      </c>
      <c r="Z36">
        <f t="shared" si="16"/>
        <v>0.89291285338882376</v>
      </c>
      <c r="AA36">
        <f t="shared" si="16"/>
        <v>0.91152555525726087</v>
      </c>
      <c r="AB36">
        <f t="shared" si="13"/>
        <v>0.92744950582397689</v>
      </c>
      <c r="AC36">
        <f t="shared" si="13"/>
        <v>0.94094248180409912</v>
      </c>
      <c r="AD36">
        <f t="shared" si="13"/>
        <v>0.95226972576922453</v>
      </c>
      <c r="AE36">
        <f t="shared" si="13"/>
        <v>0.9616937984174514</v>
      </c>
      <c r="AF36">
        <f t="shared" si="13"/>
        <v>0.96946670866550022</v>
      </c>
      <c r="AG36">
        <f t="shared" si="13"/>
        <v>0.97582421650957751</v>
      </c>
      <c r="AH36">
        <f t="shared" si="13"/>
        <v>0.98098209338684139</v>
      </c>
      <c r="AI36">
        <f t="shared" si="13"/>
        <v>0.98513405855167691</v>
      </c>
      <c r="AJ36">
        <f t="shared" si="13"/>
        <v>0.98845108110920765</v>
      </c>
      <c r="AK36">
        <f t="shared" si="13"/>
        <v>0.99108173772514696</v>
      </c>
    </row>
    <row r="37" spans="10:37" x14ac:dyDescent="0.25">
      <c r="J37" s="31">
        <f t="shared" si="18"/>
        <v>0.34010000000000018</v>
      </c>
      <c r="K37">
        <f t="shared" si="17"/>
        <v>0.29867890565398392</v>
      </c>
      <c r="L37">
        <f t="shared" si="16"/>
        <v>0.34445591976905099</v>
      </c>
      <c r="M37">
        <f t="shared" si="16"/>
        <v>0.39198304685429719</v>
      </c>
      <c r="N37">
        <f t="shared" si="16"/>
        <v>0.44052996961070467</v>
      </c>
      <c r="O37">
        <f t="shared" si="16"/>
        <v>0.48934790934313954</v>
      </c>
      <c r="P37">
        <f t="shared" si="16"/>
        <v>0.53770428018211669</v>
      </c>
      <c r="Q37">
        <f t="shared" si="16"/>
        <v>0.58491400406882321</v>
      </c>
      <c r="R37">
        <f t="shared" si="16"/>
        <v>0.63036553101306625</v>
      </c>
      <c r="S37">
        <f t="shared" si="16"/>
        <v>0.67354028569560664</v>
      </c>
      <c r="T37">
        <f t="shared" si="16"/>
        <v>0.71402496953693251</v>
      </c>
      <c r="U37">
        <f t="shared" si="16"/>
        <v>0.75151680458752468</v>
      </c>
      <c r="V37">
        <f t="shared" si="16"/>
        <v>0.78582235054817606</v>
      </c>
      <c r="W37">
        <f t="shared" si="16"/>
        <v>0.81685092223794742</v>
      </c>
      <c r="X37">
        <f t="shared" si="16"/>
        <v>0.84460386959517941</v>
      </c>
      <c r="Y37">
        <f t="shared" si="16"/>
        <v>0.86916106417891004</v>
      </c>
      <c r="Z37">
        <f t="shared" si="16"/>
        <v>0.8906658884901244</v>
      </c>
      <c r="AA37">
        <f t="shared" si="16"/>
        <v>0.9093098793316795</v>
      </c>
      <c r="AB37">
        <f t="shared" si="13"/>
        <v>0.92531796881957717</v>
      </c>
      <c r="AC37">
        <f t="shared" si="13"/>
        <v>0.93893502964236242</v>
      </c>
      <c r="AD37">
        <f t="shared" si="13"/>
        <v>0.95041419273072125</v>
      </c>
      <c r="AE37">
        <f t="shared" si="13"/>
        <v>0.96000718677351415</v>
      </c>
      <c r="AF37">
        <f t="shared" si="13"/>
        <v>0.96795676380660001</v>
      </c>
      <c r="AG37">
        <f t="shared" si="13"/>
        <v>0.97449113042010127</v>
      </c>
      <c r="AH37">
        <f t="shared" si="13"/>
        <v>0.9798202013520817</v>
      </c>
      <c r="AI37">
        <f t="shared" si="13"/>
        <v>0.98413342854838959</v>
      </c>
      <c r="AJ37">
        <f t="shared" si="13"/>
        <v>0.98759892865220655</v>
      </c>
      <c r="AK37">
        <f t="shared" si="13"/>
        <v>0.99036362845069803</v>
      </c>
    </row>
    <row r="38" spans="10:37" x14ac:dyDescent="0.25">
      <c r="J38" s="31">
        <f t="shared" si="18"/>
        <v>0.35010000000000019</v>
      </c>
      <c r="K38">
        <f t="shared" si="17"/>
        <v>0.30348968879377902</v>
      </c>
      <c r="L38">
        <f t="shared" si="16"/>
        <v>0.34887566769825229</v>
      </c>
      <c r="M38">
        <f t="shared" si="16"/>
        <v>0.39589195850237346</v>
      </c>
      <c r="N38">
        <f t="shared" si="16"/>
        <v>0.44383321499787753</v>
      </c>
      <c r="O38">
        <f t="shared" si="16"/>
        <v>0.49198013517423339</v>
      </c>
      <c r="P38">
        <f t="shared" si="16"/>
        <v>0.53963168685861174</v>
      </c>
      <c r="Q38">
        <f t="shared" si="16"/>
        <v>0.58613402912331924</v>
      </c>
      <c r="R38">
        <f t="shared" si="16"/>
        <v>0.63090440508760537</v>
      </c>
      <c r="S38">
        <f t="shared" si="16"/>
        <v>0.6734488986158802</v>
      </c>
      <c r="T38">
        <f t="shared" si="16"/>
        <v>0.71337358398556239</v>
      </c>
      <c r="U38">
        <f t="shared" si="16"/>
        <v>0.75038918309071367</v>
      </c>
      <c r="V38">
        <f t="shared" si="16"/>
        <v>0.78430982705903618</v>
      </c>
      <c r="W38">
        <f t="shared" si="16"/>
        <v>0.81504686782653402</v>
      </c>
      <c r="X38">
        <f t="shared" si="16"/>
        <v>0.84259889074318362</v>
      </c>
      <c r="Y38">
        <f t="shared" si="16"/>
        <v>0.86703914979535801</v>
      </c>
      <c r="Z38">
        <f t="shared" si="16"/>
        <v>0.88850160335857975</v>
      </c>
      <c r="AA38">
        <f t="shared" si="16"/>
        <v>0.90716659871148919</v>
      </c>
      <c r="AB38">
        <f t="shared" si="13"/>
        <v>0.92324706839543103</v>
      </c>
      <c r="AC38">
        <f t="shared" si="13"/>
        <v>0.93697588981274915</v>
      </c>
      <c r="AD38">
        <f t="shared" si="13"/>
        <v>0.94859484575097519</v>
      </c>
      <c r="AE38">
        <f t="shared" si="13"/>
        <v>0.958345426437621</v>
      </c>
      <c r="AF38">
        <f t="shared" si="13"/>
        <v>0.96646154560829922</v>
      </c>
      <c r="AG38">
        <f t="shared" si="13"/>
        <v>0.97316411036876516</v>
      </c>
      <c r="AH38">
        <f t="shared" si="13"/>
        <v>0.97865728889085979</v>
      </c>
      <c r="AI38">
        <f t="shared" si="13"/>
        <v>0.98312625904901341</v>
      </c>
      <c r="AJ38">
        <f t="shared" si="13"/>
        <v>0.98673619038859994</v>
      </c>
      <c r="AK38">
        <f t="shared" si="13"/>
        <v>0.98963220543722874</v>
      </c>
    </row>
    <row r="39" spans="10:37" x14ac:dyDescent="0.25">
      <c r="J39" s="31">
        <f t="shared" si="18"/>
        <v>0.3601000000000002</v>
      </c>
      <c r="K39">
        <f t="shared" si="17"/>
        <v>0.30816143152120978</v>
      </c>
      <c r="L39">
        <f t="shared" si="16"/>
        <v>0.35316163803214623</v>
      </c>
      <c r="M39">
        <f t="shared" si="16"/>
        <v>0.39968031759626027</v>
      </c>
      <c r="N39">
        <f t="shared" si="16"/>
        <v>0.44703592782142765</v>
      </c>
      <c r="O39">
        <f t="shared" si="16"/>
        <v>0.49453694218800681</v>
      </c>
      <c r="P39">
        <f t="shared" si="16"/>
        <v>0.54151185576117578</v>
      </c>
      <c r="Q39">
        <f t="shared" si="16"/>
        <v>0.58733593798056749</v>
      </c>
      <c r="R39">
        <f t="shared" si="16"/>
        <v>0.63145320953226436</v>
      </c>
      <c r="S39">
        <f t="shared" si="16"/>
        <v>0.67339268347916481</v>
      </c>
      <c r="T39">
        <f t="shared" si="16"/>
        <v>0.71277848439626001</v>
      </c>
      <c r="U39">
        <f t="shared" si="16"/>
        <v>0.749333982210584</v>
      </c>
      <c r="V39">
        <f t="shared" si="16"/>
        <v>0.78288050549768151</v>
      </c>
      <c r="W39">
        <f t="shared" si="16"/>
        <v>0.81333150679122002</v>
      </c>
      <c r="X39">
        <f t="shared" si="16"/>
        <v>0.84068323278330004</v>
      </c>
      <c r="Y39">
        <f t="shared" si="16"/>
        <v>0.86500301297274473</v>
      </c>
      <c r="Z39">
        <f t="shared" si="16"/>
        <v>0.88641624000936492</v>
      </c>
      <c r="AA39">
        <f t="shared" si="16"/>
        <v>0.90509299853507952</v>
      </c>
      <c r="AB39">
        <f t="shared" si="13"/>
        <v>0.92123513354868636</v>
      </c>
      <c r="AC39">
        <f t="shared" si="13"/>
        <v>0.93506435958650314</v>
      </c>
      <c r="AD39">
        <f t="shared" si="13"/>
        <v>0.9468118198865112</v>
      </c>
      <c r="AE39">
        <f t="shared" si="13"/>
        <v>0.95670932667490116</v>
      </c>
      <c r="AF39">
        <f t="shared" si="13"/>
        <v>0.96498236081921496</v>
      </c>
      <c r="AG39">
        <f t="shared" si="13"/>
        <v>0.97184478726520585</v>
      </c>
      <c r="AH39">
        <f t="shared" si="13"/>
        <v>0.97749515354743644</v>
      </c>
      <c r="AI39">
        <f t="shared" si="13"/>
        <v>0.98211438060097855</v>
      </c>
      <c r="AJ39">
        <f t="shared" si="13"/>
        <v>0.98586462427587074</v>
      </c>
      <c r="AK39">
        <f t="shared" si="13"/>
        <v>0.98888907733148335</v>
      </c>
    </row>
    <row r="40" spans="10:37" x14ac:dyDescent="0.25">
      <c r="J40" s="31">
        <f t="shared" si="18"/>
        <v>0.37010000000000021</v>
      </c>
      <c r="K40">
        <f t="shared" si="17"/>
        <v>0.31270145802124577</v>
      </c>
      <c r="L40">
        <f t="shared" si="16"/>
        <v>0.35732139956085002</v>
      </c>
      <c r="M40">
        <f t="shared" si="16"/>
        <v>0.40335526027035373</v>
      </c>
      <c r="N40">
        <f t="shared" si="16"/>
        <v>0.45014419577378856</v>
      </c>
      <c r="O40">
        <f t="shared" si="16"/>
        <v>0.49702288261070171</v>
      </c>
      <c r="P40">
        <f t="shared" si="16"/>
        <v>0.54334749123543902</v>
      </c>
      <c r="Q40">
        <f t="shared" si="16"/>
        <v>0.58852046957747284</v>
      </c>
      <c r="R40">
        <f t="shared" si="16"/>
        <v>0.63201079011013617</v>
      </c>
      <c r="S40">
        <f t="shared" si="16"/>
        <v>0.67336882816948096</v>
      </c>
      <c r="T40">
        <f t="shared" si="16"/>
        <v>0.7122355571523894</v>
      </c>
      <c r="U40">
        <f t="shared" si="16"/>
        <v>0.7483462144711871</v>
      </c>
      <c r="V40">
        <f t="shared" si="16"/>
        <v>0.78152897302516267</v>
      </c>
      <c r="W40">
        <f t="shared" si="16"/>
        <v>0.81169942535852979</v>
      </c>
      <c r="X40">
        <f t="shared" si="16"/>
        <v>0.83885184619139797</v>
      </c>
      <c r="Y40">
        <f t="shared" si="16"/>
        <v>0.86304825117157302</v>
      </c>
      <c r="Z40">
        <f t="shared" si="16"/>
        <v>0.88440623226012582</v>
      </c>
      <c r="AA40">
        <f t="shared" si="16"/>
        <v>0.90308644514016101</v>
      </c>
      <c r="AB40">
        <f t="shared" si="13"/>
        <v>0.91928047504967669</v>
      </c>
      <c r="AC40">
        <f t="shared" si="13"/>
        <v>0.93319963681734075</v>
      </c>
      <c r="AD40">
        <f t="shared" si="13"/>
        <v>0.9450650916537694</v>
      </c>
      <c r="AE40">
        <f t="shared" si="13"/>
        <v>0.95509950204076111</v>
      </c>
      <c r="AF40">
        <f t="shared" si="13"/>
        <v>0.96352030675699474</v>
      </c>
      <c r="AG40">
        <f t="shared" si="13"/>
        <v>0.97053458612157661</v>
      </c>
      <c r="AH40">
        <f t="shared" si="13"/>
        <v>0.97633540459397672</v>
      </c>
      <c r="AI40">
        <f t="shared" si="13"/>
        <v>0.98109946271291448</v>
      </c>
      <c r="AJ40">
        <f t="shared" si="13"/>
        <v>0.98498585978729425</v>
      </c>
      <c r="AK40">
        <f t="shared" si="13"/>
        <v>0.98813575844640311</v>
      </c>
    </row>
    <row r="41" spans="10:37" x14ac:dyDescent="0.25">
      <c r="J41" s="31">
        <f t="shared" si="18"/>
        <v>0.38010000000000022</v>
      </c>
      <c r="K41">
        <f t="shared" si="17"/>
        <v>0.3171165631772182</v>
      </c>
      <c r="L41">
        <f t="shared" si="16"/>
        <v>0.36136192384410315</v>
      </c>
      <c r="M41">
        <f t="shared" si="16"/>
        <v>0.40692332803419262</v>
      </c>
      <c r="N41">
        <f t="shared" si="16"/>
        <v>0.45316358287092895</v>
      </c>
      <c r="O41">
        <f t="shared" si="16"/>
        <v>0.49944211256960186</v>
      </c>
      <c r="P41">
        <f t="shared" si="16"/>
        <v>0.54514106703596976</v>
      </c>
      <c r="Q41">
        <f t="shared" si="16"/>
        <v>0.58968831341977079</v>
      </c>
      <c r="R41">
        <f t="shared" si="16"/>
        <v>0.63257611768337385</v>
      </c>
      <c r="S41">
        <f t="shared" si="16"/>
        <v>0.67337479440946035</v>
      </c>
      <c r="T41">
        <f t="shared" si="16"/>
        <v>0.71174107161210243</v>
      </c>
      <c r="U41">
        <f t="shared" si="16"/>
        <v>0.74742133755759244</v>
      </c>
      <c r="V41">
        <f t="shared" si="16"/>
        <v>0.78025027633914334</v>
      </c>
      <c r="W41">
        <f t="shared" si="16"/>
        <v>0.81014564059401339</v>
      </c>
      <c r="X41">
        <f t="shared" si="16"/>
        <v>0.83710004935133919</v>
      </c>
      <c r="Y41">
        <f t="shared" si="16"/>
        <v>0.86117074376808045</v>
      </c>
      <c r="Z41">
        <f t="shared" si="16"/>
        <v>0.88246819855759906</v>
      </c>
      <c r="AA41">
        <f t="shared" si="16"/>
        <v>0.90114439180243411</v>
      </c>
      <c r="AB41">
        <f t="shared" si="13"/>
        <v>0.91738140146157199</v>
      </c>
      <c r="AC41">
        <f t="shared" si="13"/>
        <v>0.9313808429604995</v>
      </c>
      <c r="AD41">
        <f t="shared" si="13"/>
        <v>0.94335450562918299</v>
      </c>
      <c r="AE41">
        <f t="shared" si="13"/>
        <v>0.95351639942741151</v>
      </c>
      <c r="AF41">
        <f t="shared" si="13"/>
        <v>0.96207629624330582</v>
      </c>
      <c r="AG41">
        <f t="shared" si="13"/>
        <v>0.96923474705166801</v>
      </c>
      <c r="AH41">
        <f t="shared" ref="AD41:AK55" si="19">_xlfn.NORM.S.DIST((LN(AH$2/$B$67)+($F$69+$F$68^2/2)*$J41)/($F$68*SQRT($J41)),TRUE)</f>
        <v>0.97517947903724833</v>
      </c>
      <c r="AI41">
        <f t="shared" si="19"/>
        <v>0.98008302451751272</v>
      </c>
      <c r="AJ41">
        <f t="shared" si="19"/>
        <v>0.984101403457456</v>
      </c>
      <c r="AK41">
        <f t="shared" si="19"/>
        <v>0.98737366983384378</v>
      </c>
    </row>
    <row r="42" spans="10:37" x14ac:dyDescent="0.25">
      <c r="J42" s="31">
        <f t="shared" si="18"/>
        <v>0.39010000000000022</v>
      </c>
      <c r="K42">
        <f t="shared" si="17"/>
        <v>0.32141305966290779</v>
      </c>
      <c r="L42">
        <f t="shared" si="16"/>
        <v>0.36528964441957401</v>
      </c>
      <c r="M42">
        <f t="shared" si="16"/>
        <v>0.41039053046679624</v>
      </c>
      <c r="N42">
        <f t="shared" si="16"/>
        <v>0.45609918668895011</v>
      </c>
      <c r="O42">
        <f t="shared" si="16"/>
        <v>0.50179843612396291</v>
      </c>
      <c r="P42">
        <f t="shared" si="16"/>
        <v>0.54689485177459884</v>
      </c>
      <c r="Q42">
        <f t="shared" si="16"/>
        <v>0.59084011409957626</v>
      </c>
      <c r="R42">
        <f t="shared" si="16"/>
        <v>0.63314827256271466</v>
      </c>
      <c r="S42">
        <f t="shared" si="16"/>
        <v>0.67340828538147224</v>
      </c>
      <c r="T42">
        <f t="shared" si="16"/>
        <v>0.71129163631349479</v>
      </c>
      <c r="U42">
        <f t="shared" si="16"/>
        <v>0.74655520530588304</v>
      </c>
      <c r="V42">
        <f t="shared" si="16"/>
        <v>0.77903987356255877</v>
      </c>
      <c r="W42">
        <f t="shared" si="16"/>
        <v>0.80866555840425325</v>
      </c>
      <c r="X42">
        <f t="shared" si="16"/>
        <v>0.83542349643499048</v>
      </c>
      <c r="Y42">
        <f t="shared" si="16"/>
        <v>0.8593666318734382</v>
      </c>
      <c r="Z42">
        <f t="shared" si="16"/>
        <v>0.88059893411884282</v>
      </c>
      <c r="AA42">
        <f t="shared" si="16"/>
        <v>0.89926438214851245</v>
      </c>
      <c r="AB42">
        <f t="shared" ref="AB42:AC55" si="20">_xlfn.NORM.S.DIST((LN(AB$2/$B$67)+($F$69+$F$68^2/2)*$J42)/($F$68*SQRT($J42)),TRUE)</f>
        <v>0.91553623172688592</v>
      </c>
      <c r="AC42">
        <f t="shared" si="20"/>
        <v>0.92960704212954959</v>
      </c>
      <c r="AD42">
        <f t="shared" si="19"/>
        <v>0.9416797970950388</v>
      </c>
      <c r="AE42">
        <f t="shared" si="19"/>
        <v>0.95196032159795652</v>
      </c>
      <c r="AF42">
        <f t="shared" si="19"/>
        <v>0.96065107976444963</v>
      </c>
      <c r="AG42">
        <f t="shared" si="19"/>
        <v>0.96794634438477811</v>
      </c>
      <c r="AH42">
        <f t="shared" si="19"/>
        <v>0.97402865664840277</v>
      </c>
      <c r="AI42">
        <f t="shared" si="19"/>
        <v>0.97906644528055919</v>
      </c>
      <c r="AJ42">
        <f t="shared" si="19"/>
        <v>0.98321264494144367</v>
      </c>
      <c r="AK42">
        <f t="shared" si="19"/>
        <v>0.98660414134706276</v>
      </c>
    </row>
    <row r="43" spans="10:37" x14ac:dyDescent="0.25">
      <c r="J43" s="31">
        <f t="shared" si="18"/>
        <v>0.40010000000000023</v>
      </c>
      <c r="K43">
        <f t="shared" si="17"/>
        <v>0.32559682020591674</v>
      </c>
      <c r="L43">
        <f t="shared" si="16"/>
        <v>0.36911050904167364</v>
      </c>
      <c r="M43">
        <f t="shared" si="16"/>
        <v>0.41376240000357112</v>
      </c>
      <c r="N43">
        <f t="shared" si="16"/>
        <v>0.45895568809632942</v>
      </c>
      <c r="O43">
        <f t="shared" si="16"/>
        <v>0.50409534340882989</v>
      </c>
      <c r="P43">
        <f t="shared" si="16"/>
        <v>0.54861093096859381</v>
      </c>
      <c r="Q43">
        <f t="shared" si="16"/>
        <v>0.59197647529527286</v>
      </c>
      <c r="R43">
        <f t="shared" si="16"/>
        <v>0.63372643111723004</v>
      </c>
      <c r="S43">
        <f t="shared" si="16"/>
        <v>0.67346721785166663</v>
      </c>
      <c r="T43">
        <f t="shared" si="16"/>
        <v>0.71088416109786445</v>
      </c>
      <c r="U43">
        <f t="shared" si="16"/>
        <v>0.74574402507731397</v>
      </c>
      <c r="V43">
        <f t="shared" si="16"/>
        <v>0.77789359207838837</v>
      </c>
      <c r="W43">
        <f t="shared" si="16"/>
        <v>0.80725493632122713</v>
      </c>
      <c r="X43">
        <f t="shared" si="16"/>
        <v>0.83381814843618929</v>
      </c>
      <c r="Y43">
        <f t="shared" si="16"/>
        <v>0.85763229950197517</v>
      </c>
      <c r="Z43">
        <f t="shared" si="16"/>
        <v>0.87879540270571654</v>
      </c>
      <c r="AA43">
        <f t="shared" si="16"/>
        <v>0.89744405178259357</v>
      </c>
      <c r="AB43">
        <f t="shared" si="20"/>
        <v>0.91374330497368295</v>
      </c>
      <c r="AC43">
        <f t="shared" si="20"/>
        <v>0.92787725685234812</v>
      </c>
      <c r="AD43">
        <f t="shared" si="19"/>
        <v>0.94004061131418792</v>
      </c>
      <c r="AE43">
        <f t="shared" si="19"/>
        <v>0.95043144765308152</v>
      </c>
      <c r="AF43">
        <f t="shared" si="19"/>
        <v>0.9592452651349801</v>
      </c>
      <c r="AG43">
        <f t="shared" si="19"/>
        <v>0.96667030400227771</v>
      </c>
      <c r="AH43">
        <f t="shared" si="19"/>
        <v>0.9728840739745922</v>
      </c>
      <c r="AI43">
        <f t="shared" si="19"/>
        <v>0.97805097460028845</v>
      </c>
      <c r="AJ43">
        <f t="shared" si="19"/>
        <v>0.98232086335835278</v>
      </c>
      <c r="AK43">
        <f t="shared" si="19"/>
        <v>0.98582841443086977</v>
      </c>
    </row>
    <row r="44" spans="10:37" x14ac:dyDescent="0.25">
      <c r="J44" s="31">
        <f t="shared" si="18"/>
        <v>0.41010000000000024</v>
      </c>
      <c r="K44">
        <f t="shared" si="17"/>
        <v>0.32967331556201129</v>
      </c>
      <c r="L44">
        <f t="shared" si="16"/>
        <v>0.37283002588968739</v>
      </c>
      <c r="M44">
        <f t="shared" si="16"/>
        <v>0.41704403996722095</v>
      </c>
      <c r="N44">
        <f t="shared" si="16"/>
        <v>0.46173739462040048</v>
      </c>
      <c r="O44">
        <f t="shared" si="16"/>
        <v>0.5063360438040212</v>
      </c>
      <c r="P44">
        <f t="shared" si="16"/>
        <v>0.55029122621715643</v>
      </c>
      <c r="Q44">
        <f t="shared" si="16"/>
        <v>0.59309796332446796</v>
      </c>
      <c r="R44">
        <f t="shared" si="16"/>
        <v>0.63430985427381792</v>
      </c>
      <c r="S44">
        <f t="shared" si="16"/>
        <v>0.67354969807973064</v>
      </c>
      <c r="T44">
        <f t="shared" si="16"/>
        <v>0.71051582423296777</v>
      </c>
      <c r="U44">
        <f t="shared" si="16"/>
        <v>0.74498432056177022</v>
      </c>
      <c r="V44">
        <f t="shared" si="16"/>
        <v>0.77680759146968614</v>
      </c>
      <c r="W44">
        <f t="shared" si="16"/>
        <v>0.80590985045527974</v>
      </c>
      <c r="X44">
        <f t="shared" si="16"/>
        <v>0.83228024703390346</v>
      </c>
      <c r="Y44">
        <f t="shared" si="16"/>
        <v>0.85596435606118404</v>
      </c>
      <c r="Z44">
        <f t="shared" si="16"/>
        <v>0.87705472826547837</v>
      </c>
      <c r="AA44">
        <f t="shared" si="16"/>
        <v>0.89568112855034987</v>
      </c>
      <c r="AB44">
        <f t="shared" si="20"/>
        <v>0.9120009880703982</v>
      </c>
      <c r="AC44">
        <f t="shared" si="20"/>
        <v>0.92619048107539581</v>
      </c>
      <c r="AD44">
        <f t="shared" si="19"/>
        <v>0.93843651993065247</v>
      </c>
      <c r="AE44">
        <f t="shared" si="19"/>
        <v>0.94892985082308612</v>
      </c>
      <c r="AF44">
        <f t="shared" si="19"/>
        <v>0.95785933492428266</v>
      </c>
      <c r="AG44">
        <f t="shared" si="19"/>
        <v>0.965407419018108</v>
      </c>
      <c r="AH44">
        <f t="shared" si="19"/>
        <v>0.97174673732749861</v>
      </c>
      <c r="AI44">
        <f t="shared" si="19"/>
        <v>0.97703774219130213</v>
      </c>
      <c r="AJ44">
        <f t="shared" si="19"/>
        <v>0.98142723374447005</v>
      </c>
      <c r="AK44">
        <f t="shared" si="19"/>
        <v>0.98504764542894574</v>
      </c>
    </row>
    <row r="45" spans="10:37" x14ac:dyDescent="0.25">
      <c r="J45" s="31">
        <f t="shared" si="18"/>
        <v>0.42010000000000025</v>
      </c>
      <c r="K45">
        <f t="shared" si="17"/>
        <v>0.33364764867878405</v>
      </c>
      <c r="L45">
        <f t="shared" si="16"/>
        <v>0.37645330454316317</v>
      </c>
      <c r="M45">
        <f t="shared" si="16"/>
        <v>0.42024016680523946</v>
      </c>
      <c r="N45">
        <f t="shared" si="16"/>
        <v>0.46444827839164227</v>
      </c>
      <c r="O45">
        <f t="shared" si="16"/>
        <v>0.50852349488081117</v>
      </c>
      <c r="P45">
        <f t="shared" si="16"/>
        <v>0.55193751194168617</v>
      </c>
      <c r="Q45">
        <f t="shared" si="16"/>
        <v>0.59420511030959122</v>
      </c>
      <c r="R45">
        <f t="shared" si="16"/>
        <v>0.63489787760374916</v>
      </c>
      <c r="S45">
        <f t="shared" si="16"/>
        <v>0.67365400092533123</v>
      </c>
      <c r="T45">
        <f t="shared" si="16"/>
        <v>0.71018404377820188</v>
      </c>
      <c r="U45">
        <f t="shared" si="16"/>
        <v>0.74427289921606155</v>
      </c>
      <c r="V45">
        <f t="shared" si="16"/>
        <v>0.77577833085695747</v>
      </c>
      <c r="W45">
        <f t="shared" si="16"/>
        <v>0.80462666608908362</v>
      </c>
      <c r="X45">
        <f t="shared" si="16"/>
        <v>0.83080629099066083</v>
      </c>
      <c r="Y45">
        <f t="shared" si="16"/>
        <v>0.85435962011400535</v>
      </c>
      <c r="Z45">
        <f t="shared" si="16"/>
        <v>0.87537418660577848</v>
      </c>
      <c r="AA45">
        <f t="shared" si="16"/>
        <v>0.89397343177256083</v>
      </c>
      <c r="AB45">
        <f t="shared" si="20"/>
        <v>0.91030768135839901</v>
      </c>
      <c r="AC45">
        <f t="shared" si="20"/>
        <v>0.92454569087310245</v>
      </c>
      <c r="AD45">
        <f t="shared" si="19"/>
        <v>0.93686703491943046</v>
      </c>
      <c r="AE45">
        <f t="shared" si="19"/>
        <v>0.94745551393020377</v>
      </c>
      <c r="AF45">
        <f t="shared" si="19"/>
        <v>0.95649366188605611</v>
      </c>
      <c r="AG45">
        <f t="shared" si="19"/>
        <v>0.9641583639297604</v>
      </c>
      <c r="AH45">
        <f t="shared" si="19"/>
        <v>0.97061753476901913</v>
      </c>
      <c r="AI45">
        <f t="shared" si="19"/>
        <v>0.97602776718527717</v>
      </c>
      <c r="AJ45">
        <f t="shared" si="19"/>
        <v>0.9805328334850405</v>
      </c>
      <c r="AK45">
        <f t="shared" si="19"/>
        <v>0.9842629092405315</v>
      </c>
    </row>
    <row r="46" spans="10:37" x14ac:dyDescent="0.25">
      <c r="J46" s="31">
        <f t="shared" si="18"/>
        <v>0.43010000000000026</v>
      </c>
      <c r="K46">
        <f t="shared" si="17"/>
        <v>0.33752458547175385</v>
      </c>
      <c r="L46">
        <f t="shared" si="16"/>
        <v>0.37998509240466782</v>
      </c>
      <c r="M46">
        <f t="shared" si="16"/>
        <v>0.42335514734197777</v>
      </c>
      <c r="N46">
        <f t="shared" si="16"/>
        <v>0.46709200945136031</v>
      </c>
      <c r="O46">
        <f t="shared" si="16"/>
        <v>0.51066042775012477</v>
      </c>
      <c r="P46">
        <f t="shared" si="16"/>
        <v>0.55355143005042073</v>
      </c>
      <c r="Q46">
        <f t="shared" si="16"/>
        <v>0.59529841700654695</v>
      </c>
      <c r="R46">
        <f t="shared" si="16"/>
        <v>0.63548990274771033</v>
      </c>
      <c r="S46">
        <f t="shared" si="16"/>
        <v>0.67377855166508738</v>
      </c>
      <c r="T46">
        <f t="shared" si="16"/>
        <v>0.70988645256283278</v>
      </c>
      <c r="U46">
        <f t="shared" si="16"/>
        <v>0.74360682367323117</v>
      </c>
      <c r="V46">
        <f t="shared" si="16"/>
        <v>0.77480254003482762</v>
      </c>
      <c r="W46">
        <f t="shared" si="16"/>
        <v>0.80340201145827717</v>
      </c>
      <c r="X46">
        <f t="shared" si="16"/>
        <v>0.82939301482168115</v>
      </c>
      <c r="Y46">
        <f t="shared" si="16"/>
        <v>0.85281510435032482</v>
      </c>
      <c r="Z46">
        <f t="shared" si="16"/>
        <v>0.87375119722371752</v>
      </c>
      <c r="AA46">
        <f t="shared" si="16"/>
        <v>0.89231887070956661</v>
      </c>
      <c r="AB46">
        <f t="shared" si="20"/>
        <v>0.90866182291091646</v>
      </c>
      <c r="AC46">
        <f t="shared" si="20"/>
        <v>0.92294185324172739</v>
      </c>
      <c r="AD46">
        <f t="shared" si="19"/>
        <v>0.93533162044581319</v>
      </c>
      <c r="AE46">
        <f t="shared" si="19"/>
        <v>0.94600834282310298</v>
      </c>
      <c r="AF46">
        <f t="shared" si="19"/>
        <v>0.95514852260972449</v>
      </c>
      <c r="AG46">
        <f t="shared" si="19"/>
        <v>0.96292370736620647</v>
      </c>
      <c r="AH46">
        <f t="shared" si="19"/>
        <v>0.9694972471312362</v>
      </c>
      <c r="AI46">
        <f t="shared" si="19"/>
        <v>0.97502196690921372</v>
      </c>
      <c r="AJ46">
        <f t="shared" si="19"/>
        <v>0.97963864862796457</v>
      </c>
      <c r="AK46">
        <f t="shared" si="19"/>
        <v>0.983475203193795</v>
      </c>
    </row>
    <row r="47" spans="10:37" x14ac:dyDescent="0.25">
      <c r="J47" s="31">
        <f t="shared" si="18"/>
        <v>0.44010000000000027</v>
      </c>
      <c r="K47">
        <f t="shared" si="17"/>
        <v>0.34130858258669472</v>
      </c>
      <c r="L47">
        <f t="shared" si="16"/>
        <v>0.38342980715120623</v>
      </c>
      <c r="M47">
        <f t="shared" si="16"/>
        <v>0.42639303172616433</v>
      </c>
      <c r="N47">
        <f t="shared" si="16"/>
        <v>0.46967198507969843</v>
      </c>
      <c r="O47">
        <f t="shared" si="16"/>
        <v>0.51274936933178661</v>
      </c>
      <c r="P47">
        <f t="shared" si="16"/>
        <v>0.55513450282752519</v>
      </c>
      <c r="Q47">
        <f t="shared" si="16"/>
        <v>0.59637835533925954</v>
      </c>
      <c r="R47">
        <f t="shared" si="16"/>
        <v>0.63608538997426489</v>
      </c>
      <c r="S47">
        <f t="shared" si="16"/>
        <v>0.6739219101169498</v>
      </c>
      <c r="T47">
        <f t="shared" si="16"/>
        <v>0.7096208762532521</v>
      </c>
      <c r="U47">
        <f t="shared" si="16"/>
        <v>0.74298338656596563</v>
      </c>
      <c r="V47">
        <f t="shared" si="16"/>
        <v>0.77387719390106047</v>
      </c>
      <c r="W47">
        <f t="shared" si="16"/>
        <v>0.80223275432689156</v>
      </c>
      <c r="X47">
        <f t="shared" si="16"/>
        <v>0.82803736949750761</v>
      </c>
      <c r="Y47">
        <f t="shared" si="16"/>
        <v>0.85132800169714851</v>
      </c>
      <c r="Z47">
        <f t="shared" si="16"/>
        <v>0.87218331537209082</v>
      </c>
      <c r="AA47">
        <f t="shared" si="16"/>
        <v>0.89071544246139067</v>
      </c>
      <c r="AB47">
        <f t="shared" si="20"/>
        <v>0.90706189160192285</v>
      </c>
      <c r="AC47">
        <f t="shared" si="20"/>
        <v>0.92137793329424156</v>
      </c>
      <c r="AD47">
        <f t="shared" si="19"/>
        <v>0.93382970294086642</v>
      </c>
      <c r="AE47">
        <f t="shared" si="19"/>
        <v>0.94458817804709527</v>
      </c>
      <c r="AF47">
        <f t="shared" si="19"/>
        <v>0.95382410959204256</v>
      </c>
      <c r="AG47">
        <f t="shared" si="19"/>
        <v>0.96170392355558521</v>
      </c>
      <c r="AH47">
        <f t="shared" si="19"/>
        <v>0.96838655811856778</v>
      </c>
      <c r="AI47">
        <f t="shared" si="19"/>
        <v>0.97402116512315684</v>
      </c>
      <c r="AJ47">
        <f t="shared" si="19"/>
        <v>0.97874558000986911</v>
      </c>
      <c r="AK47">
        <f t="shared" si="19"/>
        <v>0.98268545103189608</v>
      </c>
    </row>
    <row r="48" spans="10:37" x14ac:dyDescent="0.25">
      <c r="J48" s="31">
        <f t="shared" si="18"/>
        <v>0.45010000000000028</v>
      </c>
      <c r="K48">
        <f t="shared" si="17"/>
        <v>0.34500381247820999</v>
      </c>
      <c r="L48">
        <f t="shared" si="16"/>
        <v>0.38679156571250556</v>
      </c>
      <c r="M48">
        <f t="shared" si="16"/>
        <v>0.42935758264979029</v>
      </c>
      <c r="N48">
        <f t="shared" si="16"/>
        <v>0.47219135569565418</v>
      </c>
      <c r="O48">
        <f t="shared" si="16"/>
        <v>0.51479266197943985</v>
      </c>
      <c r="P48">
        <f t="shared" si="16"/>
        <v>0.5566881442974726</v>
      </c>
      <c r="Q48">
        <f t="shared" si="16"/>
        <v>0.59744537067665304</v>
      </c>
      <c r="R48">
        <f t="shared" si="16"/>
        <v>0.63668385170174913</v>
      </c>
      <c r="S48">
        <f t="shared" si="16"/>
        <v>0.67408275673621132</v>
      </c>
      <c r="T48">
        <f t="shared" si="16"/>
        <v>0.70938531407074468</v>
      </c>
      <c r="U48">
        <f t="shared" si="16"/>
        <v>0.74240008829504944</v>
      </c>
      <c r="V48">
        <f t="shared" si="16"/>
        <v>0.77299948974683219</v>
      </c>
      <c r="W48">
        <f t="shared" si="16"/>
        <v>0.80111598101890857</v>
      </c>
      <c r="X48">
        <f t="shared" si="16"/>
        <v>0.82673650496804052</v>
      </c>
      <c r="Y48">
        <f t="shared" si="16"/>
        <v>0.84989567249367015</v>
      </c>
      <c r="Z48">
        <f t="shared" si="16"/>
        <v>0.87066822441853442</v>
      </c>
      <c r="AA48">
        <f t="shared" ref="AA48:AA55" si="21">_xlfn.NORM.S.DIST((LN(AA$2/$B$67)+($F$69+$F$68^2/2)*$J48)/($F$68*SQRT($J48)),TRUE)</f>
        <v>0.88916122946404874</v>
      </c>
      <c r="AB48">
        <f t="shared" si="20"/>
        <v>0.90550640921587067</v>
      </c>
      <c r="AC48">
        <f t="shared" si="20"/>
        <v>0.91985290011973053</v>
      </c>
      <c r="AD48">
        <f t="shared" si="19"/>
        <v>0.9323606796540852</v>
      </c>
      <c r="AE48">
        <f t="shared" si="19"/>
        <v>0.94319480497965458</v>
      </c>
      <c r="AF48">
        <f t="shared" si="19"/>
        <v>0.95252054190725488</v>
      </c>
      <c r="AG48">
        <f t="shared" si="19"/>
        <v>0.96049940262955924</v>
      </c>
      <c r="AH48">
        <f t="shared" si="19"/>
        <v>0.96728606354629709</v>
      </c>
      <c r="AI48">
        <f t="shared" si="19"/>
        <v>0.97302609971483633</v>
      </c>
      <c r="AJ48">
        <f t="shared" si="19"/>
        <v>0.97785444914617692</v>
      </c>
      <c r="AK48">
        <f t="shared" si="19"/>
        <v>0.98189450693112912</v>
      </c>
    </row>
    <row r="49" spans="10:37" x14ac:dyDescent="0.25">
      <c r="J49" s="31">
        <f t="shared" si="18"/>
        <v>0.46010000000000029</v>
      </c>
      <c r="K49">
        <f t="shared" si="17"/>
        <v>0.34861418609586597</v>
      </c>
      <c r="L49">
        <f t="shared" si="17"/>
        <v>0.39007421020430455</v>
      </c>
      <c r="M49">
        <f t="shared" si="17"/>
        <v>0.4322523013272489</v>
      </c>
      <c r="N49">
        <f t="shared" si="17"/>
        <v>0.47465304779423789</v>
      </c>
      <c r="O49">
        <f t="shared" si="17"/>
        <v>0.51679248082626783</v>
      </c>
      <c r="P49">
        <f t="shared" si="17"/>
        <v>0.55821367027531321</v>
      </c>
      <c r="Q49">
        <f t="shared" si="17"/>
        <v>0.5984998838833625</v>
      </c>
      <c r="R49">
        <f t="shared" si="17"/>
        <v>0.63728484684210118</v>
      </c>
      <c r="S49">
        <f t="shared" si="17"/>
        <v>0.67425988040228757</v>
      </c>
      <c r="T49">
        <f t="shared" si="17"/>
        <v>0.70917792179132411</v>
      </c>
      <c r="U49">
        <f t="shared" si="17"/>
        <v>0.74185461734634894</v>
      </c>
      <c r="V49">
        <f t="shared" si="17"/>
        <v>0.77216682704049588</v>
      </c>
      <c r="W49">
        <f t="shared" si="17"/>
        <v>0.80004897761271476</v>
      </c>
      <c r="X49">
        <f t="shared" si="17"/>
        <v>0.82548775431868371</v>
      </c>
      <c r="Y49">
        <f t="shared" si="17"/>
        <v>0.84851563265707908</v>
      </c>
      <c r="Z49">
        <f t="shared" si="17"/>
        <v>0.86920372853281169</v>
      </c>
      <c r="AA49">
        <f t="shared" si="21"/>
        <v>0.88765439670756052</v>
      </c>
      <c r="AB49">
        <f t="shared" si="20"/>
        <v>0.90399394178649051</v>
      </c>
      <c r="AC49">
        <f t="shared" si="20"/>
        <v>0.91836573152733669</v>
      </c>
      <c r="AD49">
        <f t="shared" si="19"/>
        <v>0.93092392590545536</v>
      </c>
      <c r="AE49">
        <f t="shared" si="19"/>
        <v>0.94182796263103219</v>
      </c>
      <c r="AF49">
        <f t="shared" si="19"/>
        <v>0.95123787463547327</v>
      </c>
      <c r="AG49">
        <f t="shared" si="19"/>
        <v>0.95931045987403385</v>
      </c>
      <c r="AH49">
        <f t="shared" si="19"/>
        <v>0.96619627977275702</v>
      </c>
      <c r="AI49">
        <f t="shared" si="19"/>
        <v>0.97203742985980723</v>
      </c>
      <c r="AJ49">
        <f t="shared" si="19"/>
        <v>0.97696600385324062</v>
      </c>
      <c r="AK49">
        <f t="shared" si="19"/>
        <v>0.98110315948944549</v>
      </c>
    </row>
    <row r="50" spans="10:37" x14ac:dyDescent="0.25">
      <c r="J50" s="31">
        <f t="shared" si="18"/>
        <v>0.4701000000000003</v>
      </c>
      <c r="K50">
        <f t="shared" si="17"/>
        <v>0.35214337343509045</v>
      </c>
      <c r="L50">
        <f t="shared" si="17"/>
        <v>0.39328133118555147</v>
      </c>
      <c r="M50">
        <f t="shared" si="17"/>
        <v>0.43508045065116829</v>
      </c>
      <c r="N50">
        <f t="shared" si="17"/>
        <v>0.47705978431446028</v>
      </c>
      <c r="O50">
        <f t="shared" si="17"/>
        <v>0.51875084915950054</v>
      </c>
      <c r="P50">
        <f t="shared" si="17"/>
        <v>0.55971230728038102</v>
      </c>
      <c r="Q50">
        <f t="shared" si="17"/>
        <v>0.5995422931710741</v>
      </c>
      <c r="R50">
        <f t="shared" si="17"/>
        <v>0.63788797584834267</v>
      </c>
      <c r="S50">
        <f t="shared" si="17"/>
        <v>0.67445216766038119</v>
      </c>
      <c r="T50">
        <f t="shared" si="17"/>
        <v>0.70899699671686123</v>
      </c>
      <c r="U50">
        <f t="shared" si="17"/>
        <v>0.74134483281991603</v>
      </c>
      <c r="V50">
        <f t="shared" si="17"/>
        <v>0.77137678939015841</v>
      </c>
      <c r="W50">
        <f t="shared" si="17"/>
        <v>0.79902921304406282</v>
      </c>
      <c r="X50">
        <f t="shared" si="17"/>
        <v>0.82428861938986286</v>
      </c>
      <c r="Y50">
        <f t="shared" si="17"/>
        <v>0.84718554276651092</v>
      </c>
      <c r="Z50">
        <f t="shared" si="17"/>
        <v>0.86778774572226014</v>
      </c>
      <c r="AA50">
        <f t="shared" si="21"/>
        <v>0.88619318877351283</v>
      </c>
      <c r="AB50">
        <f t="shared" si="20"/>
        <v>0.90252310031815386</v>
      </c>
      <c r="AC50">
        <f t="shared" si="20"/>
        <v>0.91691541785851749</v>
      </c>
      <c r="AD50">
        <f t="shared" si="19"/>
        <v>0.92951880122622477</v>
      </c>
      <c r="AE50">
        <f t="shared" si="19"/>
        <v>0.94048735128364558</v>
      </c>
      <c r="AF50">
        <f t="shared" si="19"/>
        <v>0.94997610719169001</v>
      </c>
      <c r="AG50">
        <f t="shared" si="19"/>
        <v>0.95813734402806228</v>
      </c>
      <c r="AH50">
        <f t="shared" si="19"/>
        <v>0.96511765138322592</v>
      </c>
      <c r="AI50">
        <f t="shared" si="19"/>
        <v>0.97105574266347428</v>
      </c>
      <c r="AJ50">
        <f t="shared" si="19"/>
        <v>0.9760809235832768</v>
      </c>
      <c r="AK50">
        <f t="shared" si="19"/>
        <v>0.98031213563890629</v>
      </c>
    </row>
    <row r="51" spans="10:37" x14ac:dyDescent="0.25">
      <c r="J51" s="31">
        <f t="shared" si="18"/>
        <v>0.4801000000000003</v>
      </c>
      <c r="K51">
        <f t="shared" si="17"/>
        <v>0.35559482218003347</v>
      </c>
      <c r="L51">
        <f t="shared" si="17"/>
        <v>0.3964162885581945</v>
      </c>
      <c r="M51">
        <f t="shared" si="17"/>
        <v>0.43784507588084909</v>
      </c>
      <c r="N51">
        <f t="shared" si="17"/>
        <v>0.47941410277258234</v>
      </c>
      <c r="O51">
        <f t="shared" si="17"/>
        <v>0.52066965208450378</v>
      </c>
      <c r="P51">
        <f t="shared" si="17"/>
        <v>0.56118520046371034</v>
      </c>
      <c r="Q51">
        <f t="shared" si="17"/>
        <v>0.60057297577369062</v>
      </c>
      <c r="R51">
        <f t="shared" si="17"/>
        <v>0.63849287636644936</v>
      </c>
      <c r="S51">
        <f t="shared" si="17"/>
        <v>0.67465859321915067</v>
      </c>
      <c r="T51">
        <f t="shared" si="17"/>
        <v>0.70884096435439825</v>
      </c>
      <c r="U51">
        <f t="shared" si="17"/>
        <v>0.7408687488848319</v>
      </c>
      <c r="V51">
        <f t="shared" si="17"/>
        <v>0.77062712841501047</v>
      </c>
      <c r="W51">
        <f t="shared" si="17"/>
        <v>0.79805432389640663</v>
      </c>
      <c r="X51">
        <f t="shared" si="17"/>
        <v>0.82313675770959882</v>
      </c>
      <c r="Y51">
        <f t="shared" si="17"/>
        <v>0.84590319799534952</v>
      </c>
      <c r="Z51">
        <f t="shared" si="17"/>
        <v>0.86641830122419805</v>
      </c>
      <c r="AA51">
        <f t="shared" si="21"/>
        <v>0.8847759267681331</v>
      </c>
      <c r="AB51">
        <f t="shared" si="20"/>
        <v>0.90109254101506153</v>
      </c>
      <c r="AC51">
        <f t="shared" si="20"/>
        <v>0.91550096502130884</v>
      </c>
      <c r="AD51">
        <f t="shared" si="19"/>
        <v>0.92814465454973671</v>
      </c>
      <c r="AE51">
        <f t="shared" si="19"/>
        <v>0.93917263912114324</v>
      </c>
      <c r="AF51">
        <f t="shared" si="19"/>
        <v>0.94873519068208834</v>
      </c>
      <c r="AG51">
        <f t="shared" si="19"/>
        <v>0.95698024472467924</v>
      </c>
      <c r="AH51">
        <f t="shared" si="19"/>
        <v>0.96405055818277707</v>
      </c>
      <c r="AI51">
        <f t="shared" si="19"/>
        <v>0.9700815593066372</v>
      </c>
      <c r="AJ51">
        <f t="shared" si="19"/>
        <v>0.97519982446249676</v>
      </c>
      <c r="AK51">
        <f t="shared" si="19"/>
        <v>0.97952210444785204</v>
      </c>
    </row>
    <row r="52" spans="10:37" x14ac:dyDescent="0.25">
      <c r="J52" s="31">
        <f t="shared" si="18"/>
        <v>0.49010000000000031</v>
      </c>
      <c r="K52">
        <f t="shared" si="17"/>
        <v>0.3589717746392167</v>
      </c>
      <c r="L52">
        <f t="shared" si="17"/>
        <v>0.39948223038556346</v>
      </c>
      <c r="M52">
        <f t="shared" si="17"/>
        <v>0.44054902316845257</v>
      </c>
      <c r="N52">
        <f t="shared" si="17"/>
        <v>0.48171837144572416</v>
      </c>
      <c r="O52">
        <f t="shared" si="17"/>
        <v>0.52255064870009937</v>
      </c>
      <c r="P52">
        <f t="shared" si="17"/>
        <v>0.56263342067683642</v>
      </c>
      <c r="Q52">
        <f t="shared" si="17"/>
        <v>0.60159228946639809</v>
      </c>
      <c r="R52">
        <f t="shared" si="17"/>
        <v>0.63909921940799874</v>
      </c>
      <c r="S52">
        <f t="shared" si="17"/>
        <v>0.67487821153608807</v>
      </c>
      <c r="T52">
        <f t="shared" si="17"/>
        <v>0.70870836658011993</v>
      </c>
      <c r="U52">
        <f t="shared" si="17"/>
        <v>0.74042452091519462</v>
      </c>
      <c r="V52">
        <f t="shared" si="17"/>
        <v>0.769915749292992</v>
      </c>
      <c r="W52">
        <f t="shared" si="17"/>
        <v>0.79712210068600042</v>
      </c>
      <c r="X52">
        <f t="shared" si="17"/>
        <v>0.82202997060527061</v>
      </c>
      <c r="Y52">
        <f t="shared" si="17"/>
        <v>0.84466651882564325</v>
      </c>
      <c r="Z52">
        <f t="shared" si="17"/>
        <v>0.86509352125590144</v>
      </c>
      <c r="AA52">
        <f t="shared" si="21"/>
        <v>0.8834010052095026</v>
      </c>
      <c r="AB52">
        <f t="shared" si="20"/>
        <v>0.89970096512050846</v>
      </c>
      <c r="AC52">
        <f t="shared" si="20"/>
        <v>0.91412139687523997</v>
      </c>
      <c r="AD52">
        <f t="shared" si="19"/>
        <v>0.92680082858994195</v>
      </c>
      <c r="AE52">
        <f t="shared" si="19"/>
        <v>0.93788346797822453</v>
      </c>
      <c r="AF52">
        <f t="shared" si="19"/>
        <v>0.94751503440006202</v>
      </c>
      <c r="AG52">
        <f t="shared" si="19"/>
        <v>0.95583929915941968</v>
      </c>
      <c r="AH52">
        <f t="shared" si="19"/>
        <v>0.96299532155342271</v>
      </c>
      <c r="AI52">
        <f t="shared" si="19"/>
        <v>0.96911534071953598</v>
      </c>
      <c r="AJ52">
        <f t="shared" si="19"/>
        <v>0.97432326403012126</v>
      </c>
      <c r="AK52">
        <f t="shared" si="19"/>
        <v>0.97873368078833356</v>
      </c>
    </row>
    <row r="53" spans="10:37" x14ac:dyDescent="0.25">
      <c r="J53" s="31">
        <f t="shared" si="18"/>
        <v>0.50010000000000032</v>
      </c>
      <c r="K53">
        <f t="shared" si="17"/>
        <v>0.36227728315164209</v>
      </c>
      <c r="L53">
        <f t="shared" si="17"/>
        <v>0.40248210986896321</v>
      </c>
      <c r="M53">
        <f t="shared" si="17"/>
        <v>0.44319495618536653</v>
      </c>
      <c r="N53">
        <f t="shared" si="17"/>
        <v>0.48397480384969327</v>
      </c>
      <c r="O53">
        <f t="shared" si="17"/>
        <v>0.52439548297416327</v>
      </c>
      <c r="P53">
        <f t="shared" si="17"/>
        <v>0.56405797079084108</v>
      </c>
      <c r="Q53">
        <f t="shared" si="17"/>
        <v>0.60260057394605593</v>
      </c>
      <c r="R53">
        <f t="shared" si="17"/>
        <v>0.63970670597290669</v>
      </c>
      <c r="S53">
        <f t="shared" si="17"/>
        <v>0.67511014934767655</v>
      </c>
      <c r="T53">
        <f t="shared" si="17"/>
        <v>0.7085978510974118</v>
      </c>
      <c r="U53">
        <f t="shared" si="17"/>
        <v>0.74001043309767489</v>
      </c>
      <c r="V53">
        <f t="shared" si="17"/>
        <v>0.76924069778421189</v>
      </c>
      <c r="W53">
        <f t="shared" si="17"/>
        <v>0.7962304754736742</v>
      </c>
      <c r="X53">
        <f t="shared" si="17"/>
        <v>0.82096619237533974</v>
      </c>
      <c r="Y53">
        <f t="shared" si="17"/>
        <v>0.84347354248238127</v>
      </c>
      <c r="Z53">
        <f t="shared" si="17"/>
        <v>0.86381162711687431</v>
      </c>
      <c r="AA53">
        <f t="shared" si="21"/>
        <v>0.88206688891381879</v>
      </c>
      <c r="AB53">
        <f t="shared" si="20"/>
        <v>0.89834711844968529</v>
      </c>
      <c r="AC53">
        <f t="shared" si="20"/>
        <v>0.91277575707468828</v>
      </c>
      <c r="AD53">
        <f t="shared" si="19"/>
        <v>0.92548666352505082</v>
      </c>
      <c r="AE53">
        <f t="shared" si="19"/>
        <v>0.93661945832505955</v>
      </c>
      <c r="AF53">
        <f t="shared" si="19"/>
        <v>0.94631551156154214</v>
      </c>
      <c r="AG53">
        <f t="shared" si="19"/>
        <v>0.95471459806458125</v>
      </c>
      <c r="AH53">
        <f t="shared" si="19"/>
        <v>0.96195221022829747</v>
      </c>
      <c r="AI53">
        <f t="shared" si="19"/>
        <v>0.96815749281126839</v>
      </c>
      <c r="AJ53">
        <f t="shared" si="19"/>
        <v>0.97345174568137172</v>
      </c>
      <c r="AK53">
        <f t="shared" si="19"/>
        <v>0.97794742885209485</v>
      </c>
    </row>
    <row r="54" spans="10:37" x14ac:dyDescent="0.25">
      <c r="J54" s="31">
        <f t="shared" si="18"/>
        <v>0.51010000000000033</v>
      </c>
      <c r="K54">
        <f t="shared" si="17"/>
        <v>0.3655142241206964</v>
      </c>
      <c r="L54">
        <f t="shared" si="17"/>
        <v>0.40541870069101293</v>
      </c>
      <c r="M54">
        <f t="shared" si="17"/>
        <v>0.44578537107510319</v>
      </c>
      <c r="N54">
        <f t="shared" si="17"/>
        <v>0.4861854717202938</v>
      </c>
      <c r="O54">
        <f t="shared" si="17"/>
        <v>0.52620569348128843</v>
      </c>
      <c r="P54">
        <f t="shared" si="17"/>
        <v>0.56545979135878899</v>
      </c>
      <c r="Q54">
        <f t="shared" si="17"/>
        <v>0.60359815208808332</v>
      </c>
      <c r="R54">
        <f t="shared" si="17"/>
        <v>0.64031506406229066</v>
      </c>
      <c r="S54">
        <f t="shared" si="17"/>
        <v>0.67535359902254388</v>
      </c>
      <c r="T54">
        <f t="shared" si="17"/>
        <v>0.70850816202602585</v>
      </c>
      <c r="U54">
        <f t="shared" si="17"/>
        <v>0.73962488733053589</v>
      </c>
      <c r="V54">
        <f t="shared" si="17"/>
        <v>0.76860014855655867</v>
      </c>
      <c r="W54">
        <f t="shared" si="17"/>
        <v>0.79537751065629558</v>
      </c>
      <c r="X54">
        <f t="shared" si="17"/>
        <v>0.81994348041483112</v>
      </c>
      <c r="Y54">
        <f t="shared" si="17"/>
        <v>0.84232241502953065</v>
      </c>
      <c r="Z54">
        <f t="shared" si="17"/>
        <v>0.8625709296339934</v>
      </c>
      <c r="AA54">
        <f t="shared" si="21"/>
        <v>0.88077210991475674</v>
      </c>
      <c r="AB54">
        <f t="shared" si="20"/>
        <v>0.89702979068412192</v>
      </c>
      <c r="AC54">
        <f t="shared" si="20"/>
        <v>0.9114631104610641</v>
      </c>
      <c r="AD54">
        <f t="shared" si="19"/>
        <v>0.92420150008665636</v>
      </c>
      <c r="AE54">
        <f t="shared" si="19"/>
        <v>0.93538021358520429</v>
      </c>
      <c r="AF54">
        <f t="shared" si="19"/>
        <v>0.94513646436776921</v>
      </c>
      <c r="AG54">
        <f t="shared" si="19"/>
        <v>0.95360619106001177</v>
      </c>
      <c r="AH54">
        <f t="shared" si="19"/>
        <v>0.96092144553260606</v>
      </c>
      <c r="AI54">
        <f t="shared" si="19"/>
        <v>0.96720837128229553</v>
      </c>
      <c r="AJ54">
        <f t="shared" si="19"/>
        <v>0.97258572282147893</v>
      </c>
      <c r="AK54">
        <f t="shared" si="19"/>
        <v>0.97716386550449974</v>
      </c>
    </row>
    <row r="55" spans="10:37" x14ac:dyDescent="0.25">
      <c r="J55" s="31">
        <f t="shared" si="18"/>
        <v>0.52010000000000034</v>
      </c>
      <c r="K55">
        <f>_xlfn.NORM.S.DIST((LN(K$2/$B$67)+($F$69+$F$68^2/2)*$J55)/($F$68*SQRT($J55)),TRUE)</f>
        <v>0.36868531081533373</v>
      </c>
      <c r="L55">
        <f t="shared" si="17"/>
        <v>0.40829461090763952</v>
      </c>
      <c r="M55">
        <f>_xlfn.NORM.S.DIST((LN(M$2/$B$67)+($F$69+$F$68^2/2)*$J55)/($F$68*SQRT($J55)),TRUE)</f>
        <v>0.4483226099285228</v>
      </c>
      <c r="N55">
        <f>_xlfn.NORM.S.DIST((LN(N$2/$B$67)+($F$69+$F$68^2/2)*$J55)/($F$68*SQRT($J55)),TRUE)</f>
        <v>0.48835231667824469</v>
      </c>
      <c r="O55">
        <f t="shared" si="17"/>
        <v>0.52798272214141528</v>
      </c>
      <c r="P55">
        <f t="shared" si="17"/>
        <v>0.56683976570151529</v>
      </c>
      <c r="Q55">
        <f>_xlfn.NORM.S.DIST((LN(Q$2/$B$67)+($F$69+$F$68^2/2)*$J55)/($F$68*SQRT($J55)),TRUE)</f>
        <v>0.60458533109308843</v>
      </c>
      <c r="R55">
        <f t="shared" si="17"/>
        <v>0.64092404603041953</v>
      </c>
      <c r="S55">
        <f t="shared" si="17"/>
        <v>0.67560781263349257</v>
      </c>
      <c r="T55">
        <f t="shared" si="17"/>
        <v>0.70843813148251911</v>
      </c>
      <c r="U55">
        <f t="shared" si="17"/>
        <v>0.73926639325888099</v>
      </c>
      <c r="V55">
        <f t="shared" si="17"/>
        <v>0.76799239466292901</v>
      </c>
      <c r="W55">
        <f t="shared" si="17"/>
        <v>0.79456138880914029</v>
      </c>
      <c r="X55">
        <f t="shared" si="17"/>
        <v>0.81896000619990383</v>
      </c>
      <c r="Y55">
        <f t="shared" si="17"/>
        <v>0.84121138407391327</v>
      </c>
      <c r="Z55">
        <f t="shared" si="17"/>
        <v>0.86136982393728612</v>
      </c>
      <c r="AA55">
        <f t="shared" si="21"/>
        <v>0.87951526444138417</v>
      </c>
      <c r="AB55">
        <f t="shared" si="20"/>
        <v>0.89574781448330776</v>
      </c>
      <c r="AC55">
        <f t="shared" si="20"/>
        <v>0.9101825440796778</v>
      </c>
      <c r="AD55">
        <f t="shared" si="19"/>
        <v>0.92294468214009895</v>
      </c>
      <c r="AE55">
        <f t="shared" si="19"/>
        <v>0.93416532387293405</v>
      </c>
      <c r="AF55">
        <f t="shared" si="19"/>
        <v>0.94397770847343865</v>
      </c>
      <c r="AG55">
        <f t="shared" si="19"/>
        <v>0.95251409144439647</v>
      </c>
      <c r="AH55">
        <f t="shared" si="19"/>
        <v>0.95990320613782132</v>
      </c>
      <c r="AI55">
        <f t="shared" si="19"/>
        <v>0.96626828604780879</v>
      </c>
      <c r="AJ55">
        <f t="shared" si="19"/>
        <v>0.97172560274053388</v>
      </c>
      <c r="AK55">
        <f t="shared" si="19"/>
        <v>0.9763834634705636</v>
      </c>
    </row>
    <row r="66" spans="1:6" x14ac:dyDescent="0.25">
      <c r="A66" s="3" t="s">
        <v>0</v>
      </c>
      <c r="B66">
        <v>37</v>
      </c>
    </row>
    <row r="67" spans="1:6" x14ac:dyDescent="0.25">
      <c r="A67" s="3" t="s">
        <v>1</v>
      </c>
      <c r="B67">
        <v>40</v>
      </c>
    </row>
    <row r="68" spans="1:6" x14ac:dyDescent="0.25">
      <c r="A68" s="3" t="s">
        <v>2</v>
      </c>
      <c r="E68">
        <v>18</v>
      </c>
      <c r="F68">
        <f>E68/100</f>
        <v>0.18</v>
      </c>
    </row>
    <row r="69" spans="1:6" x14ac:dyDescent="0.25">
      <c r="A69" s="3" t="s">
        <v>5</v>
      </c>
      <c r="E69">
        <v>5</v>
      </c>
      <c r="F69">
        <f>E69/100</f>
        <v>0.05</v>
      </c>
    </row>
    <row r="70" spans="1:6" x14ac:dyDescent="0.25">
      <c r="A70" s="3" t="s">
        <v>6</v>
      </c>
      <c r="B70">
        <v>0.01</v>
      </c>
    </row>
    <row r="102" spans="17:23" x14ac:dyDescent="0.25">
      <c r="Q102" t="s">
        <v>311</v>
      </c>
      <c r="R102">
        <v>0.03</v>
      </c>
      <c r="T102" s="32" t="s">
        <v>310</v>
      </c>
      <c r="U102" s="17">
        <f>$B$66</f>
        <v>37</v>
      </c>
      <c r="V102" s="17">
        <v>40</v>
      </c>
      <c r="W102" s="17">
        <v>43</v>
      </c>
    </row>
    <row r="103" spans="17:23" x14ac:dyDescent="0.25">
      <c r="Q103" t="s">
        <v>309</v>
      </c>
      <c r="R103">
        <v>0.2</v>
      </c>
      <c r="T103" s="32">
        <v>0.01</v>
      </c>
      <c r="U103">
        <f>_xlfn.NORM.S.DIST( ( LN(U$102/$B$67)+($F$69+$T103^2/2)*$R$103 ) / ($T103*SQRT($R$103)),TRUE )</f>
        <v>1.9250894053303294E-52</v>
      </c>
      <c r="V103">
        <f t="shared" ref="V103:W118" si="22">_xlfn.NORM.S.DIST((LN(V$102/$B$67)+($F$69+$T103^2/2)*$R$103)/($T103*SQRT($R$103)),TRUE)</f>
        <v>0.98739938275572392</v>
      </c>
      <c r="W103">
        <f>_xlfn.NORM.S.DIST((LN(W$102/$B$67)+($F$69+$T103^2/2)*$R$103)/($T103*SQRT($R$103)),TRUE)</f>
        <v>1</v>
      </c>
    </row>
    <row r="104" spans="17:23" x14ac:dyDescent="0.25">
      <c r="T104" s="32">
        <f t="shared" ref="T104:T135" si="23">T103+$R$102</f>
        <v>0.04</v>
      </c>
      <c r="U104">
        <f t="shared" ref="U104:W135" si="24">_xlfn.NORM.S.DIST((LN(U$102/$B$67)+($F$69+$T104^2/2)*$R$103)/($T104*SQRT($R$103)),TRUE)</f>
        <v>7.5256535604286995E-5</v>
      </c>
      <c r="V104">
        <f t="shared" si="22"/>
        <v>0.71496936538522027</v>
      </c>
      <c r="W104">
        <f t="shared" si="22"/>
        <v>0.9999979944767533</v>
      </c>
    </row>
    <row r="105" spans="17:23" x14ac:dyDescent="0.25">
      <c r="T105" s="32">
        <f t="shared" si="23"/>
        <v>7.0000000000000007E-2</v>
      </c>
      <c r="U105">
        <f>_xlfn.NORM.S.DIST((LN(U$102/$B$67)+($F$69+$T105^2/2)*$R$103)/($T105*SQRT($R$103)),TRUE)</f>
        <v>1.5569209004311815E-2</v>
      </c>
      <c r="V105">
        <f>_xlfn.NORM.S.DIST((LN(V$102/$B$67)+($F$69+$T105^2/2)*$R$103)/($T105*SQRT($R$103)),TRUE)</f>
        <v>0.63122168797659151</v>
      </c>
      <c r="W105">
        <f t="shared" si="22"/>
        <v>0.99591894797170244</v>
      </c>
    </row>
    <row r="106" spans="17:23" x14ac:dyDescent="0.25">
      <c r="T106" s="32">
        <f t="shared" si="23"/>
        <v>0.1</v>
      </c>
      <c r="U106">
        <f>_xlfn.NORM.S.DIST((LN(U$102/$B$67)+($F$69+$T106^2/2)*$R$103)/($T106*SQRT($R$103)),TRUE)</f>
        <v>6.7156881023946541E-2</v>
      </c>
      <c r="V106">
        <f t="shared" si="22"/>
        <v>0.59714629581366596</v>
      </c>
      <c r="W106">
        <f t="shared" si="22"/>
        <v>0.96877636733802952</v>
      </c>
    </row>
    <row r="107" spans="17:23" x14ac:dyDescent="0.25">
      <c r="T107" s="32">
        <f t="shared" si="23"/>
        <v>0.13</v>
      </c>
      <c r="U107">
        <f t="shared" si="24"/>
        <v>0.12716290609935427</v>
      </c>
      <c r="V107">
        <f t="shared" si="22"/>
        <v>0.57967968818808147</v>
      </c>
      <c r="W107">
        <f t="shared" si="22"/>
        <v>0.92577489242653832</v>
      </c>
    </row>
    <row r="108" spans="17:23" x14ac:dyDescent="0.25">
      <c r="T108" s="32">
        <f t="shared" si="23"/>
        <v>0.16</v>
      </c>
      <c r="U108">
        <f t="shared" si="24"/>
        <v>0.1803546583794747</v>
      </c>
      <c r="V108">
        <f t="shared" si="22"/>
        <v>0.56966892487742893</v>
      </c>
      <c r="W108">
        <f t="shared" si="22"/>
        <v>0.88223688605790951</v>
      </c>
    </row>
    <row r="109" spans="17:23" x14ac:dyDescent="0.25">
      <c r="T109" s="32">
        <f t="shared" si="23"/>
        <v>0.19</v>
      </c>
      <c r="U109">
        <f t="shared" si="24"/>
        <v>0.22442337807586457</v>
      </c>
      <c r="V109">
        <f t="shared" si="22"/>
        <v>0.56362763262883364</v>
      </c>
      <c r="W109">
        <f t="shared" si="22"/>
        <v>0.8440633159449733</v>
      </c>
    </row>
    <row r="110" spans="17:23" x14ac:dyDescent="0.25">
      <c r="T110" s="32">
        <f t="shared" si="23"/>
        <v>0.22</v>
      </c>
      <c r="U110">
        <f t="shared" si="24"/>
        <v>0.26057818998391813</v>
      </c>
      <c r="V110">
        <f t="shared" si="22"/>
        <v>0.55994625298138567</v>
      </c>
      <c r="W110">
        <f t="shared" si="22"/>
        <v>0.81216326830766805</v>
      </c>
    </row>
    <row r="111" spans="17:23" x14ac:dyDescent="0.25">
      <c r="T111" s="32">
        <f t="shared" si="23"/>
        <v>0.25</v>
      </c>
      <c r="U111">
        <f t="shared" si="24"/>
        <v>0.2904862327199621</v>
      </c>
      <c r="V111">
        <f t="shared" si="22"/>
        <v>0.5577805269395173</v>
      </c>
      <c r="W111">
        <f t="shared" si="22"/>
        <v>0.78587798914538531</v>
      </c>
    </row>
    <row r="112" spans="17:23" x14ac:dyDescent="0.25">
      <c r="T112" s="32">
        <f t="shared" si="23"/>
        <v>0.28000000000000003</v>
      </c>
      <c r="U112">
        <f t="shared" si="24"/>
        <v>0.31556817243432872</v>
      </c>
      <c r="V112">
        <f t="shared" si="22"/>
        <v>0.55664540519457684</v>
      </c>
      <c r="W112">
        <f t="shared" si="22"/>
        <v>0.76424340433560012</v>
      </c>
    </row>
    <row r="113" spans="20:23" x14ac:dyDescent="0.25">
      <c r="T113" s="32">
        <f t="shared" si="23"/>
        <v>0.31000000000000005</v>
      </c>
      <c r="U113">
        <f t="shared" si="24"/>
        <v>0.33691521474587255</v>
      </c>
      <c r="V113">
        <f t="shared" si="22"/>
        <v>0.55624250780220708</v>
      </c>
      <c r="W113">
        <f t="shared" si="22"/>
        <v>0.74636902588407805</v>
      </c>
    </row>
    <row r="114" spans="20:23" x14ac:dyDescent="0.25">
      <c r="T114" s="32">
        <f t="shared" si="23"/>
        <v>0.34000000000000008</v>
      </c>
      <c r="U114">
        <f t="shared" si="24"/>
        <v>0.35534321296000992</v>
      </c>
      <c r="V114">
        <f t="shared" si="22"/>
        <v>0.5563782498021479</v>
      </c>
      <c r="W114">
        <f t="shared" si="22"/>
        <v>0.73152185186317609</v>
      </c>
    </row>
    <row r="115" spans="20:23" x14ac:dyDescent="0.25">
      <c r="T115" s="32">
        <f t="shared" si="23"/>
        <v>0.37000000000000011</v>
      </c>
      <c r="U115">
        <f t="shared" si="24"/>
        <v>0.371461087262136</v>
      </c>
      <c r="V115">
        <f t="shared" si="22"/>
        <v>0.55692155904048835</v>
      </c>
      <c r="W115">
        <f t="shared" si="22"/>
        <v>0.71912139073199433</v>
      </c>
    </row>
    <row r="116" spans="20:23" x14ac:dyDescent="0.25">
      <c r="T116" s="32">
        <f t="shared" si="23"/>
        <v>0.40000000000000013</v>
      </c>
      <c r="U116">
        <f t="shared" si="24"/>
        <v>0.38572687774336722</v>
      </c>
      <c r="V116">
        <f t="shared" si="22"/>
        <v>0.5577805269395173</v>
      </c>
      <c r="W116">
        <f t="shared" si="22"/>
        <v>0.70871313913918665</v>
      </c>
    </row>
    <row r="117" spans="20:23" x14ac:dyDescent="0.25">
      <c r="T117" s="32">
        <f t="shared" si="23"/>
        <v>0.43000000000000016</v>
      </c>
      <c r="U117">
        <f t="shared" si="24"/>
        <v>0.39848909753777512</v>
      </c>
      <c r="V117">
        <f t="shared" si="22"/>
        <v>0.55888879276801617</v>
      </c>
      <c r="W117">
        <f t="shared" si="22"/>
        <v>0.69994119018712231</v>
      </c>
    </row>
    <row r="118" spans="20:23" x14ac:dyDescent="0.25">
      <c r="T118" s="32">
        <f t="shared" si="23"/>
        <v>0.46000000000000019</v>
      </c>
      <c r="U118">
        <f t="shared" si="24"/>
        <v>0.41001627764963999</v>
      </c>
      <c r="V118">
        <f t="shared" si="22"/>
        <v>0.56019723692929779</v>
      </c>
      <c r="W118">
        <f>_xlfn.NORM.S.DIST((LN(W$102/$B$67)+($F$69+$T118^2/2)*$R$103)/($T118*SQRT($R$103)),TRUE)</f>
        <v>0.69252534827306356</v>
      </c>
    </row>
    <row r="119" spans="20:23" x14ac:dyDescent="0.25">
      <c r="T119" s="32">
        <f t="shared" si="23"/>
        <v>0.49000000000000021</v>
      </c>
      <c r="U119">
        <f>_xlfn.NORM.S.DIST((LN(U$102/$B$67)+($F$69+$T119^2/2)*$R$103)/($T119*SQRT($R$103)),TRUE)</f>
        <v>0.42051794002730081</v>
      </c>
      <c r="V119">
        <f t="shared" si="24"/>
        <v>0.56166871635827409</v>
      </c>
      <c r="W119">
        <f t="shared" si="24"/>
        <v>0.68624331663074645</v>
      </c>
    </row>
    <row r="120" spans="20:23" x14ac:dyDescent="0.25">
      <c r="T120" s="32">
        <f t="shared" si="23"/>
        <v>0.52000000000000024</v>
      </c>
      <c r="U120">
        <f t="shared" si="24"/>
        <v>0.43015954992243566</v>
      </c>
      <c r="V120">
        <f t="shared" si="24"/>
        <v>0.56327461741619178</v>
      </c>
      <c r="W120">
        <f t="shared" si="24"/>
        <v>0.68091720042001347</v>
      </c>
    </row>
    <row r="121" spans="20:23" x14ac:dyDescent="0.25">
      <c r="T121" s="32">
        <f t="shared" si="23"/>
        <v>0.55000000000000027</v>
      </c>
      <c r="U121">
        <f t="shared" si="24"/>
        <v>0.43907327277788766</v>
      </c>
      <c r="V121">
        <f t="shared" si="24"/>
        <v>0.5649925342782024</v>
      </c>
      <c r="W121">
        <f t="shared" si="24"/>
        <v>0.67640336716741178</v>
      </c>
    </row>
    <row r="122" spans="20:23" x14ac:dyDescent="0.25">
      <c r="T122" s="32">
        <f t="shared" si="23"/>
        <v>0.58000000000000029</v>
      </c>
      <c r="U122">
        <f t="shared" si="24"/>
        <v>0.44736579905063473</v>
      </c>
      <c r="V122">
        <f t="shared" si="24"/>
        <v>0.56680466632027915</v>
      </c>
      <c r="W122">
        <f t="shared" si="24"/>
        <v>0.67258482886326509</v>
      </c>
    </row>
    <row r="123" spans="20:23" x14ac:dyDescent="0.25">
      <c r="T123" s="32">
        <f t="shared" si="23"/>
        <v>0.61000000000000032</v>
      </c>
      <c r="U123">
        <f t="shared" si="24"/>
        <v>0.45512410361928213</v>
      </c>
      <c r="V123">
        <f t="shared" si="24"/>
        <v>0.56869668752932578</v>
      </c>
      <c r="W123">
        <f t="shared" si="24"/>
        <v>0.66936549318940852</v>
      </c>
    </row>
    <row r="124" spans="20:23" x14ac:dyDescent="0.25">
      <c r="T124" s="32">
        <f t="shared" si="23"/>
        <v>0.64000000000000035</v>
      </c>
      <c r="U124">
        <f t="shared" si="24"/>
        <v>0.46241973529685265</v>
      </c>
      <c r="V124">
        <f t="shared" si="24"/>
        <v>0.57065693336162537</v>
      </c>
      <c r="W124">
        <f t="shared" si="24"/>
        <v>0.66666579632999168</v>
      </c>
    </row>
    <row r="125" spans="20:23" x14ac:dyDescent="0.25">
      <c r="T125" s="32">
        <f t="shared" si="23"/>
        <v>0.67000000000000037</v>
      </c>
      <c r="U125">
        <f t="shared" si="24"/>
        <v>0.46931204850008712</v>
      </c>
      <c r="V125">
        <f t="shared" si="24"/>
        <v>0.57267580572929999</v>
      </c>
      <c r="W125">
        <f t="shared" si="24"/>
        <v>0.66441935958918774</v>
      </c>
    </row>
    <row r="126" spans="20:23" x14ac:dyDescent="0.25">
      <c r="T126" s="32">
        <f t="shared" si="23"/>
        <v>0.7000000000000004</v>
      </c>
      <c r="U126">
        <f t="shared" si="24"/>
        <v>0.4758506648795045</v>
      </c>
      <c r="V126">
        <f t="shared" si="24"/>
        <v>0.57474533078280288</v>
      </c>
      <c r="W126">
        <f t="shared" si="24"/>
        <v>0.66257040878115336</v>
      </c>
    </row>
    <row r="127" spans="20:23" x14ac:dyDescent="0.25">
      <c r="T127" s="32">
        <f t="shared" si="23"/>
        <v>0.73000000000000043</v>
      </c>
      <c r="U127">
        <f t="shared" si="24"/>
        <v>0.48207736806631224</v>
      </c>
      <c r="V127">
        <f t="shared" si="24"/>
        <v>0.57685882559955926</v>
      </c>
      <c r="W127">
        <f t="shared" si="24"/>
        <v>0.66107176583246474</v>
      </c>
    </row>
    <row r="128" spans="20:23" x14ac:dyDescent="0.25">
      <c r="T128" s="32">
        <f t="shared" si="23"/>
        <v>0.76000000000000045</v>
      </c>
      <c r="U128">
        <f t="shared" si="24"/>
        <v>0.48802757652078599</v>
      </c>
      <c r="V128">
        <f t="shared" si="24"/>
        <v>0.57901064372707101</v>
      </c>
      <c r="W128">
        <f t="shared" si="24"/>
        <v>0.65988327292526394</v>
      </c>
    </row>
    <row r="129" spans="20:23" x14ac:dyDescent="0.25">
      <c r="T129" s="32">
        <f t="shared" si="23"/>
        <v>0.79000000000000048</v>
      </c>
      <c r="U129">
        <f t="shared" si="24"/>
        <v>0.49373149909077607</v>
      </c>
      <c r="V129">
        <f t="shared" si="24"/>
        <v>0.58119597864527839</v>
      </c>
      <c r="W129">
        <f t="shared" si="24"/>
        <v>0.65897054620019035</v>
      </c>
    </row>
    <row r="130" spans="20:23" x14ac:dyDescent="0.25">
      <c r="T130" s="32">
        <f t="shared" si="23"/>
        <v>0.82000000000000051</v>
      </c>
      <c r="U130">
        <f t="shared" si="24"/>
        <v>0.49921504956932805</v>
      </c>
      <c r="V130">
        <f t="shared" si="24"/>
        <v>0.58341071033222036</v>
      </c>
      <c r="W130">
        <f t="shared" si="24"/>
        <v>0.65830398256139788</v>
      </c>
    </row>
    <row r="131" spans="20:23" x14ac:dyDescent="0.25">
      <c r="T131" s="32">
        <f t="shared" si="23"/>
        <v>0.85000000000000053</v>
      </c>
      <c r="U131">
        <f t="shared" si="24"/>
        <v>0.5045005764655508</v>
      </c>
      <c r="V131">
        <f t="shared" si="24"/>
        <v>0.58565128429523994</v>
      </c>
      <c r="W131">
        <f t="shared" si="24"/>
        <v>0.65785796239335714</v>
      </c>
    </row>
    <row r="132" spans="20:23" x14ac:dyDescent="0.25">
      <c r="T132" s="32">
        <f t="shared" si="23"/>
        <v>0.88000000000000056</v>
      </c>
      <c r="U132">
        <f t="shared" si="24"/>
        <v>0.50960744982300832</v>
      </c>
      <c r="V132">
        <f t="shared" si="24"/>
        <v>0.58791461532789047</v>
      </c>
      <c r="W132">
        <f t="shared" si="24"/>
        <v>0.65761020508277257</v>
      </c>
    </row>
    <row r="133" spans="20:23" x14ac:dyDescent="0.25">
      <c r="T133" s="32">
        <f t="shared" si="23"/>
        <v>0.91000000000000059</v>
      </c>
      <c r="U133">
        <f>_xlfn.NORM.S.DIST((LN(U$102/$B$67)+($F$69+$T133^2/2)*$R$103)/($T133*SQRT($R$103)),TRUE)</f>
        <v>0.51455253651418165</v>
      </c>
      <c r="V133">
        <f>_xlfn.NORM.S.DIST((LN(V$102/$B$67)+($F$69+$T133^2/2)*$R$103)/($T133*SQRT($R$103)),TRUE)</f>
        <v>0.59019801029182428</v>
      </c>
      <c r="W133">
        <f>_xlfn.NORM.S.DIST((LN(W$102/$B$67)+($F$69+$T133^2/2)*$R$103)/($T133*SQRT($R$103)),TRUE)</f>
        <v>0.6575412446049298</v>
      </c>
    </row>
    <row r="134" spans="20:23" x14ac:dyDescent="0.25">
      <c r="T134" s="32">
        <f t="shared" si="23"/>
        <v>0.94000000000000061</v>
      </c>
      <c r="U134">
        <f t="shared" si="24"/>
        <v>0.51935058783538435</v>
      </c>
      <c r="V134">
        <f t="shared" si="24"/>
        <v>0.59249910567701103</v>
      </c>
      <c r="W134">
        <f t="shared" si="24"/>
        <v>0.65763400011908235</v>
      </c>
    </row>
    <row r="135" spans="20:23" x14ac:dyDescent="0.25">
      <c r="T135" s="32">
        <f t="shared" si="23"/>
        <v>0.97000000000000064</v>
      </c>
      <c r="U135">
        <f t="shared" si="24"/>
        <v>0.52401455761710847</v>
      </c>
      <c r="V135">
        <f t="shared" si="24"/>
        <v>0.59481581674339234</v>
      </c>
      <c r="W135">
        <f t="shared" si="24"/>
        <v>0.65787342225755319</v>
      </c>
    </row>
    <row r="136" spans="20:23" x14ac:dyDescent="0.25">
      <c r="T136" s="32">
        <f t="shared" ref="T136:T155" si="25">T135+$R$102</f>
        <v>1.0000000000000007</v>
      </c>
      <c r="U136">
        <f t="shared" ref="U136:W155" si="26">_xlfn.NORM.S.DIST((LN(U$102/$B$67)+($F$69+$T136^2/2)*$R$103)/($T136*SQRT($R$103)),TRUE)</f>
        <v>0.52855586488942274</v>
      </c>
      <c r="V136">
        <f t="shared" si="26"/>
        <v>0.59714629581366596</v>
      </c>
      <c r="W136">
        <f t="shared" si="26"/>
        <v>0.65824620011205226</v>
      </c>
    </row>
    <row r="137" spans="20:23" x14ac:dyDescent="0.25">
      <c r="T137" s="32">
        <f t="shared" si="25"/>
        <v>1.0300000000000007</v>
      </c>
      <c r="U137">
        <f t="shared" si="26"/>
        <v>0.53298461200733027</v>
      </c>
      <c r="V137">
        <f t="shared" si="26"/>
        <v>0.59948889785272685</v>
      </c>
      <c r="W137">
        <f t="shared" si="26"/>
        <v>0.6587405171938181</v>
      </c>
    </row>
    <row r="138" spans="20:23" x14ac:dyDescent="0.25">
      <c r="T138" s="32">
        <f t="shared" si="25"/>
        <v>1.0600000000000007</v>
      </c>
      <c r="U138">
        <f t="shared" si="26"/>
        <v>0.53730976676820885</v>
      </c>
      <c r="V138">
        <f t="shared" si="26"/>
        <v>0.60184215189111145</v>
      </c>
      <c r="W138">
        <f t="shared" si="26"/>
        <v>0.65934584714233679</v>
      </c>
    </row>
    <row r="139" spans="20:23" x14ac:dyDescent="0.25">
      <c r="T139" s="32">
        <f t="shared" si="25"/>
        <v>1.0900000000000007</v>
      </c>
      <c r="U139">
        <f t="shared" si="26"/>
        <v>0.54153931524334953</v>
      </c>
      <c r="V139">
        <f t="shared" si="26"/>
        <v>0.60420473716721479</v>
      </c>
      <c r="W139">
        <f t="shared" si="26"/>
        <v>0.66005278187718786</v>
      </c>
    </row>
    <row r="140" spans="20:23" x14ac:dyDescent="0.25">
      <c r="T140" s="32">
        <f t="shared" si="25"/>
        <v>1.1200000000000008</v>
      </c>
      <c r="U140">
        <f t="shared" si="26"/>
        <v>0.54568039065446072</v>
      </c>
      <c r="V140">
        <f t="shared" si="26"/>
        <v>0.60657546310400889</v>
      </c>
      <c r="W140">
        <f t="shared" si="26"/>
        <v>0.66085288637270356</v>
      </c>
    </row>
    <row r="141" spans="20:23" x14ac:dyDescent="0.25">
      <c r="T141" s="32">
        <f t="shared" si="25"/>
        <v>1.1500000000000008</v>
      </c>
      <c r="U141">
        <f t="shared" si="26"/>
        <v>0.54973938254925792</v>
      </c>
      <c r="V141">
        <f t="shared" si="26"/>
        <v>0.60895325242041176</v>
      </c>
      <c r="W141">
        <f t="shared" si="26"/>
        <v>0.66173857539137892</v>
      </c>
    </row>
    <row r="142" spans="20:23" x14ac:dyDescent="0.25">
      <c r="T142" s="32">
        <f t="shared" si="25"/>
        <v>1.1800000000000008</v>
      </c>
      <c r="U142">
        <f t="shared" si="26"/>
        <v>0.55372202969123341</v>
      </c>
      <c r="V142">
        <f t="shared" si="26"/>
        <v>0.61133712681971908</v>
      </c>
      <c r="W142">
        <f t="shared" si="26"/>
        <v>0.66270300841772412</v>
      </c>
    </row>
    <row r="143" spans="20:23" x14ac:dyDescent="0.25">
      <c r="T143" s="32">
        <f t="shared" si="25"/>
        <v>1.2100000000000009</v>
      </c>
      <c r="U143">
        <f t="shared" si="26"/>
        <v>0.55763349942069107</v>
      </c>
      <c r="V143">
        <f t="shared" si="26"/>
        <v>0.61372619480803614</v>
      </c>
      <c r="W143">
        <f t="shared" si="26"/>
        <v>0.6637399997479696</v>
      </c>
    </row>
    <row r="144" spans="20:23" x14ac:dyDescent="0.25">
      <c r="T144" s="32">
        <f t="shared" si="25"/>
        <v>1.2400000000000009</v>
      </c>
      <c r="U144">
        <f t="shared" si="26"/>
        <v>0.56147845572493815</v>
      </c>
      <c r="V144">
        <f t="shared" si="26"/>
        <v>0.61611964128213326</v>
      </c>
      <c r="W144">
        <f t="shared" si="26"/>
        <v>0.66484394125664781</v>
      </c>
    </row>
    <row r="145" spans="20:23" x14ac:dyDescent="0.25">
      <c r="T145" s="32">
        <f t="shared" si="25"/>
        <v>1.2700000000000009</v>
      </c>
      <c r="U145">
        <f t="shared" si="26"/>
        <v>0.56526111784344057</v>
      </c>
      <c r="V145">
        <f t="shared" si="26"/>
        <v>0.61851671859425084</v>
      </c>
      <c r="W145">
        <f t="shared" si="26"/>
        <v>0.66600973581175538</v>
      </c>
    </row>
    <row r="146" spans="20:23" x14ac:dyDescent="0.25">
      <c r="T146" s="32">
        <f t="shared" si="25"/>
        <v>1.3000000000000009</v>
      </c>
      <c r="U146">
        <f t="shared" si="26"/>
        <v>0.56898531090486948</v>
      </c>
      <c r="V146">
        <f t="shared" si="26"/>
        <v>0.62091673885534682</v>
      </c>
      <c r="W146">
        <f t="shared" si="26"/>
        <v>0.66723273967119312</v>
      </c>
    </row>
    <row r="147" spans="20:23" x14ac:dyDescent="0.25">
      <c r="T147" s="32">
        <f t="shared" si="25"/>
        <v>1.330000000000001</v>
      </c>
      <c r="U147">
        <f t="shared" si="26"/>
        <v>0.57265450982907229</v>
      </c>
      <c r="V147">
        <f t="shared" si="26"/>
        <v>0.62331906728130226</v>
      </c>
      <c r="W147">
        <f t="shared" si="26"/>
        <v>0.66850871248378385</v>
      </c>
    </row>
    <row r="148" spans="20:23" x14ac:dyDescent="0.25">
      <c r="T148" s="32">
        <f t="shared" si="25"/>
        <v>1.360000000000001</v>
      </c>
      <c r="U148">
        <f t="shared" si="26"/>
        <v>0.57627187751419306</v>
      </c>
      <c r="V148">
        <f t="shared" si="26"/>
        <v>0.62572311642107525</v>
      </c>
      <c r="W148">
        <f t="shared" si="26"/>
        <v>0.6698337737532496</v>
      </c>
    </row>
    <row r="149" spans="20:23" x14ac:dyDescent="0.25">
      <c r="T149" s="32">
        <f t="shared" si="25"/>
        <v>1.390000000000001</v>
      </c>
      <c r="U149">
        <f t="shared" si="26"/>
        <v>0.57984029815668425</v>
      </c>
      <c r="V149">
        <f t="shared" si="26"/>
        <v>0.62812834113358962</v>
      </c>
      <c r="W149">
        <f t="shared" si="26"/>
        <v>0.67120436481456158</v>
      </c>
    </row>
    <row r="150" spans="20:23" x14ac:dyDescent="0.25">
      <c r="T150" s="32">
        <f t="shared" si="25"/>
        <v>1.420000000000001</v>
      </c>
      <c r="U150">
        <f t="shared" si="26"/>
        <v>0.58336240641154236</v>
      </c>
      <c r="V150">
        <f t="shared" si="26"/>
        <v>0.63053423420264154</v>
      </c>
      <c r="W150">
        <f t="shared" si="26"/>
        <v>0.67261721552802822</v>
      </c>
    </row>
    <row r="151" spans="20:23" x14ac:dyDescent="0.25">
      <c r="T151" s="32">
        <f t="shared" si="25"/>
        <v>1.4500000000000011</v>
      </c>
      <c r="U151">
        <f t="shared" si="26"/>
        <v>0.58684061298524159</v>
      </c>
      <c r="V151">
        <f t="shared" si="26"/>
        <v>0.63294032249743326</v>
      </c>
      <c r="W151">
        <f t="shared" si="26"/>
        <v>0.6740693150243241</v>
      </c>
    </row>
    <row r="152" spans="20:23" x14ac:dyDescent="0.25">
      <c r="T152" s="32">
        <f t="shared" si="25"/>
        <v>1.4800000000000011</v>
      </c>
      <c r="U152">
        <f t="shared" si="26"/>
        <v>0.59027712715952074</v>
      </c>
      <c r="V152">
        <f t="shared" si="26"/>
        <v>0.63534616360131313</v>
      </c>
      <c r="W152">
        <f t="shared" si="26"/>
        <v>0.6755578859389022</v>
      </c>
    </row>
    <row r="153" spans="20:23" x14ac:dyDescent="0.25">
      <c r="T153" s="32">
        <f t="shared" si="25"/>
        <v>1.5100000000000011</v>
      </c>
      <c r="U153">
        <f t="shared" si="26"/>
        <v>0.593673976666374</v>
      </c>
      <c r="V153">
        <f t="shared" si="26"/>
        <v>0.63775134284360546</v>
      </c>
      <c r="W153">
        <f t="shared" si="26"/>
        <v>0.67708036166120467</v>
      </c>
    </row>
    <row r="154" spans="20:23" x14ac:dyDescent="0.25">
      <c r="T154" s="32">
        <f t="shared" si="25"/>
        <v>1.5400000000000011</v>
      </c>
      <c r="U154">
        <f t="shared" si="26"/>
        <v>0.59703302527018409</v>
      </c>
      <c r="V154">
        <f t="shared" si="26"/>
        <v>0.64015547067955691</v>
      </c>
      <c r="W154">
        <f t="shared" si="26"/>
        <v>0.67863436619623652</v>
      </c>
    </row>
    <row r="155" spans="20:23" x14ac:dyDescent="0.25">
      <c r="T155" s="32">
        <f t="shared" si="25"/>
        <v>1.5700000000000012</v>
      </c>
      <c r="U155">
        <f t="shared" si="26"/>
        <v>0.60035598835939374</v>
      </c>
      <c r="V155">
        <f t="shared" si="26"/>
        <v>0.64255818037182555</v>
      </c>
      <c r="W155">
        <f t="shared" si="26"/>
        <v>0.68021769629614592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</xdr:col>
                    <xdr:colOff>9525</xdr:colOff>
                    <xdr:row>67</xdr:row>
                    <xdr:rowOff>19050</xdr:rowOff>
                  </from>
                  <to>
                    <xdr:col>4</xdr:col>
                    <xdr:colOff>19050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0</xdr:col>
                    <xdr:colOff>590550</xdr:colOff>
                    <xdr:row>68</xdr:row>
                    <xdr:rowOff>9525</xdr:rowOff>
                  </from>
                  <to>
                    <xdr:col>3</xdr:col>
                    <xdr:colOff>600075</xdr:colOff>
                    <xdr:row>68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workbookViewId="0">
      <selection activeCell="X10" sqref="X10"/>
    </sheetView>
  </sheetViews>
  <sheetFormatPr defaultRowHeight="15" x14ac:dyDescent="0.25"/>
  <cols>
    <col min="21" max="21" width="16.140625" bestFit="1" customWidth="1"/>
  </cols>
  <sheetData>
    <row r="1" spans="1:21" x14ac:dyDescent="0.25">
      <c r="A1" t="s">
        <v>328</v>
      </c>
    </row>
    <row r="2" spans="1:21" x14ac:dyDescent="0.25">
      <c r="A2" t="s">
        <v>312</v>
      </c>
    </row>
    <row r="3" spans="1:21" x14ac:dyDescent="0.25">
      <c r="B3" t="s">
        <v>49</v>
      </c>
      <c r="C3" t="s">
        <v>313</v>
      </c>
      <c r="D3" t="s">
        <v>314</v>
      </c>
      <c r="E3" t="s">
        <v>315</v>
      </c>
      <c r="F3" t="s">
        <v>316</v>
      </c>
      <c r="G3" t="s">
        <v>317</v>
      </c>
      <c r="H3" t="s">
        <v>9</v>
      </c>
      <c r="I3" t="s">
        <v>318</v>
      </c>
      <c r="J3" t="s">
        <v>10</v>
      </c>
      <c r="K3" t="s">
        <v>319</v>
      </c>
      <c r="L3" t="s">
        <v>53</v>
      </c>
      <c r="M3" t="s">
        <v>320</v>
      </c>
      <c r="N3" t="s">
        <v>321</v>
      </c>
      <c r="O3" t="s">
        <v>322</v>
      </c>
      <c r="P3" t="s">
        <v>323</v>
      </c>
    </row>
    <row r="4" spans="1:21" x14ac:dyDescent="0.25">
      <c r="A4" t="s">
        <v>329</v>
      </c>
    </row>
    <row r="5" spans="1:21" x14ac:dyDescent="0.25">
      <c r="C5" t="s">
        <v>324</v>
      </c>
      <c r="D5" t="s">
        <v>325</v>
      </c>
      <c r="E5" t="s">
        <v>326</v>
      </c>
      <c r="F5" t="s">
        <v>9</v>
      </c>
      <c r="G5" t="s">
        <v>318</v>
      </c>
      <c r="H5" t="s">
        <v>10</v>
      </c>
      <c r="I5" t="s">
        <v>319</v>
      </c>
      <c r="J5" t="s">
        <v>314</v>
      </c>
      <c r="K5" t="s">
        <v>327</v>
      </c>
      <c r="L5" t="s">
        <v>9</v>
      </c>
      <c r="M5" t="s">
        <v>318</v>
      </c>
      <c r="N5" t="s">
        <v>10</v>
      </c>
      <c r="O5" t="s">
        <v>319</v>
      </c>
      <c r="P5" t="s">
        <v>324</v>
      </c>
      <c r="Q5" t="s">
        <v>325</v>
      </c>
      <c r="R5" t="s">
        <v>326</v>
      </c>
    </row>
    <row r="6" spans="1:21" x14ac:dyDescent="0.25">
      <c r="C6" t="str">
        <f>RTD("tos.rtd", , "IMPL_VOL", "./6EG5C1.14")</f>
        <v>12,32%</v>
      </c>
      <c r="D6" t="str">
        <f>RTD("tos.rtd", , "PROB_OTM", "./6EG5C1.14")</f>
        <v>30,85%</v>
      </c>
      <c r="E6">
        <f>RTD("tos.rtd", , "DELTA", "./6EG5C1.14")</f>
        <v>0.7</v>
      </c>
      <c r="F6">
        <f>RTD("tos.rtd", , "BID", "./6EG5C1.14")</f>
        <v>2.6599999999999999E-2</v>
      </c>
      <c r="G6" t="str">
        <f>RTD("tos.rtd", , "BX", "./6EG5C1.14")</f>
        <v>G</v>
      </c>
      <c r="H6">
        <f>RTD("tos.rtd", , "ASK", "./6EG5C1.14")</f>
        <v>2.7199999999999998E-2</v>
      </c>
      <c r="I6" t="str">
        <f>RTD("tos.rtd", , "AX", "./6EG5C1.14")</f>
        <v>G</v>
      </c>
      <c r="J6" t="str">
        <f>RTD("tos.rtd", , "EXPIRATION_DAY", "./6EG5C1.14")</f>
        <v>07.02.2015</v>
      </c>
      <c r="K6">
        <f>RTD("tos.rtd", , "STRIKE", "./6EG5C1.14")</f>
        <v>1.1399999999999999</v>
      </c>
      <c r="L6">
        <f>RTD("tos.rtd", , "BID", "./6EG5P1.14")</f>
        <v>9.4000000000000004E-3</v>
      </c>
      <c r="M6" t="str">
        <f>RTD("tos.rtd", , "BX", "./6EG5P1.14")</f>
        <v>G</v>
      </c>
      <c r="N6">
        <f>RTD("tos.rtd", , "ASK", "./6EG5P1.14")</f>
        <v>9.7000000000000003E-3</v>
      </c>
      <c r="O6" t="str">
        <f>RTD("tos.rtd", , "AX", "./6EG5P1.14")</f>
        <v>G</v>
      </c>
      <c r="P6" t="str">
        <f>RTD("tos.rtd", , "IMPL_VOL", "./6EG5P1.14")</f>
        <v>7,21%</v>
      </c>
      <c r="Q6" t="str">
        <f>RTD("tos.rtd", , "PROB_OTM", "./6EG5P1.14")</f>
        <v>80,79%</v>
      </c>
      <c r="R6">
        <f>RTD("tos.rtd", , "DELTA", "./6EG5P1.14")</f>
        <v>-0.14000000000000001</v>
      </c>
    </row>
    <row r="7" spans="1:21" x14ac:dyDescent="0.25">
      <c r="C7" t="str">
        <f>RTD("tos.rtd", , "IMPL_VOL", "./6EG5C1.145")</f>
        <v>10,79%</v>
      </c>
      <c r="D7" t="str">
        <f>RTD("tos.rtd", , "PROB_OTM", "./6EG5C1.145")</f>
        <v>34,25%</v>
      </c>
      <c r="E7">
        <f>RTD("tos.rtd", , "DELTA", "./6EG5C1.145")</f>
        <v>0.66</v>
      </c>
      <c r="F7">
        <f>RTD("tos.rtd", , "BID", "./6EG5C1.145")</f>
        <v>2.3199999999999998E-2</v>
      </c>
      <c r="G7" t="str">
        <f>RTD("tos.rtd", , "BX", "./6EG5C1.145")</f>
        <v>G</v>
      </c>
      <c r="H7">
        <f>RTD("tos.rtd", , "ASK", "./6EG5C1.145")</f>
        <v>2.3900000000000001E-2</v>
      </c>
      <c r="I7" t="str">
        <f>RTD("tos.rtd", , "AX", "./6EG5C1.145")</f>
        <v>G</v>
      </c>
      <c r="J7" t="str">
        <f>RTD("tos.rtd", , "EXPIRATION_DAY", "./6EG5C1.145")</f>
        <v>07.02.2015</v>
      </c>
      <c r="K7">
        <f>RTD("tos.rtd", , "STRIKE", "./6EG5C1.145")</f>
        <v>1.145</v>
      </c>
      <c r="L7">
        <f>RTD("tos.rtd", , "BID", "./6EG5P1.145")</f>
        <v>1.0999999999999999E-2</v>
      </c>
      <c r="M7" t="str">
        <f>RTD("tos.rtd", , "BX", "./6EG5P1.145")</f>
        <v>G</v>
      </c>
      <c r="N7">
        <f>RTD("tos.rtd", , "ASK", "./6EG5P1.145")</f>
        <v>1.14E-2</v>
      </c>
      <c r="O7" t="str">
        <f>RTD("tos.rtd", , "AX", "./6EG5P1.145")</f>
        <v>G</v>
      </c>
      <c r="P7" t="str">
        <f>RTD("tos.rtd", , "IMPL_VOL", "./6EG5P1.145")</f>
        <v>6,28%</v>
      </c>
      <c r="Q7" t="str">
        <f>RTD("tos.rtd", , "PROB_OTM", "./6EG5P1.145")</f>
        <v>76,16%</v>
      </c>
      <c r="R7">
        <f>RTD("tos.rtd", , "DELTA", "./6EG5P1.145")</f>
        <v>-0.16</v>
      </c>
    </row>
    <row r="8" spans="1:21" x14ac:dyDescent="0.25">
      <c r="C8" t="str">
        <f>RTD("tos.rtd", , "IMPL_VOL", "./6EG5C1.15")</f>
        <v>9,52%</v>
      </c>
      <c r="D8" t="str">
        <f>RTD("tos.rtd", , "PROB_OTM", "./6EG5C1.15")</f>
        <v>39,28%</v>
      </c>
      <c r="E8">
        <f>RTD("tos.rtd", , "DELTA", "./6EG5C1.15")</f>
        <v>0.61</v>
      </c>
      <c r="F8">
        <f>RTD("tos.rtd", , "BID", "./6EG5C1.15")</f>
        <v>0.02</v>
      </c>
      <c r="G8" t="str">
        <f>RTD("tos.rtd", , "BX", "./6EG5C1.15")</f>
        <v>G</v>
      </c>
      <c r="H8">
        <f>RTD("tos.rtd", , "ASK", "./6EG5C1.15")</f>
        <v>2.07E-2</v>
      </c>
      <c r="I8" t="str">
        <f>RTD("tos.rtd", , "AX", "./6EG5C1.15")</f>
        <v>G</v>
      </c>
      <c r="J8" t="str">
        <f>RTD("tos.rtd", , "EXPIRATION_DAY", "./6EG5C1.15")</f>
        <v>07.02.2015</v>
      </c>
      <c r="K8">
        <f>RTD("tos.rtd", , "STRIKE", "./6EG5C1.15")</f>
        <v>1.1499999999999999</v>
      </c>
      <c r="L8">
        <f>RTD("tos.rtd", , "BID", "./6EG5P1.15")</f>
        <v>5.0000000000000002E-5</v>
      </c>
      <c r="M8" t="str">
        <f>RTD("tos.rtd", , "BX", "./6EG5P1.15")</f>
        <v>G</v>
      </c>
      <c r="N8">
        <f>RTD("tos.rtd", , "ASK", "./6EG5P1.15")</f>
        <v>1.3299999999999999E-2</v>
      </c>
      <c r="O8" t="str">
        <f>RTD("tos.rtd", , "AX", "./6EG5P1.15")</f>
        <v>G</v>
      </c>
      <c r="P8" t="str">
        <f>RTD("tos.rtd", , "IMPL_VOL", "./6EG5P1.15")</f>
        <v>6,21%</v>
      </c>
      <c r="Q8" t="str">
        <f>RTD("tos.rtd", , "PROB_OTM", "./6EG5P1.15")</f>
        <v>66,54%</v>
      </c>
      <c r="R8">
        <f>RTD("tos.rtd", , "DELTA", "./6EG5P1.15")</f>
        <v>-0.24</v>
      </c>
    </row>
    <row r="9" spans="1:21" x14ac:dyDescent="0.25">
      <c r="C9" t="str">
        <f>RTD("tos.rtd", , "IMPL_VOL", "./6EG5C1.155")</f>
        <v>9,74%</v>
      </c>
      <c r="D9" t="str">
        <f>RTD("tos.rtd", , "PROB_OTM", "./6EG5C1.155")</f>
        <v>46,82%</v>
      </c>
      <c r="E9">
        <f>RTD("tos.rtd", , "DELTA", "./6EG5C1.155")</f>
        <v>0.54</v>
      </c>
      <c r="F9">
        <f>RTD("tos.rtd", , "BID", "./6EG5C1.155")</f>
        <v>1.72E-2</v>
      </c>
      <c r="G9" t="str">
        <f>RTD("tos.rtd", , "BX", "./6EG5C1.155")</f>
        <v>G</v>
      </c>
      <c r="H9">
        <f>RTD("tos.rtd", , "ASK", "./6EG5C1.155")</f>
        <v>1.78E-2</v>
      </c>
      <c r="I9" t="str">
        <f>RTD("tos.rtd", , "AX", "./6EG5C1.155")</f>
        <v>G</v>
      </c>
      <c r="J9" t="str">
        <f>RTD("tos.rtd", , "EXPIRATION_DAY", "./6EG5C1.155")</f>
        <v>07.02.2015</v>
      </c>
      <c r="K9">
        <f>RTD("tos.rtd", , "STRIKE", "./6EG5C1.155")</f>
        <v>1.155</v>
      </c>
      <c r="L9">
        <f>RTD("tos.rtd", , "BID", "./6EG5P1.155")</f>
        <v>1.4999999999999999E-2</v>
      </c>
      <c r="M9" t="str">
        <f>RTD("tos.rtd", , "BX", "./6EG5P1.155")</f>
        <v>G</v>
      </c>
      <c r="N9">
        <f>RTD("tos.rtd", , "ASK", "./6EG5P1.155")</f>
        <v>1.54E-2</v>
      </c>
      <c r="O9" t="str">
        <f>RTD("tos.rtd", , "AX", "./6EG5P1.155")</f>
        <v>G</v>
      </c>
      <c r="P9" t="str">
        <f>RTD("tos.rtd", , "IMPL_VOL", "./6EG5P1.155")</f>
        <v>7,58%</v>
      </c>
      <c r="Q9" t="str">
        <f>RTD("tos.rtd", , "PROB_OTM", "./6EG5P1.155")</f>
        <v>54,31%</v>
      </c>
      <c r="R9">
        <f>RTD("tos.rtd", , "DELTA", "./6EG5P1.155")</f>
        <v>-0.36</v>
      </c>
    </row>
    <row r="10" spans="1:21" x14ac:dyDescent="0.25">
      <c r="C10" t="str">
        <f>RTD("tos.rtd", , "IMPL_VOL", "./6EG5C1.16")</f>
        <v>10,86%</v>
      </c>
      <c r="D10" t="str">
        <f>RTD("tos.rtd", , "PROB_OTM", "./6EG5C1.16")</f>
        <v>53,86%</v>
      </c>
      <c r="E10">
        <f>RTD("tos.rtd", , "DELTA", "./6EG5C1.16")</f>
        <v>0.47</v>
      </c>
      <c r="F10">
        <f>RTD("tos.rtd", , "BID", "./6EG5C1.16")</f>
        <v>1.46E-2</v>
      </c>
      <c r="G10" t="str">
        <f>RTD("tos.rtd", , "BX", "./6EG5C1.16")</f>
        <v>G</v>
      </c>
      <c r="H10">
        <f>RTD("tos.rtd", , "ASK", "./6EG5C1.16")</f>
        <v>1.5100000000000001E-2</v>
      </c>
      <c r="I10" t="str">
        <f>RTD("tos.rtd", , "AX", "./6EG5C1.16")</f>
        <v>G</v>
      </c>
      <c r="J10" t="str">
        <f>RTD("tos.rtd", , "EXPIRATION_DAY", "./6EG5C1.16")</f>
        <v>07.02.2015</v>
      </c>
      <c r="K10">
        <f>RTD("tos.rtd", , "STRIKE", "./6EG5C1.16")</f>
        <v>1.1599999999999999</v>
      </c>
      <c r="L10">
        <f>RTD("tos.rtd", , "BID", "./6EG5P1.16")</f>
        <v>6.9999999999999999E-4</v>
      </c>
      <c r="M10" t="str">
        <f>RTD("tos.rtd", , "BX", "./6EG5P1.16")</f>
        <v>G</v>
      </c>
      <c r="N10">
        <f>RTD("tos.rtd", , "ASK", "./6EG5P1.16")</f>
        <v>2.1999999999999999E-2</v>
      </c>
      <c r="O10" t="str">
        <f>RTD("tos.rtd", , "AX", "./6EG5P1.16")</f>
        <v>G</v>
      </c>
      <c r="P10" t="str">
        <f>RTD("tos.rtd", , "IMPL_VOL", "./6EG5P1.16")</f>
        <v>9,60%</v>
      </c>
      <c r="Q10" t="str">
        <f>RTD("tos.rtd", , "PROB_OTM", "./6EG5P1.16")</f>
        <v>45,76%</v>
      </c>
      <c r="R10">
        <f>RTD("tos.rtd", , "DELTA", "./6EG5P1.16")</f>
        <v>-0.46</v>
      </c>
    </row>
    <row r="11" spans="1:21" x14ac:dyDescent="0.25">
      <c r="C11" t="str">
        <f>RTD("tos.rtd", , "IMPL_VOL", "./6EG5C1.165")</f>
        <v>11,99%</v>
      </c>
      <c r="D11" t="str">
        <f>RTD("tos.rtd", , "PROB_OTM", "./6EG5C1.165")</f>
        <v>59,48%</v>
      </c>
      <c r="E11">
        <f>RTD("tos.rtd", , "DELTA", "./6EG5C1.165")</f>
        <v>0.42</v>
      </c>
      <c r="F11">
        <f>RTD("tos.rtd", , "BID", "./6EG5C1.165")</f>
        <v>1.2200000000000001E-2</v>
      </c>
      <c r="G11" t="str">
        <f>RTD("tos.rtd", , "BX", "./6EG5C1.165")</f>
        <v>G</v>
      </c>
      <c r="H11">
        <f>RTD("tos.rtd", , "ASK", "./6EG5C1.165")</f>
        <v>1.2699999999999999E-2</v>
      </c>
      <c r="I11" t="str">
        <f>RTD("tos.rtd", , "AX", "./6EG5C1.165")</f>
        <v>G</v>
      </c>
      <c r="J11" t="str">
        <f>RTD("tos.rtd", , "EXPIRATION_DAY", "./6EG5C1.165")</f>
        <v>07.02.2015</v>
      </c>
      <c r="K11">
        <f>RTD("tos.rtd", , "STRIKE", "./6EG5C1.165")</f>
        <v>1.165</v>
      </c>
      <c r="L11">
        <f>RTD("tos.rtd", , "BID", "./6EG5P1.165")</f>
        <v>1.9800000000000002E-2</v>
      </c>
      <c r="M11" t="str">
        <f>RTD("tos.rtd", , "BX", "./6EG5P1.165")</f>
        <v>G</v>
      </c>
      <c r="N11">
        <f>RTD("tos.rtd", , "ASK", "./6EG5P1.165")</f>
        <v>2.0500000000000001E-2</v>
      </c>
      <c r="O11" t="str">
        <f>RTD("tos.rtd", , "AX", "./6EG5P1.165")</f>
        <v>G</v>
      </c>
      <c r="P11" t="str">
        <f>RTD("tos.rtd", , "IMPL_VOL", "./6EG5P1.165")</f>
        <v>11,34%</v>
      </c>
      <c r="Q11" t="str">
        <f>RTD("tos.rtd", , "PROB_OTM", "./6EG5P1.165")</f>
        <v>40,04%</v>
      </c>
      <c r="R11">
        <f>RTD("tos.rtd", , "DELTA", "./6EG5P1.165")</f>
        <v>-0.53</v>
      </c>
    </row>
    <row r="12" spans="1:21" x14ac:dyDescent="0.25">
      <c r="C12" t="str">
        <f>RTD("tos.rtd", , "IMPL_VOL", "./6EG5C1.17")</f>
        <v>12,83%</v>
      </c>
      <c r="D12" t="str">
        <f>RTD("tos.rtd", , "PROB_OTM", "./6EG5C1.17")</f>
        <v>64,26%</v>
      </c>
      <c r="E12">
        <f>RTD("tos.rtd", , "DELTA", "./6EG5C1.17")</f>
        <v>0.37</v>
      </c>
      <c r="F12">
        <f>RTD("tos.rtd", , "BID", "./6EG5C1.17")</f>
        <v>1.01E-2</v>
      </c>
      <c r="G12" t="str">
        <f>RTD("tos.rtd", , "BX", "./6EG5C1.17")</f>
        <v>G</v>
      </c>
      <c r="H12">
        <f>RTD("tos.rtd", , "ASK", "./6EG5C1.17")</f>
        <v>1.2999999999999999E-2</v>
      </c>
      <c r="I12" t="str">
        <f>RTD("tos.rtd", , "AX", "./6EG5C1.17")</f>
        <v>G</v>
      </c>
      <c r="J12" t="str">
        <f>RTD("tos.rtd", , "EXPIRATION_DAY", "./6EG5C1.17")</f>
        <v>07.02.2015</v>
      </c>
      <c r="K12">
        <f>RTD("tos.rtd", , "STRIKE", "./6EG5C1.17")</f>
        <v>1.17</v>
      </c>
      <c r="L12">
        <f>RTD("tos.rtd", , "BID", "./6EG5P1.17")</f>
        <v>2.9999999999999997E-4</v>
      </c>
      <c r="M12" t="str">
        <f>RTD("tos.rtd", , "BX", "./6EG5P1.17")</f>
        <v>G</v>
      </c>
      <c r="N12">
        <f>RTD("tos.rtd", , "ASK", "./6EG5P1.17")</f>
        <v>2.3300000000000001E-2</v>
      </c>
      <c r="O12" t="str">
        <f>RTD("tos.rtd", , "AX", "./6EG5P1.17")</f>
        <v>G</v>
      </c>
      <c r="P12" t="str">
        <f>RTD("tos.rtd", , "IMPL_VOL", "./6EG5P1.17")</f>
        <v>12,80%</v>
      </c>
      <c r="Q12" t="str">
        <f>RTD("tos.rtd", , "PROB_OTM", "./6EG5P1.17")</f>
        <v>35,71%</v>
      </c>
      <c r="R12">
        <f>RTD("tos.rtd", , "DELTA", "./6EG5P1.17")</f>
        <v>-0.57999999999999996</v>
      </c>
    </row>
    <row r="13" spans="1:21" x14ac:dyDescent="0.25">
      <c r="C13" t="str">
        <f>RTD("tos.rtd", , "IMPL_VOL", "./6EG5C1.175")</f>
        <v>13,59%</v>
      </c>
      <c r="D13" t="str">
        <f>RTD("tos.rtd", , "PROB_OTM", "./6EG5C1.175")</f>
        <v>68,36%</v>
      </c>
      <c r="E13">
        <f>RTD("tos.rtd", , "DELTA", "./6EG5C1.175")</f>
        <v>0.33</v>
      </c>
      <c r="F13">
        <f>RTD("tos.rtd", , "BID", "./6EG5C1.175")</f>
        <v>8.3000000000000001E-3</v>
      </c>
      <c r="G13" t="str">
        <f>RTD("tos.rtd", , "BX", "./6EG5C1.175")</f>
        <v>G</v>
      </c>
      <c r="H13">
        <f>RTD("tos.rtd", , "ASK", "./6EG5C1.175")</f>
        <v>8.6999999999999994E-3</v>
      </c>
      <c r="I13" t="str">
        <f>RTD("tos.rtd", , "AX", "./6EG5C1.175")</f>
        <v>G</v>
      </c>
      <c r="J13" t="str">
        <f>RTD("tos.rtd", , "EXPIRATION_DAY", "./6EG5C1.175")</f>
        <v>07.02.2015</v>
      </c>
      <c r="K13">
        <f>RTD("tos.rtd", , "STRIKE", "./6EG5C1.175")</f>
        <v>1.175</v>
      </c>
      <c r="L13">
        <f>RTD("tos.rtd", , "BID", "./6EG5P1.175")</f>
        <v>2.58E-2</v>
      </c>
      <c r="M13" t="str">
        <f>RTD("tos.rtd", , "BX", "./6EG5P1.175")</f>
        <v>G</v>
      </c>
      <c r="N13">
        <f>RTD("tos.rtd", , "ASK", "./6EG5P1.175")</f>
        <v>2.6499999999999999E-2</v>
      </c>
      <c r="O13" t="str">
        <f>RTD("tos.rtd", , "AX", "./6EG5P1.175")</f>
        <v>G</v>
      </c>
      <c r="P13" t="str">
        <f>RTD("tos.rtd", , "IMPL_VOL", "./6EG5P1.175")</f>
        <v>14,24%</v>
      </c>
      <c r="Q13" t="str">
        <f>RTD("tos.rtd", , "PROB_OTM", "./6EG5P1.175")</f>
        <v>32,37%</v>
      </c>
      <c r="R13">
        <f>RTD("tos.rtd", , "DELTA", "./6EG5P1.175")</f>
        <v>-0.61</v>
      </c>
    </row>
    <row r="14" spans="1:21" x14ac:dyDescent="0.25">
      <c r="A14" t="s">
        <v>330</v>
      </c>
    </row>
    <row r="15" spans="1:21" x14ac:dyDescent="0.25">
      <c r="C15" t="s">
        <v>324</v>
      </c>
      <c r="D15" t="s">
        <v>325</v>
      </c>
      <c r="E15" t="s">
        <v>326</v>
      </c>
      <c r="F15" t="s">
        <v>9</v>
      </c>
      <c r="G15" t="s">
        <v>318</v>
      </c>
      <c r="H15" t="s">
        <v>10</v>
      </c>
      <c r="I15" t="s">
        <v>319</v>
      </c>
      <c r="J15" t="s">
        <v>314</v>
      </c>
      <c r="K15" t="s">
        <v>327</v>
      </c>
      <c r="L15" t="s">
        <v>9</v>
      </c>
      <c r="M15" t="s">
        <v>318</v>
      </c>
      <c r="N15" t="s">
        <v>10</v>
      </c>
      <c r="O15" t="s">
        <v>319</v>
      </c>
      <c r="P15" t="s">
        <v>324</v>
      </c>
      <c r="Q15" t="s">
        <v>325</v>
      </c>
      <c r="R15" t="s">
        <v>326</v>
      </c>
    </row>
    <row r="16" spans="1:21" x14ac:dyDescent="0.25">
      <c r="C16" t="str">
        <f>RTD("tos.rtd", , "IMPL_VOL", "./6EH5C1.14")</f>
        <v>8,27%</v>
      </c>
      <c r="D16" t="str">
        <f>RTD("tos.rtd", , "PROB_OTM", "./6EH5C1.14")</f>
        <v>31,10%</v>
      </c>
      <c r="E16">
        <f>RTD("tos.rtd", , "DELTA", "./6EH5C1.14")</f>
        <v>0.7</v>
      </c>
      <c r="F16">
        <f>RTD("tos.rtd", , "BID", "./6EH5C1.14")</f>
        <v>3.1800000000000002E-2</v>
      </c>
      <c r="G16" t="str">
        <f>RTD("tos.rtd", , "BX", "./6EH5C1.14")</f>
        <v>G</v>
      </c>
      <c r="H16">
        <f>RTD("tos.rtd", , "ASK", "./6EH5C1.14")</f>
        <v>3.2399999999999998E-2</v>
      </c>
      <c r="I16" t="str">
        <f>RTD("tos.rtd", , "AX", "./6EH5C1.14")</f>
        <v>G</v>
      </c>
      <c r="J16" t="str">
        <f>RTD("tos.rtd", , "EXPIRATION_DAY", "./6EH5C1.14")</f>
        <v>07.03.2015</v>
      </c>
      <c r="K16">
        <f>RTD("tos.rtd", , "STRIKE", "./6EH5C1.14")</f>
        <v>1.1399999999999999</v>
      </c>
      <c r="L16">
        <f>RTD("tos.rtd", , "BID", "./6EH5P1.14")</f>
        <v>1.46E-2</v>
      </c>
      <c r="M16" t="str">
        <f>RTD("tos.rtd", , "BX", "./6EH5P1.14")</f>
        <v>G</v>
      </c>
      <c r="N16">
        <f>RTD("tos.rtd", , "ASK", "./6EH5P1.14")</f>
        <v>1.49E-2</v>
      </c>
      <c r="O16" t="str">
        <f>RTD("tos.rtd", , "AX", "./6EH5P1.14")</f>
        <v>G</v>
      </c>
      <c r="P16" t="str">
        <f>RTD("tos.rtd", , "IMPL_VOL", "./6EH5P1.14")</f>
        <v>6,83%</v>
      </c>
      <c r="Q16" t="str">
        <f>RTD("tos.rtd", , "PROB_OTM", "./6EH5P1.14")</f>
        <v>72,69%</v>
      </c>
      <c r="R16">
        <f>RTD("tos.rtd", , "DELTA", "./6EH5P1.14")</f>
        <v>-0.22</v>
      </c>
      <c r="T16">
        <f>H16+(K16-1.1576)*EXP(-0.0025*48/365)</f>
        <v>1.4805785350301203E-2</v>
      </c>
      <c r="U16" s="39">
        <f>T16-N16</f>
        <v>-9.4214649698796948E-5</v>
      </c>
    </row>
    <row r="17" spans="1:21" x14ac:dyDescent="0.25">
      <c r="C17" t="str">
        <f>RTD("tos.rtd", , "IMPL_VOL", "./6EH5C1.145")</f>
        <v>7,26%</v>
      </c>
      <c r="D17" t="str">
        <f>RTD("tos.rtd", , "PROB_OTM", "./6EH5C1.145")</f>
        <v>34,41%</v>
      </c>
      <c r="E17">
        <f>RTD("tos.rtd", , "DELTA", "./6EH5C1.145")</f>
        <v>0.66</v>
      </c>
      <c r="F17">
        <f>RTD("tos.rtd", , "BID", "./6EH5C1.145")</f>
        <v>2.8500000000000001E-2</v>
      </c>
      <c r="G17" t="str">
        <f>RTD("tos.rtd", , "BX", "./6EH5C1.145")</f>
        <v>G</v>
      </c>
      <c r="H17">
        <f>RTD("tos.rtd", , "ASK", "./6EH5C1.145")</f>
        <v>2.9100000000000001E-2</v>
      </c>
      <c r="I17" t="str">
        <f>RTD("tos.rtd", , "AX", "./6EH5C1.145")</f>
        <v>G</v>
      </c>
      <c r="J17" t="str">
        <f>RTD("tos.rtd", , "EXPIRATION_DAY", "./6EH5C1.145")</f>
        <v>07.03.2015</v>
      </c>
      <c r="K17">
        <f>RTD("tos.rtd", , "STRIKE", "./6EH5C1.145")</f>
        <v>1.145</v>
      </c>
      <c r="L17">
        <f>RTD("tos.rtd", , "BID", "./6EH5P1.145")</f>
        <v>5.1999999999999998E-3</v>
      </c>
      <c r="M17" t="str">
        <f>RTD("tos.rtd", , "BX", "./6EH5P1.145")</f>
        <v>G</v>
      </c>
      <c r="N17">
        <f>RTD("tos.rtd", , "ASK", "./6EH5P1.145")</f>
        <v>1.67E-2</v>
      </c>
      <c r="O17" t="str">
        <f>RTD("tos.rtd", , "AX", "./6EH5P1.145")</f>
        <v>G</v>
      </c>
      <c r="P17" t="str">
        <f>RTD("tos.rtd", , "IMPL_VOL", "./6EH5P1.145")</f>
        <v>7,63%</v>
      </c>
      <c r="Q17" t="str">
        <f>RTD("tos.rtd", , "PROB_OTM", "./6EH5P1.145")</f>
        <v>64,81%</v>
      </c>
      <c r="R17">
        <f>RTD("tos.rtd", , "DELTA", "./6EH5P1.145")</f>
        <v>-0.28999999999999998</v>
      </c>
      <c r="T17">
        <f t="shared" ref="T17:T23" si="0">H17+(K17-1.1576)*EXP(-0.0025*48/365)</f>
        <v>1.6504141784874825E-2</v>
      </c>
      <c r="U17" s="39">
        <f t="shared" ref="U17:U23" si="1">T17-N17</f>
        <v>-1.9585821512517476E-4</v>
      </c>
    </row>
    <row r="18" spans="1:21" x14ac:dyDescent="0.25">
      <c r="C18" t="str">
        <f>RTD("tos.rtd", , "IMPL_VOL", "./6EH5C1.15")</f>
        <v>6,36%</v>
      </c>
      <c r="D18" t="str">
        <f>RTD("tos.rtd", , "PROB_OTM", "./6EH5C1.15")</f>
        <v>39,18%</v>
      </c>
      <c r="E18">
        <f>RTD("tos.rtd", , "DELTA", "./6EH5C1.15")</f>
        <v>0.62</v>
      </c>
      <c r="F18">
        <f>RTD("tos.rtd", , "BID", "./6EH5C1.15")</f>
        <v>2.5499999999999998E-2</v>
      </c>
      <c r="G18" t="str">
        <f>RTD("tos.rtd", , "BX", "./6EH5C1.15")</f>
        <v>G</v>
      </c>
      <c r="H18">
        <f>RTD("tos.rtd", , "ASK", "./6EH5C1.15")</f>
        <v>2.5999999999999999E-2</v>
      </c>
      <c r="I18" t="str">
        <f>RTD("tos.rtd", , "AX", "./6EH5C1.15")</f>
        <v>G</v>
      </c>
      <c r="J18" t="str">
        <f>RTD("tos.rtd", , "EXPIRATION_DAY", "./6EH5C1.15")</f>
        <v>07.03.2015</v>
      </c>
      <c r="K18">
        <f>RTD("tos.rtd", , "STRIKE", "./6EH5C1.15")</f>
        <v>1.1499999999999999</v>
      </c>
      <c r="L18">
        <f>RTD("tos.rtd", , "BID", "./6EH5P1.15")</f>
        <v>1.4E-2</v>
      </c>
      <c r="M18" t="str">
        <f>RTD("tos.rtd", , "BX", "./6EH5P1.15")</f>
        <v>G</v>
      </c>
      <c r="N18">
        <f>RTD("tos.rtd", , "ASK", "./6EH5P1.15")</f>
        <v>1.8599999999999998E-2</v>
      </c>
      <c r="O18" t="str">
        <f>RTD("tos.rtd", , "AX", "./6EH5P1.15")</f>
        <v>G</v>
      </c>
      <c r="P18" t="str">
        <f>RTD("tos.rtd", , "IMPL_VOL", "./6EH5P1.15")</f>
        <v>8,95%</v>
      </c>
      <c r="Q18" t="str">
        <f>RTD("tos.rtd", , "PROB_OTM", "./6EH5P1.15")</f>
        <v>57,41%</v>
      </c>
      <c r="R18">
        <f>RTD("tos.rtd", , "DELTA", "./6EH5P1.15")</f>
        <v>-0.36</v>
      </c>
      <c r="T18">
        <f t="shared" si="0"/>
        <v>1.840249821944822E-2</v>
      </c>
      <c r="U18" s="39">
        <f t="shared" si="1"/>
        <v>-1.9750178055177869E-4</v>
      </c>
    </row>
    <row r="19" spans="1:21" x14ac:dyDescent="0.25">
      <c r="C19" t="str">
        <f>RTD("tos.rtd", , "IMPL_VOL", "./6EH5C1.155")</f>
        <v>6,39%</v>
      </c>
      <c r="D19" t="str">
        <f>RTD("tos.rtd", , "PROB_OTM", "./6EH5C1.155")</f>
        <v>46,51%</v>
      </c>
      <c r="E19">
        <f>RTD("tos.rtd", , "DELTA", "./6EH5C1.155")</f>
        <v>0.54</v>
      </c>
      <c r="F19">
        <f>RTD("tos.rtd", , "BID", "./6EH5C1.155")</f>
        <v>2.2599999999999999E-2</v>
      </c>
      <c r="G19" t="str">
        <f>RTD("tos.rtd", , "BX", "./6EH5C1.155")</f>
        <v>G</v>
      </c>
      <c r="H19">
        <f>RTD("tos.rtd", , "ASK", "./6EH5C1.155")</f>
        <v>2.3099999999999999E-2</v>
      </c>
      <c r="I19" t="str">
        <f>RTD("tos.rtd", , "AX", "./6EH5C1.155")</f>
        <v>G</v>
      </c>
      <c r="J19" t="str">
        <f>RTD("tos.rtd", , "EXPIRATION_DAY", "./6EH5C1.155")</f>
        <v>07.03.2015</v>
      </c>
      <c r="K19">
        <f>RTD("tos.rtd", , "STRIKE", "./6EH5C1.155")</f>
        <v>1.155</v>
      </c>
      <c r="L19">
        <f>RTD("tos.rtd", , "BID", "./6EH5P1.155")</f>
        <v>2.0400000000000001E-2</v>
      </c>
      <c r="M19" t="str">
        <f>RTD("tos.rtd", , "BX", "./6EH5P1.155")</f>
        <v>G</v>
      </c>
      <c r="N19">
        <f>RTD("tos.rtd", , "ASK", "./6EH5P1.155")</f>
        <v>2.07E-2</v>
      </c>
      <c r="O19" t="str">
        <f>RTD("tos.rtd", , "AX", "./6EH5P1.155")</f>
        <v>G</v>
      </c>
      <c r="P19" t="str">
        <f>RTD("tos.rtd", , "IMPL_VOL", "./6EH5P1.155")</f>
        <v>10,09%</v>
      </c>
      <c r="Q19" t="str">
        <f>RTD("tos.rtd", , "PROB_OTM", "./6EH5P1.155")</f>
        <v>51,77%</v>
      </c>
      <c r="R19">
        <f>RTD("tos.rtd", , "DELTA", "./6EH5P1.155")</f>
        <v>-0.42</v>
      </c>
      <c r="T19">
        <f t="shared" si="0"/>
        <v>2.0500854654021843E-2</v>
      </c>
      <c r="U19" s="39">
        <f t="shared" si="1"/>
        <v>-1.9914534597815711E-4</v>
      </c>
    </row>
    <row r="20" spans="1:21" x14ac:dyDescent="0.25">
      <c r="C20" t="str">
        <f>RTD("tos.rtd", , "IMPL_VOL", "./6EH5C1.16")</f>
        <v>7,15%</v>
      </c>
      <c r="D20" t="str">
        <f>RTD("tos.rtd", , "PROB_OTM", "./6EH5C1.16")</f>
        <v>53,56%</v>
      </c>
      <c r="E20">
        <f>RTD("tos.rtd", , "DELTA", "./6EH5C1.16")</f>
        <v>0.48</v>
      </c>
      <c r="F20">
        <f>RTD("tos.rtd", , "BID", "./6EH5C1.16")</f>
        <v>1.9900000000000001E-2</v>
      </c>
      <c r="G20" t="str">
        <f>RTD("tos.rtd", , "BX", "./6EH5C1.16")</f>
        <v>G</v>
      </c>
      <c r="H20">
        <f>RTD("tos.rtd", , "ASK", "./6EH5C1.16")</f>
        <v>2.0299999999999999E-2</v>
      </c>
      <c r="I20" t="str">
        <f>RTD("tos.rtd", , "AX", "./6EH5C1.16")</f>
        <v>G</v>
      </c>
      <c r="J20" t="str">
        <f>RTD("tos.rtd", , "EXPIRATION_DAY", "./6EH5C1.16")</f>
        <v>07.03.2015</v>
      </c>
      <c r="K20">
        <f>RTD("tos.rtd", , "STRIKE", "./6EH5C1.16")</f>
        <v>1.1599999999999999</v>
      </c>
      <c r="L20">
        <f>RTD("tos.rtd", , "BID", "./6EH5P1.16")</f>
        <v>2.2700000000000001E-2</v>
      </c>
      <c r="M20" t="str">
        <f>RTD("tos.rtd", , "BX", "./6EH5P1.16")</f>
        <v>G</v>
      </c>
      <c r="N20">
        <f>RTD("tos.rtd", , "ASK", "./6EH5P1.16")</f>
        <v>2.3E-2</v>
      </c>
      <c r="O20" t="str">
        <f>RTD("tos.rtd", , "AX", "./6EH5P1.16")</f>
        <v>G</v>
      </c>
      <c r="P20" t="str">
        <f>RTD("tos.rtd", , "IMPL_VOL", "./6EH5P1.16")</f>
        <v>11,07%</v>
      </c>
      <c r="Q20" t="str">
        <f>RTD("tos.rtd", , "PROB_OTM", "./6EH5P1.16")</f>
        <v>47,23%</v>
      </c>
      <c r="R20">
        <f>RTD("tos.rtd", , "DELTA", "./6EH5P1.16")</f>
        <v>-0.47</v>
      </c>
      <c r="T20">
        <f t="shared" si="0"/>
        <v>2.2699211088595239E-2</v>
      </c>
      <c r="U20" s="39">
        <f t="shared" si="1"/>
        <v>-3.0078891140476044E-4</v>
      </c>
    </row>
    <row r="21" spans="1:21" x14ac:dyDescent="0.25">
      <c r="C21" t="str">
        <f>RTD("tos.rtd", , "IMPL_VOL", "./6EH5C1.165")</f>
        <v>7,90%</v>
      </c>
      <c r="D21" t="str">
        <f>RTD("tos.rtd", , "PROB_OTM", "./6EH5C1.165")</f>
        <v>59,17%</v>
      </c>
      <c r="E21">
        <f>RTD("tos.rtd", , "DELTA", "./6EH5C1.165")</f>
        <v>0.42</v>
      </c>
      <c r="F21">
        <f>RTD("tos.rtd", , "BID", "./6EH5C1.165")</f>
        <v>4.4000000000000003E-3</v>
      </c>
      <c r="G21" t="str">
        <f>RTD("tos.rtd", , "BX", "./6EH5C1.165")</f>
        <v>G</v>
      </c>
      <c r="H21">
        <f>RTD("tos.rtd", , "ASK", "./6EH5C1.165")</f>
        <v>1.78E-2</v>
      </c>
      <c r="I21" t="str">
        <f>RTD("tos.rtd", , "AX", "./6EH5C1.165")</f>
        <v>G</v>
      </c>
      <c r="J21" t="str">
        <f>RTD("tos.rtd", , "EXPIRATION_DAY", "./6EH5C1.165")</f>
        <v>07.03.2015</v>
      </c>
      <c r="K21">
        <f>RTD("tos.rtd", , "STRIKE", "./6EH5C1.165")</f>
        <v>1.165</v>
      </c>
      <c r="L21">
        <f>RTD("tos.rtd", , "BID", "./6EH5P1.165")</f>
        <v>2.5100000000000001E-2</v>
      </c>
      <c r="M21" t="str">
        <f>RTD("tos.rtd", , "BX", "./6EH5P1.165")</f>
        <v>G</v>
      </c>
      <c r="N21">
        <f>RTD("tos.rtd", , "ASK", "./6EH5P1.165")</f>
        <v>2.5499999999999998E-2</v>
      </c>
      <c r="O21" t="str">
        <f>RTD("tos.rtd", , "AX", "./6EH5P1.165")</f>
        <v>G</v>
      </c>
      <c r="P21" t="str">
        <f>RTD("tos.rtd", , "IMPL_VOL", "./6EH5P1.165")</f>
        <v>11,93%</v>
      </c>
      <c r="Q21" t="str">
        <f>RTD("tos.rtd", , "PROB_OTM", "./6EH5P1.165")</f>
        <v>43,41%</v>
      </c>
      <c r="R21">
        <f>RTD("tos.rtd", , "DELTA", "./6EH5P1.165")</f>
        <v>-0.51</v>
      </c>
      <c r="T21">
        <f t="shared" si="0"/>
        <v>2.519756752316886E-2</v>
      </c>
      <c r="U21" s="39">
        <f t="shared" si="1"/>
        <v>-3.0243247683113886E-4</v>
      </c>
    </row>
    <row r="22" spans="1:21" x14ac:dyDescent="0.25">
      <c r="C22" t="str">
        <f>RTD("tos.rtd", , "IMPL_VOL", "./6EH5C1.17")</f>
        <v>8,71%</v>
      </c>
      <c r="D22" t="str">
        <f>RTD("tos.rtd", , "PROB_OTM", "./6EH5C1.17")</f>
        <v>63,59%</v>
      </c>
      <c r="E22">
        <f>RTD("tos.rtd", , "DELTA", "./6EH5C1.17")</f>
        <v>0.38</v>
      </c>
      <c r="F22">
        <f>RTD("tos.rtd", , "BID", "./6EH5C1.17")</f>
        <v>1.5100000000000001E-2</v>
      </c>
      <c r="G22" t="str">
        <f>RTD("tos.rtd", , "BX", "./6EH5C1.17")</f>
        <v>G</v>
      </c>
      <c r="H22">
        <f>RTD("tos.rtd", , "ASK", "./6EH5C1.17")</f>
        <v>1.55E-2</v>
      </c>
      <c r="I22" t="str">
        <f>RTD("tos.rtd", , "AX", "./6EH5C1.17")</f>
        <v>G</v>
      </c>
      <c r="J22" t="str">
        <f>RTD("tos.rtd", , "EXPIRATION_DAY", "./6EH5C1.17")</f>
        <v>07.03.2015</v>
      </c>
      <c r="K22">
        <f>RTD("tos.rtd", , "STRIKE", "./6EH5C1.17")</f>
        <v>1.17</v>
      </c>
      <c r="L22">
        <f>RTD("tos.rtd", , "BID", "./6EH5P1.17")</f>
        <v>2.7799999999999998E-2</v>
      </c>
      <c r="M22" t="str">
        <f>RTD("tos.rtd", , "BX", "./6EH5P1.17")</f>
        <v>G</v>
      </c>
      <c r="N22">
        <f>RTD("tos.rtd", , "ASK", "./6EH5P1.17")</f>
        <v>2.8199999999999999E-2</v>
      </c>
      <c r="O22" t="str">
        <f>RTD("tos.rtd", , "AX", "./6EH5P1.17")</f>
        <v>G</v>
      </c>
      <c r="P22" t="str">
        <f>RTD("tos.rtd", , "IMPL_VOL", "./6EH5P1.17")</f>
        <v>12,69%</v>
      </c>
      <c r="Q22" t="str">
        <f>RTD("tos.rtd", , "PROB_OTM", "./6EH5P1.17")</f>
        <v>40,10%</v>
      </c>
      <c r="R22">
        <f>RTD("tos.rtd", , "DELTA", "./6EH5P1.17")</f>
        <v>-0.54</v>
      </c>
      <c r="T22">
        <f>H22+(K22-1.1576)*EXP(-0.0025*48/365)</f>
        <v>2.7895923957742257E-2</v>
      </c>
      <c r="U22" s="39">
        <f t="shared" si="1"/>
        <v>-3.0407604225774279E-4</v>
      </c>
    </row>
    <row r="23" spans="1:21" x14ac:dyDescent="0.25">
      <c r="C23" t="str">
        <f>RTD("tos.rtd", , "IMPL_VOL", "./6EH5C1.175")</f>
        <v>9,35%</v>
      </c>
      <c r="D23" t="str">
        <f>RTD("tos.rtd", , "PROB_OTM", "./6EH5C1.175")</f>
        <v>67,38%</v>
      </c>
      <c r="E23">
        <f>RTD("tos.rtd", , "DELTA", "./6EH5C1.175")</f>
        <v>0.34</v>
      </c>
      <c r="F23">
        <f>RTD("tos.rtd", , "BID", "./6EH5C1.175")</f>
        <v>1.3100000000000001E-2</v>
      </c>
      <c r="G23" t="str">
        <f>RTD("tos.rtd", , "BX", "./6EH5C1.175")</f>
        <v>G</v>
      </c>
      <c r="H23">
        <f>RTD("tos.rtd", , "ASK", "./6EH5C1.175")</f>
        <v>2.5000000000000001E-2</v>
      </c>
      <c r="I23" t="str">
        <f>RTD("tos.rtd", , "AX", "./6EH5C1.175")</f>
        <v>G</v>
      </c>
      <c r="J23" t="str">
        <f>RTD("tos.rtd", , "EXPIRATION_DAY", "./6EH5C1.175")</f>
        <v>07.03.2015</v>
      </c>
      <c r="K23">
        <f>RTD("tos.rtd", , "STRIKE", "./6EH5C1.175")</f>
        <v>1.175</v>
      </c>
      <c r="L23">
        <f>RTD("tos.rtd", , "BID", "./6EH5P1.175")</f>
        <v>3.0599999999999999E-2</v>
      </c>
      <c r="M23" t="str">
        <f>RTD("tos.rtd", , "BX", "./6EH5P1.175")</f>
        <v>G</v>
      </c>
      <c r="N23">
        <f>RTD("tos.rtd", , "ASK", "./6EH5P1.175")</f>
        <v>3.1099999999999999E-2</v>
      </c>
      <c r="O23" t="str">
        <f>RTD("tos.rtd", , "AX", "./6EH5P1.175")</f>
        <v>G</v>
      </c>
      <c r="P23" t="str">
        <f>RTD("tos.rtd", , "IMPL_VOL", "./6EH5P1.175")</f>
        <v>13,37%</v>
      </c>
      <c r="Q23" t="str">
        <f>RTD("tos.rtd", , "PROB_OTM", "./6EH5P1.175")</f>
        <v>37,16%</v>
      </c>
      <c r="R23">
        <f>RTD("tos.rtd", , "DELTA", "./6EH5P1.175")</f>
        <v>-0.56999999999999995</v>
      </c>
      <c r="T23">
        <f>H23+(K23-1.1576)*EXP(-0.0025*48/365)</f>
        <v>4.2394280392315881E-2</v>
      </c>
      <c r="U23" s="39">
        <f t="shared" si="1"/>
        <v>1.1294280392315881E-2</v>
      </c>
    </row>
    <row r="24" spans="1:21" x14ac:dyDescent="0.25">
      <c r="A24" t="s">
        <v>331</v>
      </c>
    </row>
    <row r="25" spans="1:21" x14ac:dyDescent="0.25">
      <c r="C25" t="s">
        <v>324</v>
      </c>
      <c r="D25" t="s">
        <v>325</v>
      </c>
      <c r="E25" t="s">
        <v>326</v>
      </c>
      <c r="F25" t="s">
        <v>9</v>
      </c>
      <c r="G25" t="s">
        <v>318</v>
      </c>
      <c r="H25" t="s">
        <v>10</v>
      </c>
      <c r="I25" t="s">
        <v>319</v>
      </c>
      <c r="J25" t="s">
        <v>314</v>
      </c>
      <c r="K25" t="s">
        <v>327</v>
      </c>
      <c r="L25" t="s">
        <v>9</v>
      </c>
      <c r="M25" t="s">
        <v>318</v>
      </c>
      <c r="N25" t="s">
        <v>10</v>
      </c>
      <c r="O25" t="s">
        <v>319</v>
      </c>
      <c r="P25" t="s">
        <v>324</v>
      </c>
      <c r="Q25" t="s">
        <v>325</v>
      </c>
      <c r="R25" t="s">
        <v>326</v>
      </c>
    </row>
    <row r="26" spans="1:21" x14ac:dyDescent="0.25">
      <c r="C26" t="str">
        <f>RTD("tos.rtd", , "IMPL_VOL", "./6EJ5C1.14")</f>
        <v>0,00%</v>
      </c>
      <c r="D26" t="str">
        <f>RTD("tos.rtd", , "PROB_OTM", "./6EJ5C1.14")</f>
        <v>0,00%</v>
      </c>
      <c r="E26">
        <f>RTD("tos.rtd", , "DELTA", "./6EJ5C1.14")</f>
        <v>1</v>
      </c>
      <c r="F26">
        <f>RTD("tos.rtd", , "BID", "./6EJ5C1.14")</f>
        <v>3.5999999999999997E-2</v>
      </c>
      <c r="G26" t="str">
        <f>RTD("tos.rtd", , "BX", "./6EJ5C1.14")</f>
        <v>G</v>
      </c>
      <c r="H26">
        <f>RTD("tos.rtd", , "ASK", "./6EJ5C1.14")</f>
        <v>3.7699999999999997E-2</v>
      </c>
      <c r="I26" t="str">
        <f>RTD("tos.rtd", , "AX", "./6EJ5C1.14")</f>
        <v>G</v>
      </c>
      <c r="J26" t="str">
        <f>RTD("tos.rtd", , "EXPIRATION_DAY", "./6EJ5C1.14")</f>
        <v>03.04.2015</v>
      </c>
      <c r="K26">
        <f>RTD("tos.rtd", , "STRIKE", "./6EJ5C1.14")</f>
        <v>1.1399999999999999</v>
      </c>
      <c r="L26">
        <f>RTD("tos.rtd", , "BID", "./6EJ5P1.14")</f>
        <v>1.78E-2</v>
      </c>
      <c r="M26" t="str">
        <f>RTD("tos.rtd", , "BX", "./6EJ5P1.14")</f>
        <v>G</v>
      </c>
      <c r="N26">
        <f>RTD("tos.rtd", , "ASK", "./6EJ5P1.14")</f>
        <v>1.8599999999999998E-2</v>
      </c>
      <c r="O26" t="str">
        <f>RTD("tos.rtd", , "AX", "./6EJ5P1.14")</f>
        <v>G</v>
      </c>
      <c r="P26" t="str">
        <f>RTD("tos.rtd", , "IMPL_VOL", "./6EJ5P1.14")</f>
        <v>7,48%</v>
      </c>
      <c r="Q26" t="str">
        <f>RTD("tos.rtd", , "PROB_OTM", "./6EJ5P1.14")</f>
        <v>68,08%</v>
      </c>
      <c r="R26">
        <f>RTD("tos.rtd", , "DELTA", "./6EJ5P1.14")</f>
        <v>-0.27</v>
      </c>
    </row>
    <row r="27" spans="1:21" x14ac:dyDescent="0.25">
      <c r="C27" t="str">
        <f>RTD("tos.rtd", , "IMPL_VOL", "./6EJ5C1.145")</f>
        <v>0,00%</v>
      </c>
      <c r="D27" t="str">
        <f>RTD("tos.rtd", , "PROB_OTM", "./6EJ5C1.145")</f>
        <v>0,00%</v>
      </c>
      <c r="E27">
        <f>RTD("tos.rtd", , "DELTA", "./6EJ5C1.145")</f>
        <v>1</v>
      </c>
      <c r="F27">
        <f>RTD("tos.rtd", , "BID", "./6EJ5C1.145")</f>
        <v>3.3099999999999997E-2</v>
      </c>
      <c r="G27" t="str">
        <f>RTD("tos.rtd", , "BX", "./6EJ5C1.145")</f>
        <v>G</v>
      </c>
      <c r="H27">
        <f>RTD("tos.rtd", , "ASK", "./6EJ5C1.145")</f>
        <v>3.4099999999999998E-2</v>
      </c>
      <c r="I27" t="str">
        <f>RTD("tos.rtd", , "AX", "./6EJ5C1.145")</f>
        <v>G</v>
      </c>
      <c r="J27" t="str">
        <f>RTD("tos.rtd", , "EXPIRATION_DAY", "./6EJ5C1.145")</f>
        <v>03.04.2015</v>
      </c>
      <c r="K27">
        <f>RTD("tos.rtd", , "STRIKE", "./6EJ5C1.145")</f>
        <v>1.145</v>
      </c>
      <c r="L27">
        <f>RTD("tos.rtd", , "BID", "./6EJ5P1.145")</f>
        <v>1.9599999999999999E-2</v>
      </c>
      <c r="M27" t="str">
        <f>RTD("tos.rtd", , "BX", "./6EJ5P1.145")</f>
        <v>G</v>
      </c>
      <c r="N27">
        <f>RTD("tos.rtd", , "ASK", "./6EJ5P1.145")</f>
        <v>2.0400000000000001E-2</v>
      </c>
      <c r="O27" t="str">
        <f>RTD("tos.rtd", , "AX", "./6EJ5P1.145")</f>
        <v>G</v>
      </c>
      <c r="P27" t="str">
        <f>RTD("tos.rtd", , "IMPL_VOL", "./6EJ5P1.145")</f>
        <v>6,86%</v>
      </c>
      <c r="Q27" t="str">
        <f>RTD("tos.rtd", , "PROB_OTM", "./6EJ5P1.145")</f>
        <v>64,64%</v>
      </c>
      <c r="R27">
        <f>RTD("tos.rtd", , "DELTA", "./6EJ5P1.145")</f>
        <v>-0.28999999999999998</v>
      </c>
    </row>
    <row r="28" spans="1:21" x14ac:dyDescent="0.25">
      <c r="C28" t="str">
        <f>RTD("tos.rtd", , "IMPL_VOL", "./6EJ5C1.15")</f>
        <v>0,00%</v>
      </c>
      <c r="D28" t="str">
        <f>RTD("tos.rtd", , "PROB_OTM", "./6EJ5C1.15")</f>
        <v>0,00%</v>
      </c>
      <c r="E28">
        <f>RTD("tos.rtd", , "DELTA", "./6EJ5C1.15")</f>
        <v>1</v>
      </c>
      <c r="F28">
        <f>RTD("tos.rtd", , "BID", "./6EJ5C1.15")</f>
        <v>0.03</v>
      </c>
      <c r="G28" t="str">
        <f>RTD("tos.rtd", , "BX", "./6EJ5C1.15")</f>
        <v>G</v>
      </c>
      <c r="H28">
        <f>RTD("tos.rtd", , "ASK", "./6EJ5C1.15")</f>
        <v>3.1099999999999999E-2</v>
      </c>
      <c r="I28" t="str">
        <f>RTD("tos.rtd", , "AX", "./6EJ5C1.15")</f>
        <v>G</v>
      </c>
      <c r="J28" t="str">
        <f>RTD("tos.rtd", , "EXPIRATION_DAY", "./6EJ5C1.15")</f>
        <v>03.04.2015</v>
      </c>
      <c r="K28">
        <f>RTD("tos.rtd", , "STRIKE", "./6EJ5C1.15")</f>
        <v>1.1499999999999999</v>
      </c>
      <c r="L28">
        <f>RTD("tos.rtd", , "BID", "./6EJ5P1.15")</f>
        <v>2.1299999999999999E-2</v>
      </c>
      <c r="M28" t="str">
        <f>RTD("tos.rtd", , "BX", "./6EJ5P1.15")</f>
        <v>G</v>
      </c>
      <c r="N28">
        <f>RTD("tos.rtd", , "ASK", "./6EJ5P1.15")</f>
        <v>2.23E-2</v>
      </c>
      <c r="O28" t="str">
        <f>RTD("tos.rtd", , "AX", "./6EJ5P1.15")</f>
        <v>G</v>
      </c>
      <c r="P28" t="str">
        <f>RTD("tos.rtd", , "IMPL_VOL", "./6EJ5P1.15")</f>
        <v>6,27%</v>
      </c>
      <c r="Q28" t="str">
        <f>RTD("tos.rtd", , "PROB_OTM", "./6EJ5P1.15")</f>
        <v>60,31%</v>
      </c>
      <c r="R28">
        <f>RTD("tos.rtd", , "DELTA", "./6EJ5P1.15")</f>
        <v>-0.33</v>
      </c>
    </row>
    <row r="29" spans="1:21" x14ac:dyDescent="0.25">
      <c r="C29" t="str">
        <f>RTD("tos.rtd", , "IMPL_VOL", "./6EJ5C1.155")</f>
        <v>0,84%</v>
      </c>
      <c r="D29" t="str">
        <f>RTD("tos.rtd", , "PROB_OTM", "./6EJ5C1.155")</f>
        <v>17,69%</v>
      </c>
      <c r="E29">
        <f>RTD("tos.rtd", , "DELTA", "./6EJ5C1.155")</f>
        <v>0.82</v>
      </c>
      <c r="F29">
        <f>RTD("tos.rtd", , "BID", "./6EJ5C1.155")</f>
        <v>2.7099999999999999E-2</v>
      </c>
      <c r="G29" t="str">
        <f>RTD("tos.rtd", , "BX", "./6EJ5C1.155")</f>
        <v>G</v>
      </c>
      <c r="H29">
        <f>RTD("tos.rtd", , "ASK", "./6EJ5C1.155")</f>
        <v>2.81E-2</v>
      </c>
      <c r="I29" t="str">
        <f>RTD("tos.rtd", , "AX", "./6EJ5C1.155")</f>
        <v>G</v>
      </c>
      <c r="J29" t="str">
        <f>RTD("tos.rtd", , "EXPIRATION_DAY", "./6EJ5C1.155")</f>
        <v>03.04.2015</v>
      </c>
      <c r="K29">
        <f>RTD("tos.rtd", , "STRIKE", "./6EJ5C1.155")</f>
        <v>1.155</v>
      </c>
      <c r="L29">
        <f>RTD("tos.rtd", , "BID", "./6EJ5P1.155")</f>
        <v>2.35E-2</v>
      </c>
      <c r="M29" t="str">
        <f>RTD("tos.rtd", , "BX", "./6EJ5P1.155")</f>
        <v>G</v>
      </c>
      <c r="N29">
        <f>RTD("tos.rtd", , "ASK", "./6EJ5P1.155")</f>
        <v>2.4299999999999999E-2</v>
      </c>
      <c r="O29" t="str">
        <f>RTD("tos.rtd", , "AX", "./6EJ5P1.155")</f>
        <v>G</v>
      </c>
      <c r="P29" t="str">
        <f>RTD("tos.rtd", , "IMPL_VOL", "./6EJ5P1.155")</f>
        <v>5,73%</v>
      </c>
      <c r="Q29" t="str">
        <f>RTD("tos.rtd", , "PROB_OTM", "./6EJ5P1.155")</f>
        <v>54,88%</v>
      </c>
      <c r="R29">
        <f>RTD("tos.rtd", , "DELTA", "./6EJ5P1.155")</f>
        <v>-0.38</v>
      </c>
    </row>
    <row r="30" spans="1:21" x14ac:dyDescent="0.25">
      <c r="C30" t="str">
        <f>RTD("tos.rtd", , "IMPL_VOL", "./6EJ5C1.16")</f>
        <v>1,09%</v>
      </c>
      <c r="D30" t="str">
        <f>RTD("tos.rtd", , "PROB_OTM", "./6EJ5C1.16")</f>
        <v>56,27%</v>
      </c>
      <c r="E30">
        <f>RTD("tos.rtd", , "DELTA", "./6EJ5C1.16")</f>
        <v>0.44</v>
      </c>
      <c r="F30">
        <f>RTD("tos.rtd", , "BID", "./6EJ5C1.16")</f>
        <v>2.4299999999999999E-2</v>
      </c>
      <c r="G30" t="str">
        <f>RTD("tos.rtd", , "BX", "./6EJ5C1.16")</f>
        <v>G</v>
      </c>
      <c r="H30">
        <f>RTD("tos.rtd", , "ASK", "./6EJ5C1.16")</f>
        <v>2.52E-2</v>
      </c>
      <c r="I30" t="str">
        <f>RTD("tos.rtd", , "AX", "./6EJ5C1.16")</f>
        <v>G</v>
      </c>
      <c r="J30" t="str">
        <f>RTD("tos.rtd", , "EXPIRATION_DAY", "./6EJ5C1.16")</f>
        <v>03.04.2015</v>
      </c>
      <c r="K30">
        <f>RTD("tos.rtd", , "STRIKE", "./6EJ5C1.16")</f>
        <v>1.1599999999999999</v>
      </c>
      <c r="L30">
        <f>RTD("tos.rtd", , "BID", "./6EJ5P1.16")</f>
        <v>2.5700000000000001E-2</v>
      </c>
      <c r="M30" t="str">
        <f>RTD("tos.rtd", , "BX", "./6EJ5P1.16")</f>
        <v>G</v>
      </c>
      <c r="N30">
        <f>RTD("tos.rtd", , "ASK", "./6EJ5P1.16")</f>
        <v>2.6599999999999999E-2</v>
      </c>
      <c r="O30" t="str">
        <f>RTD("tos.rtd", , "AX", "./6EJ5P1.16")</f>
        <v>G</v>
      </c>
      <c r="P30" t="str">
        <f>RTD("tos.rtd", , "IMPL_VOL", "./6EJ5P1.16")</f>
        <v>5,62%</v>
      </c>
      <c r="Q30" t="str">
        <f>RTD("tos.rtd", , "PROB_OTM", "./6EJ5P1.16")</f>
        <v>48,29%</v>
      </c>
      <c r="R30">
        <f>RTD("tos.rtd", , "DELTA", "./6EJ5P1.16")</f>
        <v>-0.44</v>
      </c>
    </row>
    <row r="31" spans="1:21" x14ac:dyDescent="0.25">
      <c r="C31" t="str">
        <f>RTD("tos.rtd", , "IMPL_VOL", "./6EJ5C1.165")</f>
        <v>1,70%</v>
      </c>
      <c r="D31" t="str">
        <f>RTD("tos.rtd", , "PROB_OTM", "./6EJ5C1.165")</f>
        <v>74,48%</v>
      </c>
      <c r="E31">
        <f>RTD("tos.rtd", , "DELTA", "./6EJ5C1.165")</f>
        <v>0.26</v>
      </c>
      <c r="F31">
        <f>RTD("tos.rtd", , "BID", "./6EJ5C1.165")</f>
        <v>2.1700000000000001E-2</v>
      </c>
      <c r="G31" t="str">
        <f>RTD("tos.rtd", , "BX", "./6EJ5C1.165")</f>
        <v>G</v>
      </c>
      <c r="H31">
        <f>RTD("tos.rtd", , "ASK", "./6EJ5C1.165")</f>
        <v>2.2700000000000001E-2</v>
      </c>
      <c r="I31" t="str">
        <f>RTD("tos.rtd", , "AX", "./6EJ5C1.165")</f>
        <v>G</v>
      </c>
      <c r="J31" t="str">
        <f>RTD("tos.rtd", , "EXPIRATION_DAY", "./6EJ5C1.165")</f>
        <v>03.04.2015</v>
      </c>
      <c r="K31">
        <f>RTD("tos.rtd", , "STRIKE", "./6EJ5C1.165")</f>
        <v>1.165</v>
      </c>
      <c r="L31">
        <f>RTD("tos.rtd", , "BID", "./6EJ5P1.165")</f>
        <v>2.81E-2</v>
      </c>
      <c r="M31" t="str">
        <f>RTD("tos.rtd", , "BX", "./6EJ5P1.165")</f>
        <v>G</v>
      </c>
      <c r="N31">
        <f>RTD("tos.rtd", , "ASK", "./6EJ5P1.165")</f>
        <v>2.9000000000000001E-2</v>
      </c>
      <c r="O31" t="str">
        <f>RTD("tos.rtd", , "AX", "./6EJ5P1.165")</f>
        <v>G</v>
      </c>
      <c r="P31" t="str">
        <f>RTD("tos.rtd", , "IMPL_VOL", "./6EJ5P1.165")</f>
        <v>6,36%</v>
      </c>
      <c r="Q31" t="str">
        <f>RTD("tos.rtd", , "PROB_OTM", "./6EJ5P1.165")</f>
        <v>42,49%</v>
      </c>
      <c r="R31">
        <f>RTD("tos.rtd", , "DELTA", "./6EJ5P1.165")</f>
        <v>-0.51</v>
      </c>
    </row>
    <row r="32" spans="1:21" x14ac:dyDescent="0.25">
      <c r="C32" t="str">
        <f>RTD("tos.rtd", , "IMPL_VOL", "./6EJ5C1.17")</f>
        <v>2,32%</v>
      </c>
      <c r="D32" t="str">
        <f>RTD("tos.rtd", , "PROB_OTM", "./6EJ5C1.17")</f>
        <v>81,29%</v>
      </c>
      <c r="E32">
        <f>RTD("tos.rtd", , "DELTA", "./6EJ5C1.17")</f>
        <v>0.19</v>
      </c>
      <c r="F32">
        <f>RTD("tos.rtd", , "BID", "./6EJ5C1.17")</f>
        <v>1.9300000000000001E-2</v>
      </c>
      <c r="G32" t="str">
        <f>RTD("tos.rtd", , "BX", "./6EJ5C1.17")</f>
        <v>G</v>
      </c>
      <c r="H32">
        <f>RTD("tos.rtd", , "ASK", "./6EJ5C1.17")</f>
        <v>2.01E-2</v>
      </c>
      <c r="I32" t="str">
        <f>RTD("tos.rtd", , "AX", "./6EJ5C1.17")</f>
        <v>G</v>
      </c>
      <c r="J32" t="str">
        <f>RTD("tos.rtd", , "EXPIRATION_DAY", "./6EJ5C1.17")</f>
        <v>03.04.2015</v>
      </c>
      <c r="K32">
        <f>RTD("tos.rtd", , "STRIKE", "./6EJ5C1.17")</f>
        <v>1.17</v>
      </c>
      <c r="L32">
        <f>RTD("tos.rtd", , "BID", "./6EJ5P1.17")</f>
        <v>3.0599999999999999E-2</v>
      </c>
      <c r="M32" t="str">
        <f>RTD("tos.rtd", , "BX", "./6EJ5P1.17")</f>
        <v>G</v>
      </c>
      <c r="N32">
        <f>RTD("tos.rtd", , "ASK", "./6EJ5P1.17")</f>
        <v>3.15E-2</v>
      </c>
      <c r="O32" t="str">
        <f>RTD("tos.rtd", , "AX", "./6EJ5P1.17")</f>
        <v>G</v>
      </c>
      <c r="P32" t="str">
        <f>RTD("tos.rtd", , "IMPL_VOL", "./6EJ5P1.17")</f>
        <v>7,14%</v>
      </c>
      <c r="Q32" t="str">
        <f>RTD("tos.rtd", , "PROB_OTM", "./6EJ5P1.17")</f>
        <v>38,07%</v>
      </c>
      <c r="R32">
        <f>RTD("tos.rtd", , "DELTA", "./6EJ5P1.17")</f>
        <v>-0.56000000000000005</v>
      </c>
    </row>
    <row r="33" spans="1:18" x14ac:dyDescent="0.25">
      <c r="C33" t="str">
        <f>RTD("tos.rtd", , "IMPL_VOL", "./6EJ5C1.175")</f>
        <v>2,87%</v>
      </c>
      <c r="D33" t="str">
        <f>RTD("tos.rtd", , "PROB_OTM", "./6EJ5C1.175")</f>
        <v>85,25%</v>
      </c>
      <c r="E33">
        <f>RTD("tos.rtd", , "DELTA", "./6EJ5C1.175")</f>
        <v>0.15</v>
      </c>
      <c r="F33">
        <f>RTD("tos.rtd", , "BID", "./6EJ5C1.175")</f>
        <v>1.7100000000000001E-2</v>
      </c>
      <c r="G33" t="str">
        <f>RTD("tos.rtd", , "BX", "./6EJ5C1.175")</f>
        <v>G</v>
      </c>
      <c r="H33">
        <f>RTD("tos.rtd", , "ASK", "./6EJ5C1.175")</f>
        <v>1.7999999999999999E-2</v>
      </c>
      <c r="I33" t="str">
        <f>RTD("tos.rtd", , "AX", "./6EJ5C1.175")</f>
        <v>G</v>
      </c>
      <c r="J33" t="str">
        <f>RTD("tos.rtd", , "EXPIRATION_DAY", "./6EJ5C1.175")</f>
        <v>03.04.2015</v>
      </c>
      <c r="K33">
        <f>RTD("tos.rtd", , "STRIKE", "./6EJ5C1.175")</f>
        <v>1.175</v>
      </c>
      <c r="L33">
        <f>RTD("tos.rtd", , "BID", "./6EJ5P1.175")</f>
        <v>3.3300000000000003E-2</v>
      </c>
      <c r="M33" t="str">
        <f>RTD("tos.rtd", , "BX", "./6EJ5P1.175")</f>
        <v>G</v>
      </c>
      <c r="N33">
        <f>RTD("tos.rtd", , "ASK", "./6EJ5P1.175")</f>
        <v>3.4200000000000001E-2</v>
      </c>
      <c r="O33" t="str">
        <f>RTD("tos.rtd", , "AX", "./6EJ5P1.175")</f>
        <v>G</v>
      </c>
      <c r="P33" t="str">
        <f>RTD("tos.rtd", , "IMPL_VOL", "./6EJ5P1.175")</f>
        <v>7,94%</v>
      </c>
      <c r="Q33" t="str">
        <f>RTD("tos.rtd", , "PROB_OTM", "./6EJ5P1.175")</f>
        <v>34,67%</v>
      </c>
      <c r="R33">
        <f>RTD("tos.rtd", , "DELTA", "./6EJ5P1.175")</f>
        <v>-0.59</v>
      </c>
    </row>
    <row r="34" spans="1:18" x14ac:dyDescent="0.25">
      <c r="A34" t="s">
        <v>332</v>
      </c>
    </row>
    <row r="35" spans="1:18" x14ac:dyDescent="0.25">
      <c r="C35" t="s">
        <v>324</v>
      </c>
      <c r="D35" t="s">
        <v>325</v>
      </c>
      <c r="E35" t="s">
        <v>326</v>
      </c>
      <c r="F35" t="s">
        <v>9</v>
      </c>
      <c r="G35" t="s">
        <v>318</v>
      </c>
      <c r="H35" t="s">
        <v>10</v>
      </c>
      <c r="I35" t="s">
        <v>319</v>
      </c>
      <c r="J35" t="s">
        <v>314</v>
      </c>
      <c r="K35" t="s">
        <v>327</v>
      </c>
      <c r="L35" t="s">
        <v>9</v>
      </c>
      <c r="M35" t="s">
        <v>318</v>
      </c>
      <c r="N35" t="s">
        <v>10</v>
      </c>
      <c r="O35" t="s">
        <v>319</v>
      </c>
      <c r="P35" t="s">
        <v>324</v>
      </c>
      <c r="Q35" t="s">
        <v>325</v>
      </c>
      <c r="R35" t="s">
        <v>326</v>
      </c>
    </row>
    <row r="36" spans="1:18" x14ac:dyDescent="0.25">
      <c r="C36" t="str">
        <f>RTD("tos.rtd", , "IMPL_VOL", "./6EM5C1.14")</f>
        <v>5,51%</v>
      </c>
      <c r="D36" t="str">
        <f>RTD("tos.rtd", , "PROB_OTM", "./6EM5C1.14")</f>
        <v>31,47%</v>
      </c>
      <c r="E36">
        <f>RTD("tos.rtd", , "DELTA", "./6EM5C1.14")</f>
        <v>0.7</v>
      </c>
      <c r="F36">
        <f>RTD("tos.rtd", , "BID", "./6EM5C1.14")</f>
        <v>4.3499999999999997E-2</v>
      </c>
      <c r="G36" t="str">
        <f>RTD("tos.rtd", , "BX", "./6EM5C1.14")</f>
        <v>G</v>
      </c>
      <c r="H36">
        <f>RTD("tos.rtd", , "ASK", "./6EM5C1.14")</f>
        <v>4.4600000000000001E-2</v>
      </c>
      <c r="I36" t="str">
        <f>RTD("tos.rtd", , "AX", "./6EM5C1.14")</f>
        <v>G</v>
      </c>
      <c r="J36" t="str">
        <f>RTD("tos.rtd", , "EXPIRATION_DAY", "./6EM5C1.14")</f>
        <v>06.06.2015</v>
      </c>
      <c r="K36">
        <f>RTD("tos.rtd", , "STRIKE", "./6EM5C1.14")</f>
        <v>1.1399999999999999</v>
      </c>
      <c r="L36">
        <f>RTD("tos.rtd", , "BID", "./6EM5P1.14")</f>
        <v>2.4899999999999999E-2</v>
      </c>
      <c r="M36" t="str">
        <f>RTD("tos.rtd", , "BX", "./6EM5P1.14")</f>
        <v>G</v>
      </c>
      <c r="N36">
        <f>RTD("tos.rtd", , "ASK", "./6EM5P1.14")</f>
        <v>2.5899999999999999E-2</v>
      </c>
      <c r="O36" t="str">
        <f>RTD("tos.rtd", , "AX", "./6EM5P1.14")</f>
        <v>G</v>
      </c>
      <c r="P36" t="str">
        <f>RTD("tos.rtd", , "IMPL_VOL", "./6EM5P1.14")</f>
        <v>8,63%</v>
      </c>
      <c r="Q36" t="str">
        <f>RTD("tos.rtd", , "PROB_OTM", "./6EM5P1.14")</f>
        <v>61,51%</v>
      </c>
      <c r="R36">
        <f>RTD("tos.rtd", , "DELTA", "./6EM5P1.14")</f>
        <v>-0.34</v>
      </c>
    </row>
    <row r="37" spans="1:18" x14ac:dyDescent="0.25">
      <c r="C37" t="str">
        <f>RTD("tos.rtd", , "IMPL_VOL", "./6EM5C1.145")</f>
        <v>4,91%</v>
      </c>
      <c r="D37" t="str">
        <f>RTD("tos.rtd", , "PROB_OTM", "./6EM5C1.145")</f>
        <v>34,38%</v>
      </c>
      <c r="E37">
        <f>RTD("tos.rtd", , "DELTA", "./6EM5C1.145")</f>
        <v>0.67</v>
      </c>
      <c r="F37">
        <f>RTD("tos.rtd", , "BID", "./6EM5C1.145")</f>
        <v>4.0300000000000002E-2</v>
      </c>
      <c r="G37" t="str">
        <f>RTD("tos.rtd", , "BX", "./6EM5C1.145")</f>
        <v>G</v>
      </c>
      <c r="H37">
        <f>RTD("tos.rtd", , "ASK", "./6EM5C1.145")</f>
        <v>4.1500000000000002E-2</v>
      </c>
      <c r="I37" t="str">
        <f>RTD("tos.rtd", , "AX", "./6EM5C1.145")</f>
        <v>G</v>
      </c>
      <c r="J37" t="str">
        <f>RTD("tos.rtd", , "EXPIRATION_DAY", "./6EM5C1.145")</f>
        <v>06.06.2015</v>
      </c>
      <c r="K37">
        <f>RTD("tos.rtd", , "STRIKE", "./6EM5C1.145")</f>
        <v>1.145</v>
      </c>
      <c r="L37">
        <f>RTD("tos.rtd", , "BID", "./6EM5P1.145")</f>
        <v>2.6700000000000002E-2</v>
      </c>
      <c r="M37" t="str">
        <f>RTD("tos.rtd", , "BX", "./6EM5P1.145")</f>
        <v>G</v>
      </c>
      <c r="N37">
        <f>RTD("tos.rtd", , "ASK", "./6EM5P1.145")</f>
        <v>2.7699999999999999E-2</v>
      </c>
      <c r="O37" t="str">
        <f>RTD("tos.rtd", , "AX", "./6EM5P1.145")</f>
        <v>G</v>
      </c>
      <c r="P37" t="str">
        <f>RTD("tos.rtd", , "IMPL_VOL", "./6EM5P1.145")</f>
        <v>8,30%</v>
      </c>
      <c r="Q37" t="str">
        <f>RTD("tos.rtd", , "PROB_OTM", "./6EM5P1.145")</f>
        <v>58,75%</v>
      </c>
      <c r="R37">
        <f>RTD("tos.rtd", , "DELTA", "./6EM5P1.145")</f>
        <v>-0.36</v>
      </c>
    </row>
    <row r="38" spans="1:18" x14ac:dyDescent="0.25">
      <c r="C38" t="str">
        <f>RTD("tos.rtd", , "IMPL_VOL", "./6EM5C1.15")</f>
        <v>4,49%</v>
      </c>
      <c r="D38" t="str">
        <f>RTD("tos.rtd", , "PROB_OTM", "./6EM5C1.15")</f>
        <v>38,75%</v>
      </c>
      <c r="E38">
        <f>RTD("tos.rtd", , "DELTA", "./6EM5C1.15")</f>
        <v>0.62</v>
      </c>
      <c r="F38">
        <f>RTD("tos.rtd", , "BID", "./6EM5C1.15")</f>
        <v>3.73E-2</v>
      </c>
      <c r="G38" t="str">
        <f>RTD("tos.rtd", , "BX", "./6EM5C1.15")</f>
        <v>G</v>
      </c>
      <c r="H38">
        <f>RTD("tos.rtd", , "ASK", "./6EM5C1.15")</f>
        <v>3.8399999999999997E-2</v>
      </c>
      <c r="I38" t="str">
        <f>RTD("tos.rtd", , "AX", "./6EM5C1.15")</f>
        <v>G</v>
      </c>
      <c r="J38" t="str">
        <f>RTD("tos.rtd", , "EXPIRATION_DAY", "./6EM5C1.15")</f>
        <v>06.06.2015</v>
      </c>
      <c r="K38">
        <f>RTD("tos.rtd", , "STRIKE", "./6EM5C1.15")</f>
        <v>1.1499999999999999</v>
      </c>
      <c r="L38">
        <f>RTD("tos.rtd", , "BID", "./6EM5P1.15")</f>
        <v>2.87E-2</v>
      </c>
      <c r="M38" t="str">
        <f>RTD("tos.rtd", , "BX", "./6EM5P1.15")</f>
        <v>G</v>
      </c>
      <c r="N38">
        <f>RTD("tos.rtd", , "ASK", "./6EM5P1.15")</f>
        <v>3.61E-2</v>
      </c>
      <c r="O38" t="str">
        <f>RTD("tos.rtd", , "AX", "./6EM5P1.15")</f>
        <v>G</v>
      </c>
      <c r="P38" t="str">
        <f>RTD("tos.rtd", , "IMPL_VOL", "./6EM5P1.15")</f>
        <v>8,00%</v>
      </c>
      <c r="Q38" t="str">
        <f>RTD("tos.rtd", , "PROB_OTM", "./6EM5P1.15")</f>
        <v>55,69%</v>
      </c>
      <c r="R38">
        <f>RTD("tos.rtd", , "DELTA", "./6EM5P1.15")</f>
        <v>-0.39</v>
      </c>
    </row>
    <row r="39" spans="1:18" x14ac:dyDescent="0.25">
      <c r="C39" t="str">
        <f>RTD("tos.rtd", , "IMPL_VOL", "./6EM5C1.155")</f>
        <v>4,95%</v>
      </c>
      <c r="D39" t="str">
        <f>RTD("tos.rtd", , "PROB_OTM", "./6EM5C1.155")</f>
        <v>45,43%</v>
      </c>
      <c r="E39">
        <f>RTD("tos.rtd", , "DELTA", "./6EM5C1.155")</f>
        <v>0.56000000000000005</v>
      </c>
      <c r="F39">
        <f>RTD("tos.rtd", , "BID", "./6EM5C1.155")</f>
        <v>3.44E-2</v>
      </c>
      <c r="G39" t="str">
        <f>RTD("tos.rtd", , "BX", "./6EM5C1.155")</f>
        <v>G</v>
      </c>
      <c r="H39">
        <f>RTD("tos.rtd", , "ASK", "./6EM5C1.155")</f>
        <v>3.56E-2</v>
      </c>
      <c r="I39" t="str">
        <f>RTD("tos.rtd", , "AX", "./6EM5C1.155")</f>
        <v>G</v>
      </c>
      <c r="J39" t="str">
        <f>RTD("tos.rtd", , "EXPIRATION_DAY", "./6EM5C1.155")</f>
        <v>06.06.2015</v>
      </c>
      <c r="K39">
        <f>RTD("tos.rtd", , "STRIKE", "./6EM5C1.155")</f>
        <v>1.155</v>
      </c>
      <c r="L39">
        <f>RTD("tos.rtd", , "BID", "./6EM5P1.155")</f>
        <v>3.0800000000000001E-2</v>
      </c>
      <c r="M39" t="str">
        <f>RTD("tos.rtd", , "BX", "./6EM5P1.155")</f>
        <v>G</v>
      </c>
      <c r="N39">
        <f>RTD("tos.rtd", , "ASK", "./6EM5P1.155")</f>
        <v>3.1800000000000002E-2</v>
      </c>
      <c r="O39" t="str">
        <f>RTD("tos.rtd", , "AX", "./6EM5P1.155")</f>
        <v>G</v>
      </c>
      <c r="P39" t="str">
        <f>RTD("tos.rtd", , "IMPL_VOL", "./6EM5P1.155")</f>
        <v>7,89%</v>
      </c>
      <c r="Q39" t="str">
        <f>RTD("tos.rtd", , "PROB_OTM", "./6EM5P1.155")</f>
        <v>52,28%</v>
      </c>
      <c r="R39">
        <f>RTD("tos.rtd", , "DELTA", "./6EM5P1.155")</f>
        <v>-0.42</v>
      </c>
    </row>
    <row r="40" spans="1:18" x14ac:dyDescent="0.25">
      <c r="C40" t="str">
        <f>RTD("tos.rtd", , "IMPL_VOL", "./6EM5C1.16")</f>
        <v>5,60%</v>
      </c>
      <c r="D40" t="str">
        <f>RTD("tos.rtd", , "PROB_OTM", "./6EM5C1.16")</f>
        <v>51,08%</v>
      </c>
      <c r="E40">
        <f>RTD("tos.rtd", , "DELTA", "./6EM5C1.16")</f>
        <v>0.5</v>
      </c>
      <c r="F40">
        <f>RTD("tos.rtd", , "BID", "./6EM5C1.16")</f>
        <v>3.1600000000000003E-2</v>
      </c>
      <c r="G40" t="str">
        <f>RTD("tos.rtd", , "BX", "./6EM5C1.16")</f>
        <v>G</v>
      </c>
      <c r="H40">
        <f>RTD("tos.rtd", , "ASK", "./6EM5C1.16")</f>
        <v>3.2800000000000003E-2</v>
      </c>
      <c r="I40" t="str">
        <f>RTD("tos.rtd", , "AX", "./6EM5C1.16")</f>
        <v>G</v>
      </c>
      <c r="J40" t="str">
        <f>RTD("tos.rtd", , "EXPIRATION_DAY", "./6EM5C1.16")</f>
        <v>06.06.2015</v>
      </c>
      <c r="K40">
        <f>RTD("tos.rtd", , "STRIKE", "./6EM5C1.16")</f>
        <v>1.1599999999999999</v>
      </c>
      <c r="L40">
        <f>RTD("tos.rtd", , "BID", "./6EM5P1.16")</f>
        <v>2.3199999999999998E-2</v>
      </c>
      <c r="M40" t="str">
        <f>RTD("tos.rtd", , "BX", "./6EM5P1.16")</f>
        <v>G</v>
      </c>
      <c r="N40">
        <f>RTD("tos.rtd", , "ASK", "./6EM5P1.16")</f>
        <v>3.4200000000000001E-2</v>
      </c>
      <c r="O40" t="str">
        <f>RTD("tos.rtd", , "AX", "./6EM5P1.16")</f>
        <v>G</v>
      </c>
      <c r="P40" t="str">
        <f>RTD("tos.rtd", , "IMPL_VOL", "./6EM5P1.16")</f>
        <v>8,04%</v>
      </c>
      <c r="Q40" t="str">
        <f>RTD("tos.rtd", , "PROB_OTM", "./6EM5P1.16")</f>
        <v>48,74%</v>
      </c>
      <c r="R40">
        <f>RTD("tos.rtd", , "DELTA", "./6EM5P1.16")</f>
        <v>-0.46</v>
      </c>
    </row>
    <row r="41" spans="1:18" x14ac:dyDescent="0.25">
      <c r="C41" t="str">
        <f>RTD("tos.rtd", , "IMPL_VOL", "./6EM5C1.165")</f>
        <v>6,17%</v>
      </c>
      <c r="D41" t="str">
        <f>RTD("tos.rtd", , "PROB_OTM", "./6EM5C1.165")</f>
        <v>55,59%</v>
      </c>
      <c r="E41">
        <f>RTD("tos.rtd", , "DELTA", "./6EM5C1.165")</f>
        <v>0.46</v>
      </c>
      <c r="F41">
        <f>RTD("tos.rtd", , "BID", "./6EM5C1.165")</f>
        <v>2.9000000000000001E-2</v>
      </c>
      <c r="G41" t="str">
        <f>RTD("tos.rtd", , "BX", "./6EM5C1.165")</f>
        <v>G</v>
      </c>
      <c r="H41">
        <f>RTD("tos.rtd", , "ASK", "./6EM5C1.165")</f>
        <v>0.03</v>
      </c>
      <c r="I41" t="str">
        <f>RTD("tos.rtd", , "AX", "./6EM5C1.165")</f>
        <v>G</v>
      </c>
      <c r="J41" t="str">
        <f>RTD("tos.rtd", , "EXPIRATION_DAY", "./6EM5C1.165")</f>
        <v>06.06.2015</v>
      </c>
      <c r="K41">
        <f>RTD("tos.rtd", , "STRIKE", "./6EM5C1.165")</f>
        <v>1.165</v>
      </c>
      <c r="L41">
        <f>RTD("tos.rtd", , "BID", "./6EM5P1.165")</f>
        <v>3.5400000000000001E-2</v>
      </c>
      <c r="M41" t="str">
        <f>RTD("tos.rtd", , "BX", "./6EM5P1.165")</f>
        <v>G</v>
      </c>
      <c r="N41">
        <f>RTD("tos.rtd", , "ASK", "./6EM5P1.165")</f>
        <v>3.6400000000000002E-2</v>
      </c>
      <c r="O41" t="str">
        <f>RTD("tos.rtd", , "AX", "./6EM5P1.165")</f>
        <v>G</v>
      </c>
      <c r="P41" t="str">
        <f>RTD("tos.rtd", , "IMPL_VOL", "./6EM5P1.165")</f>
        <v>8,37%</v>
      </c>
      <c r="Q41" t="str">
        <f>RTD("tos.rtd", , "PROB_OTM", "./6EM5P1.165")</f>
        <v>45,41%</v>
      </c>
      <c r="R41">
        <f>RTD("tos.rtd", , "DELTA", "./6EM5P1.165")</f>
        <v>-0.49</v>
      </c>
    </row>
    <row r="42" spans="1:18" x14ac:dyDescent="0.25">
      <c r="C42" t="str">
        <f>RTD("tos.rtd", , "IMPL_VOL", "./6EM5C1.17")</f>
        <v>6,71%</v>
      </c>
      <c r="D42" t="str">
        <f>RTD("tos.rtd", , "PROB_OTM", "./6EM5C1.17")</f>
        <v>59,31%</v>
      </c>
      <c r="E42">
        <f>RTD("tos.rtd", , "DELTA", "./6EM5C1.17")</f>
        <v>0.42</v>
      </c>
      <c r="F42">
        <f>RTD("tos.rtd", , "BID", "./6EM5C1.17")</f>
        <v>2.6499999999999999E-2</v>
      </c>
      <c r="G42" t="str">
        <f>RTD("tos.rtd", , "BX", "./6EM5C1.17")</f>
        <v>G</v>
      </c>
      <c r="H42">
        <f>RTD("tos.rtd", , "ASK", "./6EM5C1.17")</f>
        <v>2.76E-2</v>
      </c>
      <c r="I42" t="str">
        <f>RTD("tos.rtd", , "AX", "./6EM5C1.17")</f>
        <v>G</v>
      </c>
      <c r="J42" t="str">
        <f>RTD("tos.rtd", , "EXPIRATION_DAY", "./6EM5C1.17")</f>
        <v>06.06.2015</v>
      </c>
      <c r="K42">
        <f>RTD("tos.rtd", , "STRIKE", "./6EM5C1.17")</f>
        <v>1.17</v>
      </c>
      <c r="L42">
        <f>RTD("tos.rtd", , "BID", "./6EM5P1.17")</f>
        <v>3.7900000000000003E-2</v>
      </c>
      <c r="M42" t="str">
        <f>RTD("tos.rtd", , "BX", "./6EM5P1.17")</f>
        <v>G</v>
      </c>
      <c r="N42">
        <f>RTD("tos.rtd", , "ASK", "./6EM5P1.17")</f>
        <v>3.9E-2</v>
      </c>
      <c r="O42" t="str">
        <f>RTD("tos.rtd", , "AX", "./6EM5P1.17")</f>
        <v>G</v>
      </c>
      <c r="P42" t="str">
        <f>RTD("tos.rtd", , "IMPL_VOL", "./6EM5P1.17")</f>
        <v>8,90%</v>
      </c>
      <c r="Q42" t="str">
        <f>RTD("tos.rtd", , "PROB_OTM", "./6EM5P1.17")</f>
        <v>42,49%</v>
      </c>
      <c r="R42">
        <f>RTD("tos.rtd", , "DELTA", "./6EM5P1.17")</f>
        <v>-0.52</v>
      </c>
    </row>
    <row r="43" spans="1:18" x14ac:dyDescent="0.25">
      <c r="C43" t="str">
        <f>RTD("tos.rtd", , "IMPL_VOL", "./6EM5C1.175")</f>
        <v>7,19%</v>
      </c>
      <c r="D43" t="str">
        <f>RTD("tos.rtd", , "PROB_OTM", "./6EM5C1.175")</f>
        <v>62,49%</v>
      </c>
      <c r="E43">
        <f>RTD("tos.rtd", , "DELTA", "./6EM5C1.175")</f>
        <v>0.39</v>
      </c>
      <c r="F43">
        <f>RTD("tos.rtd", , "BID", "./6EM5C1.175")</f>
        <v>2.4199999999999999E-2</v>
      </c>
      <c r="G43" t="str">
        <f>RTD("tos.rtd", , "BX", "./6EM5C1.175")</f>
        <v>G</v>
      </c>
      <c r="H43">
        <f>RTD("tos.rtd", , "ASK", "./6EM5C1.175")</f>
        <v>2.53E-2</v>
      </c>
      <c r="I43" t="str">
        <f>RTD("tos.rtd", , "AX", "./6EM5C1.175")</f>
        <v>G</v>
      </c>
      <c r="J43" t="str">
        <f>RTD("tos.rtd", , "EXPIRATION_DAY", "./6EM5C1.175")</f>
        <v>06.06.2015</v>
      </c>
      <c r="K43">
        <f>RTD("tos.rtd", , "STRIKE", "./6EM5C1.175")</f>
        <v>1.175</v>
      </c>
      <c r="L43">
        <f>RTD("tos.rtd", , "BID", "./6EM5P1.175")</f>
        <v>4.0500000000000001E-2</v>
      </c>
      <c r="M43" t="str">
        <f>RTD("tos.rtd", , "BX", "./6EM5P1.175")</f>
        <v>G</v>
      </c>
      <c r="N43">
        <f>RTD("tos.rtd", , "ASK", "./6EM5P1.175")</f>
        <v>4.1599999999999998E-2</v>
      </c>
      <c r="O43" t="str">
        <f>RTD("tos.rtd", , "AX", "./6EM5P1.175")</f>
        <v>G</v>
      </c>
      <c r="P43" t="str">
        <f>RTD("tos.rtd", , "IMPL_VOL", "./6EM5P1.175")</f>
        <v>9,41%</v>
      </c>
      <c r="Q43" t="str">
        <f>RTD("tos.rtd", , "PROB_OTM", "./6EM5P1.175")</f>
        <v>39,92%</v>
      </c>
      <c r="R43">
        <f>RTD("tos.rtd", , "DELTA", "./6EM5P1.175")</f>
        <v>-0.55000000000000004</v>
      </c>
    </row>
    <row r="44" spans="1:18" x14ac:dyDescent="0.25">
      <c r="A44" t="s">
        <v>333</v>
      </c>
    </row>
    <row r="45" spans="1:18" x14ac:dyDescent="0.25">
      <c r="C45" t="s">
        <v>324</v>
      </c>
      <c r="D45" t="s">
        <v>325</v>
      </c>
      <c r="E45" t="s">
        <v>326</v>
      </c>
      <c r="F45" t="s">
        <v>9</v>
      </c>
      <c r="G45" t="s">
        <v>318</v>
      </c>
      <c r="H45" t="s">
        <v>10</v>
      </c>
      <c r="I45" t="s">
        <v>319</v>
      </c>
      <c r="J45" t="s">
        <v>314</v>
      </c>
      <c r="K45" t="s">
        <v>327</v>
      </c>
      <c r="L45" t="s">
        <v>9</v>
      </c>
      <c r="M45" t="s">
        <v>318</v>
      </c>
      <c r="N45" t="s">
        <v>10</v>
      </c>
      <c r="O45" t="s">
        <v>319</v>
      </c>
      <c r="P45" t="s">
        <v>324</v>
      </c>
      <c r="Q45" t="s">
        <v>325</v>
      </c>
      <c r="R45" t="s">
        <v>326</v>
      </c>
    </row>
    <row r="46" spans="1:18" x14ac:dyDescent="0.25">
      <c r="C46" t="str">
        <f>RTD("tos.rtd", , "IMPL_VOL", "./6EU5C1.145")</f>
        <v>0,00%</v>
      </c>
      <c r="D46" t="str">
        <f>RTD("tos.rtd", , "PROB_OTM", "./6EU5C1.145")</f>
        <v>0,00%</v>
      </c>
      <c r="E46">
        <f>RTD("tos.rtd", , "DELTA", "./6EU5C1.145")</f>
        <v>1</v>
      </c>
      <c r="F46">
        <f>RTD("tos.rtd", , "BID", "./6EU5C1.145")</f>
        <v>4.4600000000000001E-2</v>
      </c>
      <c r="G46" t="str">
        <f>RTD("tos.rtd", , "BX", "./6EU5C1.145")</f>
        <v>G</v>
      </c>
      <c r="H46">
        <f>RTD("tos.rtd", , "ASK", "./6EU5C1.145")</f>
        <v>5.3699999999999998E-2</v>
      </c>
      <c r="I46" t="str">
        <f>RTD("tos.rtd", , "AX", "./6EU5C1.145")</f>
        <v>G</v>
      </c>
      <c r="J46" t="str">
        <f>RTD("tos.rtd", , "EXPIRATION_DAY", "./6EU5C1.145")</f>
        <v>05.09.2015</v>
      </c>
      <c r="K46">
        <f>RTD("tos.rtd", , "STRIKE", "./6EU5C1.145")</f>
        <v>1.145</v>
      </c>
      <c r="L46">
        <f>RTD("tos.rtd", , "BID", "./6EU5P1.145")</f>
        <v>3.1699999999999999E-2</v>
      </c>
      <c r="M46" t="str">
        <f>RTD("tos.rtd", , "BX", "./6EU5P1.145")</f>
        <v>G</v>
      </c>
      <c r="N46">
        <f>RTD("tos.rtd", , "ASK", "./6EU5P1.145")</f>
        <v>3.5400000000000001E-2</v>
      </c>
      <c r="O46" t="str">
        <f>RTD("tos.rtd", , "AX", "./6EU5P1.145")</f>
        <v>G</v>
      </c>
      <c r="P46" t="str">
        <f>RTD("tos.rtd", , "IMPL_VOL", "./6EU5P1.145")</f>
        <v>12,19%</v>
      </c>
      <c r="Q46" t="str">
        <f>RTD("tos.rtd", , "PROB_OTM", "./6EU5P1.145")</f>
        <v>54,42%</v>
      </c>
      <c r="R46">
        <f>RTD("tos.rtd", , "DELTA", "./6EU5P1.145")</f>
        <v>-0.4</v>
      </c>
    </row>
    <row r="47" spans="1:18" x14ac:dyDescent="0.25">
      <c r="C47" t="str">
        <f>RTD("tos.rtd", , "IMPL_VOL", "./6EU5C1.15")</f>
        <v>0,00%</v>
      </c>
      <c r="D47" t="str">
        <f>RTD("tos.rtd", , "PROB_OTM", "./6EU5C1.15")</f>
        <v>0,00%</v>
      </c>
      <c r="E47">
        <f>RTD("tos.rtd", , "DELTA", "./6EU5C1.15")</f>
        <v>1</v>
      </c>
      <c r="F47">
        <f>RTD("tos.rtd", , "BID", "./6EU5C1.15")</f>
        <v>4.41E-2</v>
      </c>
      <c r="G47" t="str">
        <f>RTD("tos.rtd", , "BX", "./6EU5C1.15")</f>
        <v>G</v>
      </c>
      <c r="H47">
        <f>RTD("tos.rtd", , "ASK", "./6EU5C1.15")</f>
        <v>4.82E-2</v>
      </c>
      <c r="I47" t="str">
        <f>RTD("tos.rtd", , "AX", "./6EU5C1.15")</f>
        <v>G</v>
      </c>
      <c r="J47" t="str">
        <f>RTD("tos.rtd", , "EXPIRATION_DAY", "./6EU5C1.15")</f>
        <v>05.09.2015</v>
      </c>
      <c r="K47">
        <f>RTD("tos.rtd", , "STRIKE", "./6EU5C1.15")</f>
        <v>1.1499999999999999</v>
      </c>
      <c r="L47">
        <f>RTD("tos.rtd", , "BID", "./6EU5P1.15")</f>
        <v>3.3700000000000001E-2</v>
      </c>
      <c r="M47" t="str">
        <f>RTD("tos.rtd", , "BX", "./6EU5P1.15")</f>
        <v>G</v>
      </c>
      <c r="N47">
        <f>RTD("tos.rtd", , "ASK", "./6EU5P1.15")</f>
        <v>3.73E-2</v>
      </c>
      <c r="O47" t="str">
        <f>RTD("tos.rtd", , "AX", "./6EU5P1.15")</f>
        <v>G</v>
      </c>
      <c r="P47" t="str">
        <f>RTD("tos.rtd", , "IMPL_VOL", "./6EU5P1.15")</f>
        <v>12,13%</v>
      </c>
      <c r="Q47" t="str">
        <f>RTD("tos.rtd", , "PROB_OTM", "./6EU5P1.15")</f>
        <v>52,67%</v>
      </c>
      <c r="R47">
        <f>RTD("tos.rtd", , "DELTA", "./6EU5P1.15")</f>
        <v>-0.42</v>
      </c>
    </row>
    <row r="48" spans="1:18" x14ac:dyDescent="0.25">
      <c r="C48" t="str">
        <f>RTD("tos.rtd", , "IMPL_VOL", "./6EU5C1.155")</f>
        <v>1,44%</v>
      </c>
      <c r="D48" t="str">
        <f>RTD("tos.rtd", , "PROB_OTM", "./6EU5C1.155")</f>
        <v>27,93%</v>
      </c>
      <c r="E48">
        <f>RTD("tos.rtd", , "DELTA", "./6EU5C1.155")</f>
        <v>0.72</v>
      </c>
      <c r="F48">
        <f>RTD("tos.rtd", , "BID", "./6EU5C1.155")</f>
        <v>4.1200000000000001E-2</v>
      </c>
      <c r="G48" t="str">
        <f>RTD("tos.rtd", , "BX", "./6EU5C1.155")</f>
        <v>G</v>
      </c>
      <c r="H48">
        <f>RTD("tos.rtd", , "ASK", "./6EU5C1.155")</f>
        <v>4.5199999999999997E-2</v>
      </c>
      <c r="I48" t="str">
        <f>RTD("tos.rtd", , "AX", "./6EU5C1.155")</f>
        <v>G</v>
      </c>
      <c r="J48" t="str">
        <f>RTD("tos.rtd", , "EXPIRATION_DAY", "./6EU5C1.155")</f>
        <v>05.09.2015</v>
      </c>
      <c r="K48">
        <f>RTD("tos.rtd", , "STRIKE", "./6EU5C1.155")</f>
        <v>1.155</v>
      </c>
      <c r="L48">
        <f>RTD("tos.rtd", , "BID", "./6EU5P1.155")</f>
        <v>3.5700000000000003E-2</v>
      </c>
      <c r="M48" t="str">
        <f>RTD("tos.rtd", , "BX", "./6EU5P1.155")</f>
        <v>G</v>
      </c>
      <c r="N48">
        <f>RTD("tos.rtd", , "ASK", "./6EU5P1.155")</f>
        <v>3.9399999999999998E-2</v>
      </c>
      <c r="O48" t="str">
        <f>RTD("tos.rtd", , "AX", "./6EU5P1.155")</f>
        <v>G</v>
      </c>
      <c r="P48" t="str">
        <f>RTD("tos.rtd", , "IMPL_VOL", "./6EU5P1.155")</f>
        <v>12,07%</v>
      </c>
      <c r="Q48" t="str">
        <f>RTD("tos.rtd", , "PROB_OTM", "./6EU5P1.155")</f>
        <v>50,90%</v>
      </c>
      <c r="R48">
        <f>RTD("tos.rtd", , "DELTA", "./6EU5P1.155")</f>
        <v>-0.44</v>
      </c>
    </row>
    <row r="49" spans="1:18" x14ac:dyDescent="0.25">
      <c r="C49" t="str">
        <f>RTD("tos.rtd", , "IMPL_VOL", "./6EU5C1.16")</f>
        <v>2,25%</v>
      </c>
      <c r="D49" t="str">
        <f>RTD("tos.rtd", , "PROB_OTM", "./6EU5C1.16")</f>
        <v>44,93%</v>
      </c>
      <c r="E49">
        <f>RTD("tos.rtd", , "DELTA", "./6EU5C1.16")</f>
        <v>0.56000000000000005</v>
      </c>
      <c r="F49">
        <f>RTD("tos.rtd", , "BID", "./6EU5C1.16")</f>
        <v>3.8399999999999997E-2</v>
      </c>
      <c r="G49" t="str">
        <f>RTD("tos.rtd", , "BX", "./6EU5C1.16")</f>
        <v>G</v>
      </c>
      <c r="H49">
        <f>RTD("tos.rtd", , "ASK", "./6EU5C1.16")</f>
        <v>4.24E-2</v>
      </c>
      <c r="I49" t="str">
        <f>RTD("tos.rtd", , "AX", "./6EU5C1.16")</f>
        <v>G</v>
      </c>
      <c r="J49" t="str">
        <f>RTD("tos.rtd", , "EXPIRATION_DAY", "./6EU5C1.16")</f>
        <v>05.09.2015</v>
      </c>
      <c r="K49">
        <f>RTD("tos.rtd", , "STRIKE", "./6EU5C1.16")</f>
        <v>1.1599999999999999</v>
      </c>
      <c r="L49">
        <f>RTD("tos.rtd", , "BID", "./6EU5P1.16")</f>
        <v>3.7900000000000003E-2</v>
      </c>
      <c r="M49" t="str">
        <f>RTD("tos.rtd", , "BX", "./6EU5P1.16")</f>
        <v>G</v>
      </c>
      <c r="N49">
        <f>RTD("tos.rtd", , "ASK", "./6EU5P1.16")</f>
        <v>4.1599999999999998E-2</v>
      </c>
      <c r="O49" t="str">
        <f>RTD("tos.rtd", , "AX", "./6EU5P1.16")</f>
        <v>G</v>
      </c>
      <c r="P49" t="str">
        <f>RTD("tos.rtd", , "IMPL_VOL", "./6EU5P1.16")</f>
        <v>11,95%</v>
      </c>
      <c r="Q49" t="str">
        <f>RTD("tos.rtd", , "PROB_OTM", "./6EU5P1.16")</f>
        <v>49,13%</v>
      </c>
      <c r="R49">
        <f>RTD("tos.rtd", , "DELTA", "./6EU5P1.16")</f>
        <v>-0.45</v>
      </c>
    </row>
    <row r="50" spans="1:18" x14ac:dyDescent="0.25">
      <c r="C50" t="str">
        <f>RTD("tos.rtd", , "IMPL_VOL", "./6EU5C1.165")</f>
        <v>2,88%</v>
      </c>
      <c r="D50" t="str">
        <f>RTD("tos.rtd", , "PROB_OTM", "./6EU5C1.165")</f>
        <v>53,69%</v>
      </c>
      <c r="E50">
        <f>RTD("tos.rtd", , "DELTA", "./6EU5C1.165")</f>
        <v>0.47</v>
      </c>
      <c r="F50">
        <f>RTD("tos.rtd", , "BID", "./6EU5C1.165")</f>
        <v>3.5799999999999998E-2</v>
      </c>
      <c r="G50" t="str">
        <f>RTD("tos.rtd", , "BX", "./6EU5C1.165")</f>
        <v>G</v>
      </c>
      <c r="H50">
        <f>RTD("tos.rtd", , "ASK", "./6EU5C1.165")</f>
        <v>3.9600000000000003E-2</v>
      </c>
      <c r="I50" t="str">
        <f>RTD("tos.rtd", , "AX", "./6EU5C1.165")</f>
        <v>G</v>
      </c>
      <c r="J50" t="str">
        <f>RTD("tos.rtd", , "EXPIRATION_DAY", "./6EU5C1.165")</f>
        <v>05.09.2015</v>
      </c>
      <c r="K50">
        <f>RTD("tos.rtd", , "STRIKE", "./6EU5C1.165")</f>
        <v>1.165</v>
      </c>
      <c r="L50">
        <f>RTD("tos.rtd", , "BID", "./6EU5P1.165")</f>
        <v>4.0099999999999997E-2</v>
      </c>
      <c r="M50" t="str">
        <f>RTD("tos.rtd", , "BX", "./6EU5P1.165")</f>
        <v>G</v>
      </c>
      <c r="N50">
        <f>RTD("tos.rtd", , "ASK", "./6EU5P1.165")</f>
        <v>4.3999999999999997E-2</v>
      </c>
      <c r="O50" t="str">
        <f>RTD("tos.rtd", , "AX", "./6EU5P1.165")</f>
        <v>G</v>
      </c>
      <c r="P50" t="str">
        <f>RTD("tos.rtd", , "IMPL_VOL", "./6EU5P1.165")</f>
        <v>11,85%</v>
      </c>
      <c r="Q50" t="str">
        <f>RTD("tos.rtd", , "PROB_OTM", "./6EU5P1.165")</f>
        <v>47,34%</v>
      </c>
      <c r="R50">
        <f>RTD("tos.rtd", , "DELTA", "./6EU5P1.165")</f>
        <v>-0.47</v>
      </c>
    </row>
    <row r="51" spans="1:18" x14ac:dyDescent="0.25">
      <c r="C51" t="str">
        <f>RTD("tos.rtd", , "IMPL_VOL", "./6EU5C1.17")</f>
        <v>3,42%</v>
      </c>
      <c r="D51" t="str">
        <f>RTD("tos.rtd", , "PROB_OTM", "./6EU5C1.17")</f>
        <v>59,47%</v>
      </c>
      <c r="E51">
        <f>RTD("tos.rtd", , "DELTA", "./6EU5C1.17")</f>
        <v>0.42</v>
      </c>
      <c r="F51">
        <f>RTD("tos.rtd", , "BID", "./6EU5C1.17")</f>
        <v>3.32E-2</v>
      </c>
      <c r="G51" t="str">
        <f>RTD("tos.rtd", , "BX", "./6EU5C1.17")</f>
        <v>G</v>
      </c>
      <c r="H51">
        <f>RTD("tos.rtd", , "ASK", "./6EU5C1.17")</f>
        <v>3.6999999999999998E-2</v>
      </c>
      <c r="I51" t="str">
        <f>RTD("tos.rtd", , "AX", "./6EU5C1.17")</f>
        <v>G</v>
      </c>
      <c r="J51" t="str">
        <f>RTD("tos.rtd", , "EXPIRATION_DAY", "./6EU5C1.17")</f>
        <v>05.09.2015</v>
      </c>
      <c r="K51">
        <f>RTD("tos.rtd", , "STRIKE", "./6EU5C1.17")</f>
        <v>1.17</v>
      </c>
      <c r="L51">
        <f>RTD("tos.rtd", , "BID", "./6EU5P1.17")</f>
        <v>4.24E-2</v>
      </c>
      <c r="M51" t="str">
        <f>RTD("tos.rtd", , "BX", "./6EU5P1.17")</f>
        <v>G</v>
      </c>
      <c r="N51">
        <f>RTD("tos.rtd", , "ASK", "./6EU5P1.17")</f>
        <v>4.6399999999999997E-2</v>
      </c>
      <c r="O51" t="str">
        <f>RTD("tos.rtd", , "AX", "./6EU5P1.17")</f>
        <v>G</v>
      </c>
      <c r="P51" t="str">
        <f>RTD("tos.rtd", , "IMPL_VOL", "./6EU5P1.17")</f>
        <v>11,69%</v>
      </c>
      <c r="Q51" t="str">
        <f>RTD("tos.rtd", , "PROB_OTM", "./6EU5P1.17")</f>
        <v>45,52%</v>
      </c>
      <c r="R51">
        <f>RTD("tos.rtd", , "DELTA", "./6EU5P1.17")</f>
        <v>-0.49</v>
      </c>
    </row>
    <row r="52" spans="1:18" x14ac:dyDescent="0.25">
      <c r="C52" t="str">
        <f>RTD("tos.rtd", , "IMPL_VOL", "./6EU5C1.175")</f>
        <v>3,90%</v>
      </c>
      <c r="D52" t="str">
        <f>RTD("tos.rtd", , "PROB_OTM", "./6EU5C1.175")</f>
        <v>63,73%</v>
      </c>
      <c r="E52">
        <f>RTD("tos.rtd", , "DELTA", "./6EU5C1.175")</f>
        <v>0.37</v>
      </c>
      <c r="F52">
        <f>RTD("tos.rtd", , "BID", "./6EU5C1.175")</f>
        <v>3.0800000000000001E-2</v>
      </c>
      <c r="G52" t="str">
        <f>RTD("tos.rtd", , "BX", "./6EU5C1.175")</f>
        <v>G</v>
      </c>
      <c r="H52">
        <f>RTD("tos.rtd", , "ASK", "./6EU5C1.175")</f>
        <v>3.44E-2</v>
      </c>
      <c r="I52" t="str">
        <f>RTD("tos.rtd", , "AX", "./6EU5C1.175")</f>
        <v>G</v>
      </c>
      <c r="J52" t="str">
        <f>RTD("tos.rtd", , "EXPIRATION_DAY", "./6EU5C1.175")</f>
        <v>05.09.2015</v>
      </c>
      <c r="K52">
        <f>RTD("tos.rtd", , "STRIKE", "./6EU5C1.175")</f>
        <v>1.175</v>
      </c>
      <c r="L52">
        <f>RTD("tos.rtd", , "BID", "./6EU5P1.175")</f>
        <v>4.4900000000000002E-2</v>
      </c>
      <c r="M52" t="str">
        <f>RTD("tos.rtd", , "BX", "./6EU5P1.175")</f>
        <v>G</v>
      </c>
      <c r="N52">
        <f>RTD("tos.rtd", , "ASK", "./6EU5P1.175")</f>
        <v>4.9000000000000002E-2</v>
      </c>
      <c r="O52" t="str">
        <f>RTD("tos.rtd", , "AX", "./6EU5P1.175")</f>
        <v>G</v>
      </c>
      <c r="P52" t="str">
        <f>RTD("tos.rtd", , "IMPL_VOL", "./6EU5P1.175")</f>
        <v>11,54%</v>
      </c>
      <c r="Q52" t="str">
        <f>RTD("tos.rtd", , "PROB_OTM", "./6EU5P1.175")</f>
        <v>43,67%</v>
      </c>
      <c r="R52">
        <f>RTD("tos.rtd", , "DELTA", "./6EU5P1.175")</f>
        <v>-0.51</v>
      </c>
    </row>
    <row r="53" spans="1:18" x14ac:dyDescent="0.25">
      <c r="C53" t="str">
        <f>RTD("tos.rtd", , "IMPL_VOL", "./6EU5C1.18")</f>
        <v>4,34%</v>
      </c>
      <c r="D53" t="str">
        <f>RTD("tos.rtd", , "PROB_OTM", "./6EU5C1.18")</f>
        <v>67,06%</v>
      </c>
      <c r="E53">
        <f>RTD("tos.rtd", , "DELTA", "./6EU5C1.18")</f>
        <v>0.34</v>
      </c>
      <c r="F53">
        <f>RTD("tos.rtd", , "BID", "./6EU5C1.18")</f>
        <v>2.8400000000000002E-2</v>
      </c>
      <c r="G53" t="str">
        <f>RTD("tos.rtd", , "BX", "./6EU5C1.18")</f>
        <v>G</v>
      </c>
      <c r="H53">
        <f>RTD("tos.rtd", , "ASK", "./6EU5C1.18")</f>
        <v>3.2099999999999997E-2</v>
      </c>
      <c r="I53" t="str">
        <f>RTD("tos.rtd", , "AX", "./6EU5C1.18")</f>
        <v>G</v>
      </c>
      <c r="J53" t="str">
        <f>RTD("tos.rtd", , "EXPIRATION_DAY", "./6EU5C1.18")</f>
        <v>05.09.2015</v>
      </c>
      <c r="K53">
        <f>RTD("tos.rtd", , "STRIKE", "./6EU5C1.18")</f>
        <v>1.18</v>
      </c>
      <c r="L53">
        <f>RTD("tos.rtd", , "BID", "./6EU5P1.18")</f>
        <v>1.7999999999999999E-2</v>
      </c>
      <c r="M53" t="str">
        <f>RTD("tos.rtd", , "BX", "./6EU5P1.18")</f>
        <v>G</v>
      </c>
      <c r="N53">
        <f>RTD("tos.rtd", , "ASK", "./6EU5P1.18")</f>
        <v>5.16E-2</v>
      </c>
      <c r="O53" t="str">
        <f>RTD("tos.rtd", , "AX", "./6EU5P1.18")</f>
        <v>G</v>
      </c>
      <c r="P53" t="str">
        <f>RTD("tos.rtd", , "IMPL_VOL", "./6EU5P1.18")</f>
        <v>11,33%</v>
      </c>
      <c r="Q53" t="str">
        <f>RTD("tos.rtd", , "PROB_OTM", "./6EU5P1.18")</f>
        <v>41,78%</v>
      </c>
      <c r="R53">
        <f>RTD("tos.rtd", , "DELTA", "./6EU5P1.18")</f>
        <v>-0.53</v>
      </c>
    </row>
    <row r="54" spans="1:18" x14ac:dyDescent="0.25">
      <c r="A54" t="s">
        <v>334</v>
      </c>
    </row>
    <row r="55" spans="1:18" x14ac:dyDescent="0.25">
      <c r="C55" t="s">
        <v>324</v>
      </c>
      <c r="D55" t="s">
        <v>325</v>
      </c>
      <c r="E55" t="s">
        <v>326</v>
      </c>
      <c r="F55" t="s">
        <v>9</v>
      </c>
      <c r="G55" t="s">
        <v>318</v>
      </c>
      <c r="H55" t="s">
        <v>10</v>
      </c>
      <c r="I55" t="s">
        <v>319</v>
      </c>
      <c r="J55" t="s">
        <v>314</v>
      </c>
      <c r="K55" t="s">
        <v>327</v>
      </c>
      <c r="L55" t="s">
        <v>9</v>
      </c>
      <c r="M55" t="s">
        <v>318</v>
      </c>
      <c r="N55" t="s">
        <v>10</v>
      </c>
      <c r="O55" t="s">
        <v>319</v>
      </c>
      <c r="P55" t="s">
        <v>324</v>
      </c>
      <c r="Q55" t="s">
        <v>325</v>
      </c>
      <c r="R55" t="s">
        <v>326</v>
      </c>
    </row>
    <row r="56" spans="1:18" x14ac:dyDescent="0.25">
      <c r="C56" t="str">
        <f>RTD("tos.rtd", , "IMPL_VOL", "./6EZ5C1.145")</f>
        <v>11,56%</v>
      </c>
      <c r="D56" t="str">
        <f>RTD("tos.rtd", , "PROB_OTM", "./6EZ5C1.145")</f>
        <v>45,32%</v>
      </c>
      <c r="E56">
        <f>RTD("tos.rtd", , "DELTA", "./6EZ5C1.145")</f>
        <v>0.59</v>
      </c>
      <c r="F56">
        <f>RTD("tos.rtd", , "BID", "./6EZ5C1.145")</f>
        <v>5.4600000000000003E-2</v>
      </c>
      <c r="G56" t="str">
        <f>RTD("tos.rtd", , "BX", "./6EZ5C1.145")</f>
        <v>G</v>
      </c>
      <c r="H56">
        <f>RTD("tos.rtd", , "ASK", "./6EZ5C1.145")</f>
        <v>5.91E-2</v>
      </c>
      <c r="I56" t="str">
        <f>RTD("tos.rtd", , "AX", "./6EZ5C1.145")</f>
        <v>G</v>
      </c>
      <c r="J56" t="str">
        <f>RTD("tos.rtd", , "EXPIRATION_DAY", "./6EZ5C1.145")</f>
        <v>05.12.2015</v>
      </c>
      <c r="K56">
        <f>RTD("tos.rtd", , "STRIKE", "./6EZ5C1.145")</f>
        <v>1.145</v>
      </c>
      <c r="L56">
        <f>RTD("tos.rtd", , "BID", "./6EZ5P1.145")</f>
        <v>3.7900000000000003E-2</v>
      </c>
      <c r="M56" t="str">
        <f>RTD("tos.rtd", , "BX", "./6EZ5P1.145")</f>
        <v>G</v>
      </c>
      <c r="N56">
        <f>RTD("tos.rtd", , "ASK", "./6EZ5P1.145")</f>
        <v>4.1300000000000003E-2</v>
      </c>
      <c r="O56" t="str">
        <f>RTD("tos.rtd", , "AX", "./6EZ5P1.145")</f>
        <v>G</v>
      </c>
      <c r="P56" t="str">
        <f>RTD("tos.rtd", , "IMPL_VOL", "./6EZ5P1.145")</f>
        <v>7,97%</v>
      </c>
      <c r="Q56" t="str">
        <f>RTD("tos.rtd", , "PROB_OTM", "./6EZ5P1.145")</f>
        <v>58,39%</v>
      </c>
      <c r="R56">
        <f>RTD("tos.rtd", , "DELTA", "./6EZ5P1.145")</f>
        <v>-0.37</v>
      </c>
    </row>
    <row r="57" spans="1:18" x14ac:dyDescent="0.25">
      <c r="C57" t="str">
        <f>RTD("tos.rtd", , "IMPL_VOL", "./6EZ5C1.15")</f>
        <v>11,24%</v>
      </c>
      <c r="D57" t="str">
        <f>RTD("tos.rtd", , "PROB_OTM", "./6EZ5C1.15")</f>
        <v>46,70%</v>
      </c>
      <c r="E57">
        <f>RTD("tos.rtd", , "DELTA", "./6EZ5C1.15")</f>
        <v>0.56999999999999995</v>
      </c>
      <c r="F57">
        <f>RTD("tos.rtd", , "BID", "./6EZ5C1.15")</f>
        <v>5.16E-2</v>
      </c>
      <c r="G57" t="str">
        <f>RTD("tos.rtd", , "BX", "./6EZ5C1.15")</f>
        <v>G</v>
      </c>
      <c r="H57">
        <f>RTD("tos.rtd", , "ASK", "./6EZ5C1.15")</f>
        <v>5.62E-2</v>
      </c>
      <c r="I57" t="str">
        <f>RTD("tos.rtd", , "AX", "./6EZ5C1.15")</f>
        <v>G</v>
      </c>
      <c r="J57" t="str">
        <f>RTD("tos.rtd", , "EXPIRATION_DAY", "./6EZ5C1.15")</f>
        <v>05.12.2015</v>
      </c>
      <c r="K57">
        <f>RTD("tos.rtd", , "STRIKE", "./6EZ5C1.15")</f>
        <v>1.1499999999999999</v>
      </c>
      <c r="L57">
        <f>RTD("tos.rtd", , "BID", "./6EZ5P1.15")</f>
        <v>4.1200000000000001E-2</v>
      </c>
      <c r="M57" t="str">
        <f>RTD("tos.rtd", , "BX", "./6EZ5P1.15")</f>
        <v>G</v>
      </c>
      <c r="N57">
        <f>RTD("tos.rtd", , "ASK", "./6EZ5P1.15")</f>
        <v>4.3499999999999997E-2</v>
      </c>
      <c r="O57" t="str">
        <f>RTD("tos.rtd", , "AX", "./6EZ5P1.15")</f>
        <v>G</v>
      </c>
      <c r="P57" t="str">
        <f>RTD("tos.rtd", , "IMPL_VOL", "./6EZ5P1.15")</f>
        <v>8,64%</v>
      </c>
      <c r="Q57" t="str">
        <f>RTD("tos.rtd", , "PROB_OTM", "./6EZ5P1.15")</f>
        <v>55,40%</v>
      </c>
      <c r="R57">
        <f>RTD("tos.rtd", , "DELTA", "./6EZ5P1.15")</f>
        <v>-0.39</v>
      </c>
    </row>
    <row r="58" spans="1:18" x14ac:dyDescent="0.25">
      <c r="C58" t="str">
        <f>RTD("tos.rtd", , "IMPL_VOL", "./6EZ5C1.155")</f>
        <v>10,96%</v>
      </c>
      <c r="D58" t="str">
        <f>RTD("tos.rtd", , "PROB_OTM", "./6EZ5C1.155")</f>
        <v>48,19%</v>
      </c>
      <c r="E58">
        <f>RTD("tos.rtd", , "DELTA", "./6EZ5C1.155")</f>
        <v>0.56000000000000005</v>
      </c>
      <c r="F58">
        <f>RTD("tos.rtd", , "BID", "./6EZ5C1.155")</f>
        <v>4.9200000000000001E-2</v>
      </c>
      <c r="G58" t="str">
        <f>RTD("tos.rtd", , "BX", "./6EZ5C1.155")</f>
        <v>G</v>
      </c>
      <c r="H58">
        <f>RTD("tos.rtd", , "ASK", "./6EZ5C1.155")</f>
        <v>5.28E-2</v>
      </c>
      <c r="I58" t="str">
        <f>RTD("tos.rtd", , "AX", "./6EZ5C1.155")</f>
        <v>G</v>
      </c>
      <c r="J58" t="str">
        <f>RTD("tos.rtd", , "EXPIRATION_DAY", "./6EZ5C1.155")</f>
        <v>05.12.2015</v>
      </c>
      <c r="K58">
        <f>RTD("tos.rtd", , "STRIKE", "./6EZ5C1.155")</f>
        <v>1.155</v>
      </c>
      <c r="L58">
        <f>RTD("tos.rtd", , "BID", "./6EZ5P1.155")</f>
        <v>4.2000000000000003E-2</v>
      </c>
      <c r="M58" t="str">
        <f>RTD("tos.rtd", , "BX", "./6EZ5P1.155")</f>
        <v>G</v>
      </c>
      <c r="N58">
        <f>RTD("tos.rtd", , "ASK", "./6EZ5P1.155")</f>
        <v>4.5400000000000003E-2</v>
      </c>
      <c r="O58" t="str">
        <f>RTD("tos.rtd", , "AX", "./6EZ5P1.155")</f>
        <v>G</v>
      </c>
      <c r="P58" t="str">
        <f>RTD("tos.rtd", , "IMPL_VOL", "./6EZ5P1.155")</f>
        <v>9,27%</v>
      </c>
      <c r="Q58" t="str">
        <f>RTD("tos.rtd", , "PROB_OTM", "./6EZ5P1.155")</f>
        <v>52,83%</v>
      </c>
      <c r="R58">
        <f>RTD("tos.rtd", , "DELTA", "./6EZ5P1.155")</f>
        <v>-0.42</v>
      </c>
    </row>
    <row r="59" spans="1:18" x14ac:dyDescent="0.25">
      <c r="C59" t="str">
        <f>RTD("tos.rtd", , "IMPL_VOL", "./6EZ5C1.16")</f>
        <v>10,76%</v>
      </c>
      <c r="D59" t="str">
        <f>RTD("tos.rtd", , "PROB_OTM", "./6EZ5C1.16")</f>
        <v>49,79%</v>
      </c>
      <c r="E59">
        <f>RTD("tos.rtd", , "DELTA", "./6EZ5C1.16")</f>
        <v>0.54</v>
      </c>
      <c r="F59">
        <f>RTD("tos.rtd", , "BID", "./6EZ5C1.16")</f>
        <v>4.6399999999999997E-2</v>
      </c>
      <c r="G59" t="str">
        <f>RTD("tos.rtd", , "BX", "./6EZ5C1.16")</f>
        <v>G</v>
      </c>
      <c r="H59">
        <f>RTD("tos.rtd", , "ASK", "./6EZ5C1.16")</f>
        <v>0.05</v>
      </c>
      <c r="I59" t="str">
        <f>RTD("tos.rtd", , "AX", "./6EZ5C1.16")</f>
        <v>G</v>
      </c>
      <c r="J59" t="str">
        <f>RTD("tos.rtd", , "EXPIRATION_DAY", "./6EZ5C1.16")</f>
        <v>05.12.2015</v>
      </c>
      <c r="K59">
        <f>RTD("tos.rtd", , "STRIKE", "./6EZ5C1.16")</f>
        <v>1.1599999999999999</v>
      </c>
      <c r="L59">
        <f>RTD("tos.rtd", , "BID", "./6EZ5P1.16")</f>
        <v>4.4999999999999998E-2</v>
      </c>
      <c r="M59" t="str">
        <f>RTD("tos.rtd", , "BX", "./6EZ5P1.16")</f>
        <v>G</v>
      </c>
      <c r="N59">
        <f>RTD("tos.rtd", , "ASK", "./6EZ5P1.16")</f>
        <v>4.7800000000000002E-2</v>
      </c>
      <c r="O59" t="str">
        <f>RTD("tos.rtd", , "AX", "./6EZ5P1.16")</f>
        <v>G</v>
      </c>
      <c r="P59" t="str">
        <f>RTD("tos.rtd", , "IMPL_VOL", "./6EZ5P1.16")</f>
        <v>9,87%</v>
      </c>
      <c r="Q59" t="str">
        <f>RTD("tos.rtd", , "PROB_OTM", "./6EZ5P1.16")</f>
        <v>50,58%</v>
      </c>
      <c r="R59">
        <f>RTD("tos.rtd", , "DELTA", "./6EZ5P1.16")</f>
        <v>-0.44</v>
      </c>
    </row>
    <row r="60" spans="1:18" x14ac:dyDescent="0.25">
      <c r="C60" t="str">
        <f>RTD("tos.rtd", , "IMPL_VOL", "./6EZ5C1.165")</f>
        <v>10,64%</v>
      </c>
      <c r="D60" t="str">
        <f>RTD("tos.rtd", , "PROB_OTM", "./6EZ5C1.165")</f>
        <v>51,45%</v>
      </c>
      <c r="E60">
        <f>RTD("tos.rtd", , "DELTA", "./6EZ5C1.165")</f>
        <v>0.53</v>
      </c>
      <c r="F60">
        <f>RTD("tos.rtd", , "BID", "./6EZ5C1.165")</f>
        <v>4.3700000000000003E-2</v>
      </c>
      <c r="G60" t="str">
        <f>RTD("tos.rtd", , "BX", "./6EZ5C1.165")</f>
        <v>G</v>
      </c>
      <c r="H60">
        <f>RTD("tos.rtd", , "ASK", "./6EZ5C1.165")</f>
        <v>4.7300000000000002E-2</v>
      </c>
      <c r="I60" t="str">
        <f>RTD("tos.rtd", , "AX", "./6EZ5C1.165")</f>
        <v>G</v>
      </c>
      <c r="J60" t="str">
        <f>RTD("tos.rtd", , "EXPIRATION_DAY", "./6EZ5C1.165")</f>
        <v>05.12.2015</v>
      </c>
      <c r="K60">
        <f>RTD("tos.rtd", , "STRIKE", "./6EZ5C1.165")</f>
        <v>1.165</v>
      </c>
      <c r="L60">
        <f>RTD("tos.rtd", , "BID", "./6EZ5P1.165")</f>
        <v>4.65E-2</v>
      </c>
      <c r="M60" t="str">
        <f>RTD("tos.rtd", , "BX", "./6EZ5P1.165")</f>
        <v>G</v>
      </c>
      <c r="N60">
        <f>RTD("tos.rtd", , "ASK", "./6EZ5P1.165")</f>
        <v>0.05</v>
      </c>
      <c r="O60" t="str">
        <f>RTD("tos.rtd", , "AX", "./6EZ5P1.165")</f>
        <v>G</v>
      </c>
      <c r="P60" t="str">
        <f>RTD("tos.rtd", , "IMPL_VOL", "./6EZ5P1.165")</f>
        <v>10,43%</v>
      </c>
      <c r="Q60" t="str">
        <f>RTD("tos.rtd", , "PROB_OTM", "./6EZ5P1.165")</f>
        <v>48,59%</v>
      </c>
      <c r="R60">
        <f>RTD("tos.rtd", , "DELTA", "./6EZ5P1.165")</f>
        <v>-0.46</v>
      </c>
    </row>
    <row r="61" spans="1:18" x14ac:dyDescent="0.25">
      <c r="C61" t="str">
        <f>RTD("tos.rtd", , "IMPL_VOL", "./6EZ5C1.17")</f>
        <v>10,50%</v>
      </c>
      <c r="D61" t="str">
        <f>RTD("tos.rtd", , "PROB_OTM", "./6EZ5C1.17")</f>
        <v>53,15%</v>
      </c>
      <c r="E61">
        <f>RTD("tos.rtd", , "DELTA", "./6EZ5C1.17")</f>
        <v>0.51</v>
      </c>
      <c r="F61">
        <f>RTD("tos.rtd", , "BID", "./6EZ5C1.17")</f>
        <v>4.1000000000000002E-2</v>
      </c>
      <c r="G61" t="str">
        <f>RTD("tos.rtd", , "BX", "./6EZ5C1.17")</f>
        <v>G</v>
      </c>
      <c r="H61">
        <f>RTD("tos.rtd", , "ASK", "./6EZ5C1.17")</f>
        <v>4.4699999999999997E-2</v>
      </c>
      <c r="I61" t="str">
        <f>RTD("tos.rtd", , "AX", "./6EZ5C1.17")</f>
        <v>G</v>
      </c>
      <c r="J61" t="str">
        <f>RTD("tos.rtd", , "EXPIRATION_DAY", "./6EZ5C1.17")</f>
        <v>05.12.2015</v>
      </c>
      <c r="K61">
        <f>RTD("tos.rtd", , "STRIKE", "./6EZ5C1.17")</f>
        <v>1.17</v>
      </c>
      <c r="L61">
        <f>RTD("tos.rtd", , "BID", "./6EZ5P1.17")</f>
        <v>4.8800000000000003E-2</v>
      </c>
      <c r="M61" t="str">
        <f>RTD("tos.rtd", , "BX", "./6EZ5P1.17")</f>
        <v>G</v>
      </c>
      <c r="N61">
        <f>RTD("tos.rtd", , "ASK", "./6EZ5P1.17")</f>
        <v>5.2400000000000002E-2</v>
      </c>
      <c r="O61" t="str">
        <f>RTD("tos.rtd", , "AX", "./6EZ5P1.17")</f>
        <v>G</v>
      </c>
      <c r="P61" t="str">
        <f>RTD("tos.rtd", , "IMPL_VOL", "./6EZ5P1.17")</f>
        <v>10,98%</v>
      </c>
      <c r="Q61" t="str">
        <f>RTD("tos.rtd", , "PROB_OTM", "./6EZ5P1.17")</f>
        <v>46,81%</v>
      </c>
      <c r="R61">
        <f>RTD("tos.rtd", , "DELTA", "./6EZ5P1.17")</f>
        <v>-0.48</v>
      </c>
    </row>
    <row r="62" spans="1:18" x14ac:dyDescent="0.25">
      <c r="C62" t="str">
        <f>RTD("tos.rtd", , "IMPL_VOL", "./6EZ5C1.175")</f>
        <v>10,34%</v>
      </c>
      <c r="D62" t="str">
        <f>RTD("tos.rtd", , "PROB_OTM", "./6EZ5C1.175")</f>
        <v>54,88%</v>
      </c>
      <c r="E62">
        <f>RTD("tos.rtd", , "DELTA", "./6EZ5C1.175")</f>
        <v>0.49</v>
      </c>
      <c r="F62">
        <f>RTD("tos.rtd", , "BID", "./6EZ5C1.175")</f>
        <v>3.8699999999999998E-2</v>
      </c>
      <c r="G62" t="str">
        <f>RTD("tos.rtd", , "BX", "./6EZ5C1.175")</f>
        <v>G</v>
      </c>
      <c r="H62">
        <f>RTD("tos.rtd", , "ASK", "./6EZ5C1.175")</f>
        <v>4.2200000000000001E-2</v>
      </c>
      <c r="I62" t="str">
        <f>RTD("tos.rtd", , "AX", "./6EZ5C1.175")</f>
        <v>G</v>
      </c>
      <c r="J62" t="str">
        <f>RTD("tos.rtd", , "EXPIRATION_DAY", "./6EZ5C1.175")</f>
        <v>05.12.2015</v>
      </c>
      <c r="K62">
        <f>RTD("tos.rtd", , "STRIKE", "./6EZ5C1.175")</f>
        <v>1.175</v>
      </c>
      <c r="L62">
        <f>RTD("tos.rtd", , "BID", "./6EZ5P1.175")</f>
        <v>5.0700000000000002E-2</v>
      </c>
      <c r="M62" t="str">
        <f>RTD("tos.rtd", , "BX", "./6EZ5P1.175")</f>
        <v>G</v>
      </c>
      <c r="N62">
        <f>RTD("tos.rtd", , "ASK", "./6EZ5P1.175")</f>
        <v>5.5300000000000002E-2</v>
      </c>
      <c r="O62" t="str">
        <f>RTD("tos.rtd", , "AX", "./6EZ5P1.175")</f>
        <v>G</v>
      </c>
      <c r="P62" t="str">
        <f>RTD("tos.rtd", , "IMPL_VOL", "./6EZ5P1.175")</f>
        <v>11,51%</v>
      </c>
      <c r="Q62" t="str">
        <f>RTD("tos.rtd", , "PROB_OTM", "./6EZ5P1.175")</f>
        <v>45,20%</v>
      </c>
      <c r="R62">
        <f>RTD("tos.rtd", , "DELTA", "./6EZ5P1.175")</f>
        <v>-0.49</v>
      </c>
    </row>
    <row r="63" spans="1:18" x14ac:dyDescent="0.25">
      <c r="C63" t="str">
        <f>RTD("tos.rtd", , "IMPL_VOL", "./6EZ5C1.18")</f>
        <v>10,15%</v>
      </c>
      <c r="D63" t="str">
        <f>RTD("tos.rtd", , "PROB_OTM", "./6EZ5C1.18")</f>
        <v>56,66%</v>
      </c>
      <c r="E63">
        <f>RTD("tos.rtd", , "DELTA", "./6EZ5C1.18")</f>
        <v>0.47</v>
      </c>
      <c r="F63">
        <f>RTD("tos.rtd", , "BID", "./6EZ5C1.18")</f>
        <v>3.5999999999999997E-2</v>
      </c>
      <c r="G63" t="str">
        <f>RTD("tos.rtd", , "BX", "./6EZ5C1.18")</f>
        <v>G</v>
      </c>
      <c r="H63">
        <f>RTD("tos.rtd", , "ASK", "./6EZ5C1.18")</f>
        <v>3.9699999999999999E-2</v>
      </c>
      <c r="I63" t="str">
        <f>RTD("tos.rtd", , "AX", "./6EZ5C1.18")</f>
        <v>G</v>
      </c>
      <c r="J63" t="str">
        <f>RTD("tos.rtd", , "EXPIRATION_DAY", "./6EZ5C1.18")</f>
        <v>05.12.2015</v>
      </c>
      <c r="K63">
        <f>RTD("tos.rtd", , "STRIKE", "./6EZ5C1.18")</f>
        <v>1.18</v>
      </c>
      <c r="L63">
        <f>RTD("tos.rtd", , "BID", "./6EZ5P1.18")</f>
        <v>5.33E-2</v>
      </c>
      <c r="M63" t="str">
        <f>RTD("tos.rtd", , "BX", "./6EZ5P1.18")</f>
        <v>G</v>
      </c>
      <c r="N63">
        <f>RTD("tos.rtd", , "ASK", "./6EZ5P1.18")</f>
        <v>5.7799999999999997E-2</v>
      </c>
      <c r="O63" t="str">
        <f>RTD("tos.rtd", , "AX", "./6EZ5P1.18")</f>
        <v>G</v>
      </c>
      <c r="P63" t="str">
        <f>RTD("tos.rtd", , "IMPL_VOL", "./6EZ5P1.18")</f>
        <v>12,02%</v>
      </c>
      <c r="Q63" t="str">
        <f>RTD("tos.rtd", , "PROB_OTM", "./6EZ5P1.18")</f>
        <v>43,73%</v>
      </c>
      <c r="R63">
        <f>RTD("tos.rtd", , "DELTA", "./6EZ5P1.18")</f>
        <v>-0.5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2:AB151"/>
  <sheetViews>
    <sheetView topLeftCell="A97" workbookViewId="0">
      <selection activeCell="S106" sqref="S106"/>
    </sheetView>
  </sheetViews>
  <sheetFormatPr defaultRowHeight="15" x14ac:dyDescent="0.25"/>
  <cols>
    <col min="11" max="11" width="12" bestFit="1" customWidth="1"/>
    <col min="17" max="17" width="9.42578125" customWidth="1"/>
  </cols>
  <sheetData>
    <row r="2" spans="2:28" x14ac:dyDescent="0.25">
      <c r="J2" s="31"/>
      <c r="K2" s="31">
        <f>$B$59</f>
        <v>47</v>
      </c>
      <c r="L2" s="31">
        <f t="shared" ref="L2:AB2" si="0">K2+$C$3</f>
        <v>47.5</v>
      </c>
      <c r="M2" s="31">
        <f t="shared" si="0"/>
        <v>48</v>
      </c>
      <c r="N2" s="31">
        <f t="shared" si="0"/>
        <v>48.5</v>
      </c>
      <c r="O2" s="31">
        <f t="shared" si="0"/>
        <v>49</v>
      </c>
      <c r="P2" s="31">
        <f t="shared" si="0"/>
        <v>49.5</v>
      </c>
      <c r="Q2" s="31">
        <f t="shared" si="0"/>
        <v>50</v>
      </c>
      <c r="R2" s="31">
        <f t="shared" si="0"/>
        <v>50.5</v>
      </c>
      <c r="S2" s="31">
        <f t="shared" si="0"/>
        <v>51</v>
      </c>
      <c r="T2" s="31">
        <f t="shared" si="0"/>
        <v>51.5</v>
      </c>
      <c r="U2" s="31">
        <f t="shared" si="0"/>
        <v>52</v>
      </c>
      <c r="V2" s="31">
        <f t="shared" si="0"/>
        <v>52.5</v>
      </c>
      <c r="W2" s="31">
        <f t="shared" si="0"/>
        <v>53</v>
      </c>
      <c r="X2" s="31">
        <f t="shared" si="0"/>
        <v>53.5</v>
      </c>
      <c r="Y2" s="31">
        <f t="shared" si="0"/>
        <v>54</v>
      </c>
      <c r="Z2" s="31">
        <f t="shared" si="0"/>
        <v>54.5</v>
      </c>
      <c r="AA2" s="31">
        <f t="shared" si="0"/>
        <v>55</v>
      </c>
      <c r="AB2" s="31">
        <f t="shared" si="0"/>
        <v>55.5</v>
      </c>
    </row>
    <row r="3" spans="2:28" x14ac:dyDescent="0.25">
      <c r="B3" s="1" t="s">
        <v>4</v>
      </c>
      <c r="C3">
        <v>0.5</v>
      </c>
      <c r="J3" s="31">
        <v>0.01</v>
      </c>
      <c r="K3">
        <f>_xlfn.NORM.S.DIST((LN(K$2/$B$60)+($F$62+$F$61^2/2)*$J3)/($F$61*SQRT($J3)),0)/(K$2*$F$61*SQRT($J3))</f>
        <v>3.1580579934428601E-8</v>
      </c>
      <c r="L3">
        <f t="shared" ref="K3:T12" si="1">_xlfn.NORM.S.DIST((LN(L$2/$B$60)+($F$62+$F$61^2/2)*$J3)/($F$61*SQRT($J3)),0)/(L$2*$F$61*SQRT($J3))</f>
        <v>1.8702621833363638E-6</v>
      </c>
      <c r="M3">
        <f t="shared" si="1"/>
        <v>6.0475852324292232E-5</v>
      </c>
      <c r="N3">
        <f t="shared" si="1"/>
        <v>1.0874853655636653E-3</v>
      </c>
      <c r="O3">
        <f t="shared" si="1"/>
        <v>1.1068661332946117E-2</v>
      </c>
      <c r="P3">
        <f t="shared" si="1"/>
        <v>6.4860829549728147E-2</v>
      </c>
      <c r="Q3">
        <f t="shared" si="1"/>
        <v>0.22243394601143221</v>
      </c>
      <c r="R3">
        <f t="shared" si="1"/>
        <v>0.45353246846919909</v>
      </c>
      <c r="S3">
        <f>_xlfn.NORM.S.DIST((LN(S$2/$B$60)+($F$62+$F$61^2/2)*$J3)/($F$61*SQRT($J3)),0)/(S$2*$F$61*SQRT($J3))</f>
        <v>0.55823320619327965</v>
      </c>
      <c r="T3">
        <f t="shared" si="1"/>
        <v>0.42091911808416732</v>
      </c>
      <c r="U3">
        <f t="shared" ref="U3:AB12" si="2">_xlfn.NORM.S.DIST((LN(U$2/$B$60)+($F$62+$F$61^2/2)*$J3)/($F$61*SQRT($J3)),0)/(U$2*$F$61*SQRT($J3))</f>
        <v>0.19720045297884956</v>
      </c>
      <c r="V3">
        <f t="shared" si="2"/>
        <v>5.8194053641398034E-2</v>
      </c>
      <c r="W3">
        <f t="shared" si="2"/>
        <v>1.0960738131519005E-2</v>
      </c>
      <c r="X3">
        <f t="shared" si="2"/>
        <v>1.3345141670802953E-3</v>
      </c>
      <c r="Y3">
        <f t="shared" si="2"/>
        <v>1.0633383484244961E-4</v>
      </c>
      <c r="Z3">
        <f t="shared" si="2"/>
        <v>5.6110778654066317E-6</v>
      </c>
      <c r="AA3">
        <f t="shared" si="2"/>
        <v>1.983516062513642E-7</v>
      </c>
      <c r="AB3">
        <f t="shared" si="2"/>
        <v>4.7496480598430132E-9</v>
      </c>
    </row>
    <row r="4" spans="2:28" x14ac:dyDescent="0.25">
      <c r="B4" s="1" t="s">
        <v>3</v>
      </c>
      <c r="J4" s="31">
        <f t="shared" ref="J4:J35" si="3">J3+$C$5</f>
        <v>0.02</v>
      </c>
      <c r="K4">
        <f t="shared" si="1"/>
        <v>1.1067671007985784E-4</v>
      </c>
      <c r="L4">
        <f t="shared" si="1"/>
        <v>8.3365948333643505E-4</v>
      </c>
      <c r="M4">
        <f t="shared" si="1"/>
        <v>4.6410599794992407E-3</v>
      </c>
      <c r="N4">
        <f t="shared" si="1"/>
        <v>1.9271791201683621E-2</v>
      </c>
      <c r="O4">
        <f t="shared" si="1"/>
        <v>6.021928667857334E-2</v>
      </c>
      <c r="P4">
        <f t="shared" si="1"/>
        <v>0.14280670250061939</v>
      </c>
      <c r="Q4">
        <f t="shared" si="1"/>
        <v>0.25912953576713371</v>
      </c>
      <c r="R4">
        <f t="shared" si="1"/>
        <v>0.36263322223841854</v>
      </c>
      <c r="S4">
        <f t="shared" si="1"/>
        <v>0.39437055488264261</v>
      </c>
      <c r="T4">
        <f t="shared" si="1"/>
        <v>0.33574826729915963</v>
      </c>
      <c r="U4">
        <f t="shared" si="2"/>
        <v>0.22535600513976248</v>
      </c>
      <c r="V4">
        <f t="shared" si="2"/>
        <v>0.12007056309482024</v>
      </c>
      <c r="W4">
        <f t="shared" si="2"/>
        <v>5.1118605331856068E-2</v>
      </c>
      <c r="X4">
        <f t="shared" si="2"/>
        <v>1.750091826727538E-2</v>
      </c>
      <c r="Y4">
        <f t="shared" si="2"/>
        <v>4.8478811516852651E-3</v>
      </c>
      <c r="Z4">
        <f t="shared" si="2"/>
        <v>1.093029234995642E-3</v>
      </c>
      <c r="AA4">
        <f t="shared" si="2"/>
        <v>2.0174042830587631E-4</v>
      </c>
      <c r="AB4">
        <f t="shared" si="2"/>
        <v>3.065102081316116E-5</v>
      </c>
    </row>
    <row r="5" spans="2:28" x14ac:dyDescent="0.25">
      <c r="B5" s="1" t="s">
        <v>7</v>
      </c>
      <c r="C5">
        <v>0.01</v>
      </c>
      <c r="J5" s="31">
        <f t="shared" si="3"/>
        <v>0.03</v>
      </c>
      <c r="K5">
        <f t="shared" si="1"/>
        <v>1.5397972248638672E-3</v>
      </c>
      <c r="L5">
        <f t="shared" si="1"/>
        <v>5.8328302896077993E-3</v>
      </c>
      <c r="M5">
        <f t="shared" si="1"/>
        <v>1.8064425475278732E-2</v>
      </c>
      <c r="N5">
        <f t="shared" si="1"/>
        <v>4.6020381369861772E-2</v>
      </c>
      <c r="O5">
        <f t="shared" si="1"/>
        <v>9.7008775060999142E-2</v>
      </c>
      <c r="P5">
        <f t="shared" si="1"/>
        <v>0.17016328723486351</v>
      </c>
      <c r="Q5">
        <f t="shared" si="1"/>
        <v>0.24973770250721616</v>
      </c>
      <c r="R5">
        <f t="shared" si="1"/>
        <v>0.30828275793678095</v>
      </c>
      <c r="S5">
        <f t="shared" si="1"/>
        <v>0.32170859546749281</v>
      </c>
      <c r="T5">
        <f t="shared" si="1"/>
        <v>0.28519860769910127</v>
      </c>
      <c r="U5">
        <f t="shared" si="2"/>
        <v>0.21580000773852745</v>
      </c>
      <c r="V5">
        <f t="shared" si="2"/>
        <v>0.14000743674968094</v>
      </c>
      <c r="W5">
        <f t="shared" si="2"/>
        <v>7.8226513200497561E-2</v>
      </c>
      <c r="X5">
        <f t="shared" si="2"/>
        <v>3.7800884682611224E-2</v>
      </c>
      <c r="Y5">
        <f t="shared" si="2"/>
        <v>1.5862587780581229E-2</v>
      </c>
      <c r="Z5">
        <f t="shared" si="2"/>
        <v>5.8034847885288423E-3</v>
      </c>
      <c r="AA5">
        <f t="shared" si="2"/>
        <v>1.858263324826978E-3</v>
      </c>
      <c r="AB5">
        <f t="shared" si="2"/>
        <v>5.2267856736264216E-4</v>
      </c>
    </row>
    <row r="6" spans="2:28" x14ac:dyDescent="0.25">
      <c r="J6" s="31">
        <f t="shared" si="3"/>
        <v>0.04</v>
      </c>
      <c r="K6">
        <f t="shared" si="1"/>
        <v>5.50202464181445E-3</v>
      </c>
      <c r="L6">
        <f t="shared" si="1"/>
        <v>1.4780189970381019E-2</v>
      </c>
      <c r="M6">
        <f t="shared" si="1"/>
        <v>3.4141531050435263E-2</v>
      </c>
      <c r="N6">
        <f t="shared" si="1"/>
        <v>6.8127057556636908E-2</v>
      </c>
      <c r="O6">
        <f t="shared" si="1"/>
        <v>0.11795166628797447</v>
      </c>
      <c r="P6">
        <f t="shared" si="1"/>
        <v>0.17794256941707604</v>
      </c>
      <c r="Q6">
        <f t="shared" si="1"/>
        <v>0.23486757426028418</v>
      </c>
      <c r="R6">
        <f t="shared" si="1"/>
        <v>0.27229860201119155</v>
      </c>
      <c r="S6">
        <f t="shared" si="1"/>
        <v>0.27835377078355372</v>
      </c>
      <c r="T6">
        <f t="shared" si="1"/>
        <v>0.25180802356367993</v>
      </c>
      <c r="U6">
        <f t="shared" si="2"/>
        <v>0.2023009717873033</v>
      </c>
      <c r="V6">
        <f t="shared" si="2"/>
        <v>0.14483173591665502</v>
      </c>
      <c r="W6">
        <f t="shared" si="2"/>
        <v>9.2703645713376456E-2</v>
      </c>
      <c r="X6">
        <f t="shared" si="2"/>
        <v>5.322036890617296E-2</v>
      </c>
      <c r="Y6">
        <f t="shared" si="2"/>
        <v>2.748782822734306E-2</v>
      </c>
      <c r="Z6">
        <f t="shared" si="2"/>
        <v>1.2810696412663752E-2</v>
      </c>
      <c r="AA6">
        <f t="shared" si="2"/>
        <v>5.4028108949706602E-3</v>
      </c>
      <c r="AB6">
        <f t="shared" si="2"/>
        <v>2.0676875813152844E-3</v>
      </c>
    </row>
    <row r="7" spans="2:28" x14ac:dyDescent="0.25">
      <c r="J7" s="31">
        <f t="shared" si="3"/>
        <v>0.05</v>
      </c>
      <c r="K7">
        <f t="shared" si="1"/>
        <v>1.1513995881903537E-2</v>
      </c>
      <c r="L7">
        <f t="shared" si="1"/>
        <v>2.5166832636209484E-2</v>
      </c>
      <c r="M7">
        <f t="shared" si="1"/>
        <v>4.8755816719553507E-2</v>
      </c>
      <c r="N7">
        <f t="shared" si="1"/>
        <v>8.4025174416312104E-2</v>
      </c>
      <c r="O7">
        <f t="shared" si="1"/>
        <v>0.12927306798658669</v>
      </c>
      <c r="P7">
        <f t="shared" si="1"/>
        <v>0.17815433367220576</v>
      </c>
      <c r="Q7">
        <f t="shared" si="1"/>
        <v>0.22064524471227032</v>
      </c>
      <c r="R7">
        <f t="shared" si="1"/>
        <v>0.24636060211330107</v>
      </c>
      <c r="S7">
        <f t="shared" si="1"/>
        <v>0.24874016328969689</v>
      </c>
      <c r="T7">
        <f t="shared" si="1"/>
        <v>0.22776710498016442</v>
      </c>
      <c r="U7">
        <f t="shared" si="2"/>
        <v>0.18968544875767843</v>
      </c>
      <c r="V7">
        <f t="shared" si="2"/>
        <v>0.14406532206146586</v>
      </c>
      <c r="W7">
        <f t="shared" si="2"/>
        <v>0.1000485175376649</v>
      </c>
      <c r="X7">
        <f t="shared" si="2"/>
        <v>6.3692980204822766E-2</v>
      </c>
      <c r="Y7">
        <f t="shared" si="2"/>
        <v>3.7262192203925779E-2</v>
      </c>
      <c r="Z7">
        <f t="shared" si="2"/>
        <v>2.008034695102388E-2</v>
      </c>
      <c r="AA7">
        <f t="shared" si="2"/>
        <v>9.9906883849637078E-3</v>
      </c>
      <c r="AB7">
        <f t="shared" si="2"/>
        <v>4.5994213334855042E-3</v>
      </c>
    </row>
    <row r="8" spans="2:28" x14ac:dyDescent="0.25">
      <c r="J8" s="31">
        <f t="shared" si="3"/>
        <v>6.0000000000000005E-2</v>
      </c>
      <c r="K8">
        <f t="shared" si="1"/>
        <v>1.8518639656868334E-2</v>
      </c>
      <c r="L8">
        <f t="shared" si="1"/>
        <v>3.527834825524509E-2</v>
      </c>
      <c r="M8">
        <f t="shared" si="1"/>
        <v>6.0781215847518749E-2</v>
      </c>
      <c r="N8">
        <f t="shared" si="1"/>
        <v>9.4998468064898395E-2</v>
      </c>
      <c r="O8">
        <f t="shared" si="1"/>
        <v>0.13509046346473425</v>
      </c>
      <c r="P8">
        <f t="shared" si="1"/>
        <v>0.17527557451593692</v>
      </c>
      <c r="Q8">
        <f t="shared" si="1"/>
        <v>0.20806046467550748</v>
      </c>
      <c r="R8">
        <f t="shared" si="1"/>
        <v>0.2265526461666133</v>
      </c>
      <c r="S8">
        <f t="shared" si="1"/>
        <v>0.22686061480569075</v>
      </c>
      <c r="T8">
        <f t="shared" si="1"/>
        <v>0.20942054185060593</v>
      </c>
      <c r="U8">
        <f t="shared" si="2"/>
        <v>0.17863725371095068</v>
      </c>
      <c r="V8">
        <f t="shared" si="2"/>
        <v>0.14112498829023487</v>
      </c>
      <c r="W8">
        <f t="shared" si="2"/>
        <v>0.10348257005530079</v>
      </c>
      <c r="X8">
        <f t="shared" si="2"/>
        <v>7.0579950358381133E-2</v>
      </c>
      <c r="Y8">
        <f t="shared" si="2"/>
        <v>4.4867758071180402E-2</v>
      </c>
      <c r="Z8">
        <f t="shared" si="2"/>
        <v>2.6636930637601784E-2</v>
      </c>
      <c r="AA8">
        <f t="shared" si="2"/>
        <v>1.4796528320704161E-2</v>
      </c>
      <c r="AB8">
        <f t="shared" si="2"/>
        <v>7.7048235640325832E-3</v>
      </c>
    </row>
    <row r="9" spans="2:28" x14ac:dyDescent="0.25">
      <c r="J9" s="31">
        <f t="shared" si="3"/>
        <v>7.0000000000000007E-2</v>
      </c>
      <c r="K9">
        <f t="shared" si="1"/>
        <v>2.5687269547573926E-2</v>
      </c>
      <c r="L9">
        <f t="shared" si="1"/>
        <v>4.4357991143764541E-2</v>
      </c>
      <c r="M9">
        <f t="shared" si="1"/>
        <v>7.0282892756551044E-2</v>
      </c>
      <c r="N9">
        <f t="shared" si="1"/>
        <v>0.1024437774164635</v>
      </c>
      <c r="O9">
        <f t="shared" si="1"/>
        <v>0.1377120225504096</v>
      </c>
      <c r="P9">
        <f t="shared" si="1"/>
        <v>0.17114344071696808</v>
      </c>
      <c r="Q9">
        <f t="shared" si="1"/>
        <v>0.19708978987521469</v>
      </c>
      <c r="R9">
        <f t="shared" si="1"/>
        <v>0.21079487693864085</v>
      </c>
      <c r="S9">
        <f t="shared" si="1"/>
        <v>0.2098406015322889</v>
      </c>
      <c r="T9">
        <f t="shared" si="1"/>
        <v>0.19483208295337684</v>
      </c>
      <c r="U9">
        <f t="shared" si="2"/>
        <v>0.1690630721880319</v>
      </c>
      <c r="V9">
        <f t="shared" si="2"/>
        <v>0.13737241495130278</v>
      </c>
      <c r="W9">
        <f t="shared" si="2"/>
        <v>0.10471974944690202</v>
      </c>
      <c r="X9">
        <f t="shared" si="2"/>
        <v>7.5028042473412285E-2</v>
      </c>
      <c r="Y9">
        <f t="shared" si="2"/>
        <v>5.0611049496523279E-2</v>
      </c>
      <c r="Z9">
        <f t="shared" si="2"/>
        <v>3.2197987294775944E-2</v>
      </c>
      <c r="AA9">
        <f t="shared" si="2"/>
        <v>1.9350134183154764E-2</v>
      </c>
      <c r="AB9">
        <f t="shared" si="2"/>
        <v>1.1002658291439539E-2</v>
      </c>
    </row>
    <row r="10" spans="2:28" x14ac:dyDescent="0.25">
      <c r="J10" s="31">
        <f t="shared" si="3"/>
        <v>0.08</v>
      </c>
      <c r="K10">
        <f t="shared" si="1"/>
        <v>3.2531913972453926E-2</v>
      </c>
      <c r="L10">
        <f t="shared" si="1"/>
        <v>5.2189076951976297E-2</v>
      </c>
      <c r="M10">
        <f t="shared" si="1"/>
        <v>7.7655073960294488E-2</v>
      </c>
      <c r="N10">
        <f t="shared" si="1"/>
        <v>0.10741683356092627</v>
      </c>
      <c r="O10">
        <f t="shared" si="1"/>
        <v>0.13843383694906869</v>
      </c>
      <c r="P10">
        <f t="shared" si="1"/>
        <v>0.16657101396200005</v>
      </c>
      <c r="Q10">
        <f t="shared" si="1"/>
        <v>0.18751243523340577</v>
      </c>
      <c r="R10">
        <f t="shared" si="1"/>
        <v>0.19787378537727632</v>
      </c>
      <c r="S10">
        <f t="shared" si="1"/>
        <v>0.19610892619695247</v>
      </c>
      <c r="T10">
        <f t="shared" si="1"/>
        <v>0.18287376043322351</v>
      </c>
      <c r="U10">
        <f t="shared" si="2"/>
        <v>0.16073717262981416</v>
      </c>
      <c r="V10">
        <f t="shared" si="2"/>
        <v>0.13339245619578766</v>
      </c>
      <c r="W10">
        <f t="shared" si="2"/>
        <v>0.10469107551918268</v>
      </c>
      <c r="X10">
        <f t="shared" si="2"/>
        <v>7.7828801307960979E-2</v>
      </c>
      <c r="Y10">
        <f t="shared" si="2"/>
        <v>5.4889414622272731E-2</v>
      </c>
      <c r="Z10">
        <f t="shared" si="2"/>
        <v>3.6778766456857764E-2</v>
      </c>
      <c r="AA10">
        <f t="shared" si="2"/>
        <v>2.3446991186994979E-2</v>
      </c>
      <c r="AB10">
        <f t="shared" si="2"/>
        <v>1.4241602061019517E-2</v>
      </c>
    </row>
    <row r="11" spans="2:28" x14ac:dyDescent="0.25">
      <c r="J11" s="31">
        <f t="shared" si="3"/>
        <v>0.09</v>
      </c>
      <c r="K11">
        <f t="shared" si="1"/>
        <v>3.8814255377753973E-2</v>
      </c>
      <c r="L11">
        <f t="shared" si="1"/>
        <v>5.8801021714512257E-2</v>
      </c>
      <c r="M11">
        <f t="shared" si="1"/>
        <v>8.33204208468349E-2</v>
      </c>
      <c r="N11">
        <f t="shared" si="1"/>
        <v>0.11065534414587908</v>
      </c>
      <c r="O11">
        <f t="shared" si="1"/>
        <v>0.13800545194113123</v>
      </c>
      <c r="P11">
        <f t="shared" si="1"/>
        <v>0.16193481838469112</v>
      </c>
      <c r="Q11">
        <f t="shared" si="1"/>
        <v>0.17909840155461529</v>
      </c>
      <c r="R11">
        <f t="shared" si="1"/>
        <v>0.18702920826184974</v>
      </c>
      <c r="S11">
        <f t="shared" si="1"/>
        <v>0.18472467583724908</v>
      </c>
      <c r="T11">
        <f t="shared" si="1"/>
        <v>0.17283972498866332</v>
      </c>
      <c r="U11">
        <f t="shared" si="2"/>
        <v>0.15344257841770481</v>
      </c>
      <c r="V11">
        <f t="shared" si="2"/>
        <v>0.12944596536766498</v>
      </c>
      <c r="W11">
        <f t="shared" si="2"/>
        <v>0.10392146943531955</v>
      </c>
      <c r="X11">
        <f t="shared" si="2"/>
        <v>7.9507507420341697E-2</v>
      </c>
      <c r="Y11">
        <f t="shared" si="2"/>
        <v>5.804811768630555E-2</v>
      </c>
      <c r="Z11">
        <f t="shared" si="2"/>
        <v>4.0496387606241073E-2</v>
      </c>
      <c r="AA11">
        <f t="shared" si="2"/>
        <v>2.702989442754394E-2</v>
      </c>
      <c r="AB11">
        <f t="shared" si="2"/>
        <v>1.7282465361717885E-2</v>
      </c>
    </row>
    <row r="12" spans="2:28" x14ac:dyDescent="0.25">
      <c r="J12" s="31">
        <f t="shared" si="3"/>
        <v>9.9999999999999992E-2</v>
      </c>
      <c r="K12">
        <f t="shared" si="1"/>
        <v>4.4446708028749705E-2</v>
      </c>
      <c r="L12">
        <f t="shared" si="1"/>
        <v>6.4317936693494962E-2</v>
      </c>
      <c r="M12">
        <f t="shared" si="1"/>
        <v>8.7643512573078744E-2</v>
      </c>
      <c r="N12">
        <f t="shared" si="1"/>
        <v>0.11266666966966121</v>
      </c>
      <c r="O12">
        <f t="shared" si="1"/>
        <v>0.13687447290280091</v>
      </c>
      <c r="P12">
        <f t="shared" si="1"/>
        <v>0.15741130234269532</v>
      </c>
      <c r="Q12">
        <f t="shared" si="1"/>
        <v>0.17165009362054354</v>
      </c>
      <c r="R12">
        <f t="shared" si="1"/>
        <v>0.17775810030164688</v>
      </c>
      <c r="S12">
        <f t="shared" si="1"/>
        <v>0.17508541926155702</v>
      </c>
      <c r="T12">
        <f t="shared" si="1"/>
        <v>0.16426321921486298</v>
      </c>
      <c r="U12">
        <f t="shared" si="2"/>
        <v>0.14699838527690423</v>
      </c>
      <c r="V12">
        <f t="shared" si="2"/>
        <v>0.12564851041697303</v>
      </c>
      <c r="W12">
        <f t="shared" si="2"/>
        <v>0.10271758478714754</v>
      </c>
      <c r="X12">
        <f t="shared" si="2"/>
        <v>8.0412840259516463E-2</v>
      </c>
      <c r="Y12">
        <f t="shared" si="2"/>
        <v>6.0357438650866208E-2</v>
      </c>
      <c r="Z12">
        <f t="shared" si="2"/>
        <v>4.3488518323464953E-2</v>
      </c>
      <c r="AA12">
        <f t="shared" si="2"/>
        <v>3.0112940018202052E-2</v>
      </c>
      <c r="AB12">
        <f t="shared" si="2"/>
        <v>2.0060705402199515E-2</v>
      </c>
    </row>
    <row r="13" spans="2:28" x14ac:dyDescent="0.25">
      <c r="J13" s="31">
        <f t="shared" si="3"/>
        <v>0.10999999999999999</v>
      </c>
      <c r="K13">
        <f t="shared" ref="K13:T22" si="4">_xlfn.NORM.S.DIST((LN(K$2/$B$60)+($F$62+$F$61^2/2)*$J13)/($F$61*SQRT($J13)),0)/(K$2*$F$61*SQRT($J13))</f>
        <v>4.94241079855927E-2</v>
      </c>
      <c r="L13">
        <f t="shared" si="4"/>
        <v>6.8888799631874692E-2</v>
      </c>
      <c r="M13">
        <f t="shared" si="4"/>
        <v>9.0916864935200459E-2</v>
      </c>
      <c r="N13">
        <f t="shared" si="4"/>
        <v>0.11380117405353027</v>
      </c>
      <c r="O13">
        <f t="shared" si="4"/>
        <v>0.1353159688775312</v>
      </c>
      <c r="P13">
        <f t="shared" si="4"/>
        <v>0.15308030985810051</v>
      </c>
      <c r="Q13">
        <f t="shared" si="4"/>
        <v>0.16500651699046193</v>
      </c>
      <c r="R13">
        <f t="shared" si="4"/>
        <v>0.16971276683835249</v>
      </c>
      <c r="S13">
        <f t="shared" si="4"/>
        <v>0.16678517713828306</v>
      </c>
      <c r="T13">
        <f t="shared" si="4"/>
        <v>0.15682180930409659</v>
      </c>
      <c r="U13">
        <f t="shared" ref="U13:AB22" si="5">_xlfn.NORM.S.DIST((LN(U$2/$B$60)+($F$62+$F$61^2/2)*$J13)/($F$61*SQRT($J13)),0)/(U$2*$F$61*SQRT($J13))</f>
        <v>0.14125951619879615</v>
      </c>
      <c r="V13">
        <f t="shared" si="5"/>
        <v>0.12204721940185111</v>
      </c>
      <c r="W13">
        <f t="shared" si="5"/>
        <v>0.10126398254231635</v>
      </c>
      <c r="X13">
        <f t="shared" si="5"/>
        <v>8.0779138019303864E-2</v>
      </c>
      <c r="Y13">
        <f t="shared" si="5"/>
        <v>6.202168698408498E-2</v>
      </c>
      <c r="Z13">
        <f t="shared" si="5"/>
        <v>4.5883310831809299E-2</v>
      </c>
      <c r="AA13">
        <f t="shared" si="5"/>
        <v>3.2740378135524953E-2</v>
      </c>
      <c r="AB13">
        <f t="shared" si="5"/>
        <v>2.2556218927990718E-2</v>
      </c>
    </row>
    <row r="14" spans="2:28" x14ac:dyDescent="0.25">
      <c r="J14" s="31">
        <f t="shared" si="3"/>
        <v>0.11999999999999998</v>
      </c>
      <c r="K14">
        <f t="shared" si="4"/>
        <v>5.3782565316967228E-2</v>
      </c>
      <c r="L14">
        <f t="shared" si="4"/>
        <v>7.2657818175817943E-2</v>
      </c>
      <c r="M14">
        <f t="shared" si="4"/>
        <v>9.3368773966305857E-2</v>
      </c>
      <c r="N14">
        <f t="shared" si="4"/>
        <v>0.11430348037910246</v>
      </c>
      <c r="O14">
        <f t="shared" si="4"/>
        <v>0.13350304920451364</v>
      </c>
      <c r="P14">
        <f t="shared" si="4"/>
        <v>0.14897343219473713</v>
      </c>
      <c r="Q14">
        <f t="shared" si="4"/>
        <v>0.1590383817696909</v>
      </c>
      <c r="R14">
        <f t="shared" si="4"/>
        <v>0.16264426301684079</v>
      </c>
      <c r="S14">
        <f t="shared" si="4"/>
        <v>0.15953904305300046</v>
      </c>
      <c r="T14">
        <f t="shared" si="4"/>
        <v>0.15028473708296605</v>
      </c>
      <c r="U14">
        <f t="shared" si="5"/>
        <v>0.13611060995962812</v>
      </c>
      <c r="V14">
        <f t="shared" si="5"/>
        <v>0.11865607655937425</v>
      </c>
      <c r="W14">
        <f t="shared" si="5"/>
        <v>9.9674365743868232E-2</v>
      </c>
      <c r="X14">
        <f t="shared" si="5"/>
        <v>8.0766395031257848E-2</v>
      </c>
      <c r="Y14">
        <f t="shared" si="5"/>
        <v>6.3193759494424684E-2</v>
      </c>
      <c r="Z14">
        <f t="shared" si="5"/>
        <v>4.7790492097795456E-2</v>
      </c>
      <c r="AA14">
        <f t="shared" si="5"/>
        <v>3.496598562907454E-2</v>
      </c>
      <c r="AB14">
        <f t="shared" si="5"/>
        <v>2.4773442445106725E-2</v>
      </c>
    </row>
    <row r="15" spans="2:28" x14ac:dyDescent="0.25">
      <c r="J15" s="31">
        <f t="shared" si="3"/>
        <v>0.12999999999999998</v>
      </c>
      <c r="K15">
        <f t="shared" si="4"/>
        <v>5.7576211458643847E-2</v>
      </c>
      <c r="L15">
        <f t="shared" si="4"/>
        <v>7.5753467066634661E-2</v>
      </c>
      <c r="M15">
        <f t="shared" si="4"/>
        <v>9.5175746561017238E-2</v>
      </c>
      <c r="N15">
        <f t="shared" si="4"/>
        <v>0.1143466289292675</v>
      </c>
      <c r="O15">
        <f t="shared" si="4"/>
        <v>0.13154671034481394</v>
      </c>
      <c r="P15">
        <f t="shared" si="4"/>
        <v>0.14509778373760257</v>
      </c>
      <c r="Q15">
        <f t="shared" si="4"/>
        <v>0.15364190014386642</v>
      </c>
      <c r="R15">
        <f t="shared" si="4"/>
        <v>0.15636907691531934</v>
      </c>
      <c r="S15">
        <f t="shared" si="4"/>
        <v>0.15314038770161997</v>
      </c>
      <c r="T15">
        <f t="shared" si="4"/>
        <v>0.1444819564241889</v>
      </c>
      <c r="U15">
        <f t="shared" si="5"/>
        <v>0.13145968617118139</v>
      </c>
      <c r="V15">
        <f t="shared" si="5"/>
        <v>0.11547295942570224</v>
      </c>
      <c r="W15">
        <f t="shared" si="5"/>
        <v>9.8019972993556595E-2</v>
      </c>
      <c r="X15">
        <f t="shared" si="5"/>
        <v>8.048560018098172E-2</v>
      </c>
      <c r="Y15">
        <f t="shared" si="5"/>
        <v>6.3988128730250143E-2</v>
      </c>
      <c r="Z15">
        <f t="shared" si="5"/>
        <v>4.9300654037351226E-2</v>
      </c>
      <c r="AA15">
        <f t="shared" si="5"/>
        <v>3.6843353650292503E-2</v>
      </c>
      <c r="AB15">
        <f t="shared" si="5"/>
        <v>2.6729279710961094E-2</v>
      </c>
    </row>
    <row r="16" spans="2:28" x14ac:dyDescent="0.25">
      <c r="J16" s="31">
        <f t="shared" si="3"/>
        <v>0.13999999999999999</v>
      </c>
      <c r="K16">
        <f t="shared" si="4"/>
        <v>6.086462713716282E-2</v>
      </c>
      <c r="L16">
        <f t="shared" si="4"/>
        <v>7.828583485486855E-2</v>
      </c>
      <c r="M16">
        <f t="shared" si="4"/>
        <v>9.647411429031022E-2</v>
      </c>
      <c r="N16">
        <f t="shared" si="4"/>
        <v>0.11405464228633561</v>
      </c>
      <c r="O16">
        <f t="shared" si="4"/>
        <v>0.12951909142452525</v>
      </c>
      <c r="P16">
        <f t="shared" si="4"/>
        <v>0.14144815105814099</v>
      </c>
      <c r="Q16">
        <f t="shared" si="4"/>
        <v>0.14873331265260542</v>
      </c>
      <c r="R16">
        <f t="shared" si="4"/>
        <v>0.15074857891336796</v>
      </c>
      <c r="S16">
        <f t="shared" si="4"/>
        <v>0.14743521016831676</v>
      </c>
      <c r="T16">
        <f t="shared" si="4"/>
        <v>0.13928504690179913</v>
      </c>
      <c r="U16">
        <f t="shared" si="5"/>
        <v>0.12723288162019192</v>
      </c>
      <c r="V16">
        <f t="shared" si="5"/>
        <v>0.11248815991543865</v>
      </c>
      <c r="W16">
        <f t="shared" si="5"/>
        <v>9.6345890799044265E-2</v>
      </c>
      <c r="X16">
        <f t="shared" si="5"/>
        <v>8.001489761480432E-2</v>
      </c>
      <c r="Y16">
        <f t="shared" si="5"/>
        <v>6.4490939146716039E-2</v>
      </c>
      <c r="Z16">
        <f t="shared" si="5"/>
        <v>5.0487375643001271E-2</v>
      </c>
      <c r="AA16">
        <f t="shared" si="5"/>
        <v>3.8421726120849417E-2</v>
      </c>
      <c r="AB16">
        <f t="shared" si="5"/>
        <v>2.8446107323995905E-2</v>
      </c>
    </row>
    <row r="17" spans="10:28" x14ac:dyDescent="0.25">
      <c r="J17" s="31">
        <f t="shared" si="3"/>
        <v>0.15</v>
      </c>
      <c r="K17">
        <f t="shared" si="4"/>
        <v>6.3706369410826108E-2</v>
      </c>
      <c r="L17">
        <f t="shared" si="4"/>
        <v>8.0347437425161303E-2</v>
      </c>
      <c r="M17">
        <f t="shared" si="4"/>
        <v>9.7369505959879754E-2</v>
      </c>
      <c r="N17">
        <f t="shared" si="4"/>
        <v>0.11351751632463743</v>
      </c>
      <c r="O17">
        <f t="shared" si="4"/>
        <v>0.12746746226881966</v>
      </c>
      <c r="P17">
        <f t="shared" si="4"/>
        <v>0.13801337116907045</v>
      </c>
      <c r="Q17">
        <f t="shared" si="4"/>
        <v>0.144244506006551</v>
      </c>
      <c r="R17">
        <f t="shared" si="4"/>
        <v>0.14567583855650543</v>
      </c>
      <c r="S17">
        <f t="shared" si="4"/>
        <v>0.14230606641281215</v>
      </c>
      <c r="T17">
        <f t="shared" si="4"/>
        <v>0.13459497653394625</v>
      </c>
      <c r="U17">
        <f t="shared" si="5"/>
        <v>0.12337035811402605</v>
      </c>
      <c r="V17">
        <f t="shared" si="5"/>
        <v>0.10968874128838357</v>
      </c>
      <c r="W17">
        <f t="shared" si="5"/>
        <v>9.4680728652854262E-2</v>
      </c>
      <c r="X17">
        <f t="shared" si="5"/>
        <v>7.9410041805456924E-2</v>
      </c>
      <c r="Y17">
        <f t="shared" si="5"/>
        <v>6.4767482062730281E-2</v>
      </c>
      <c r="Z17">
        <f t="shared" si="5"/>
        <v>5.1410025918422357E-2</v>
      </c>
      <c r="AA17">
        <f t="shared" si="5"/>
        <v>3.9744571545581892E-2</v>
      </c>
      <c r="AB17">
        <f t="shared" si="5"/>
        <v>2.9947870541115917E-2</v>
      </c>
    </row>
    <row r="18" spans="10:28" x14ac:dyDescent="0.25">
      <c r="J18" s="31">
        <f t="shared" si="3"/>
        <v>0.16</v>
      </c>
      <c r="K18">
        <f t="shared" si="4"/>
        <v>6.6155892702358582E-2</v>
      </c>
      <c r="L18">
        <f t="shared" si="4"/>
        <v>8.2015283883876341E-2</v>
      </c>
      <c r="M18">
        <f t="shared" si="4"/>
        <v>9.7944180544580678E-2</v>
      </c>
      <c r="N18">
        <f t="shared" si="4"/>
        <v>0.11280129358380256</v>
      </c>
      <c r="O18">
        <f t="shared" si="4"/>
        <v>0.12542286620739243</v>
      </c>
      <c r="P18">
        <f t="shared" si="4"/>
        <v>0.13477973322156128</v>
      </c>
      <c r="Q18">
        <f t="shared" si="4"/>
        <v>0.14011962193438807</v>
      </c>
      <c r="R18">
        <f t="shared" si="4"/>
        <v>0.14106688099125383</v>
      </c>
      <c r="S18">
        <f t="shared" si="4"/>
        <v>0.13766161650919523</v>
      </c>
      <c r="T18">
        <f t="shared" si="4"/>
        <v>0.13033398912186586</v>
      </c>
      <c r="U18">
        <f t="shared" si="5"/>
        <v>0.11982319061445154</v>
      </c>
      <c r="V18">
        <f t="shared" si="5"/>
        <v>0.10706078244074167</v>
      </c>
      <c r="W18">
        <f t="shared" si="5"/>
        <v>9.3042519517308561E-2</v>
      </c>
      <c r="X18">
        <f t="shared" si="5"/>
        <v>7.8711275319229571E-2</v>
      </c>
      <c r="Y18">
        <f t="shared" si="5"/>
        <v>6.4867634594313037E-2</v>
      </c>
      <c r="Z18">
        <f t="shared" si="5"/>
        <v>5.2116440465268289E-2</v>
      </c>
      <c r="AA18">
        <f t="shared" si="5"/>
        <v>4.0849446258463894E-2</v>
      </c>
      <c r="AB18">
        <f t="shared" si="5"/>
        <v>3.1258000017336987E-2</v>
      </c>
    </row>
    <row r="19" spans="10:28" x14ac:dyDescent="0.25">
      <c r="J19" s="31">
        <f t="shared" si="3"/>
        <v>0.17</v>
      </c>
      <c r="K19">
        <f t="shared" si="4"/>
        <v>6.8262316097037146E-2</v>
      </c>
      <c r="L19">
        <f t="shared" si="4"/>
        <v>8.3353214285112401E-2</v>
      </c>
      <c r="M19">
        <f t="shared" si="4"/>
        <v>9.8262582566597881E-2</v>
      </c>
      <c r="N19">
        <f t="shared" si="4"/>
        <v>0.11195492455975116</v>
      </c>
      <c r="O19">
        <f t="shared" si="4"/>
        <v>0.12340558835413136</v>
      </c>
      <c r="P19">
        <f t="shared" si="4"/>
        <v>0.13173279780296049</v>
      </c>
      <c r="Q19">
        <f t="shared" si="4"/>
        <v>0.13631246071128608</v>
      </c>
      <c r="R19">
        <f t="shared" si="4"/>
        <v>0.13685471921033943</v>
      </c>
      <c r="S19">
        <f t="shared" si="4"/>
        <v>0.13342960743655952</v>
      </c>
      <c r="T19">
        <f t="shared" si="4"/>
        <v>0.12644006913785996</v>
      </c>
      <c r="U19">
        <f t="shared" si="5"/>
        <v>0.11655101218883607</v>
      </c>
      <c r="V19">
        <f t="shared" si="5"/>
        <v>0.10459052028697068</v>
      </c>
      <c r="W19">
        <f t="shared" si="5"/>
        <v>9.144240642075617E-2</v>
      </c>
      <c r="X19">
        <f t="shared" si="5"/>
        <v>7.7947931106123414E-2</v>
      </c>
      <c r="Y19">
        <f t="shared" si="5"/>
        <v>6.4829802210704446E-2</v>
      </c>
      <c r="Z19">
        <f t="shared" si="5"/>
        <v>5.2645216691452799E-2</v>
      </c>
      <c r="AA19">
        <f t="shared" si="5"/>
        <v>4.1768423036181411E-2</v>
      </c>
      <c r="AB19">
        <f t="shared" si="5"/>
        <v>3.2398379295248733E-2</v>
      </c>
    </row>
    <row r="20" spans="10:28" x14ac:dyDescent="0.25">
      <c r="J20" s="31">
        <f t="shared" si="3"/>
        <v>0.18000000000000002</v>
      </c>
      <c r="K20">
        <f t="shared" si="4"/>
        <v>7.006916536632149E-2</v>
      </c>
      <c r="L20">
        <f t="shared" si="4"/>
        <v>8.4414102846675498E-2</v>
      </c>
      <c r="M20">
        <f t="shared" si="4"/>
        <v>9.8375518414373489E-2</v>
      </c>
      <c r="N20">
        <f t="shared" si="4"/>
        <v>0.11101500734531983</v>
      </c>
      <c r="O20">
        <f t="shared" si="4"/>
        <v>0.12142868816585954</v>
      </c>
      <c r="P20">
        <f t="shared" si="4"/>
        <v>0.12885835573079304</v>
      </c>
      <c r="Q20">
        <f t="shared" si="4"/>
        <v>0.13278449403621098</v>
      </c>
      <c r="R20">
        <f t="shared" si="4"/>
        <v>0.13298517807720683</v>
      </c>
      <c r="S20">
        <f t="shared" si="4"/>
        <v>0.12955203195937354</v>
      </c>
      <c r="T20">
        <f t="shared" si="4"/>
        <v>0.12286306970073152</v>
      </c>
      <c r="U20">
        <f t="shared" si="5"/>
        <v>0.11352022662647354</v>
      </c>
      <c r="V20">
        <f t="shared" si="5"/>
        <v>0.10226490659818004</v>
      </c>
      <c r="W20">
        <f t="shared" si="5"/>
        <v>8.9886994485141855E-2</v>
      </c>
      <c r="X20">
        <f t="shared" si="5"/>
        <v>7.7141563319446591E-2</v>
      </c>
      <c r="Y20">
        <f t="shared" si="5"/>
        <v>6.4683784438619871E-2</v>
      </c>
      <c r="Z20">
        <f t="shared" si="5"/>
        <v>5.3027590887946362E-2</v>
      </c>
      <c r="AA20">
        <f t="shared" si="5"/>
        <v>4.2528726357304071E-2</v>
      </c>
      <c r="AB20">
        <f t="shared" si="5"/>
        <v>3.3388906788529037E-2</v>
      </c>
    </row>
    <row r="21" spans="10:28" x14ac:dyDescent="0.25">
      <c r="J21" s="31">
        <f t="shared" si="3"/>
        <v>0.19000000000000003</v>
      </c>
      <c r="K21">
        <f t="shared" si="4"/>
        <v>7.1614604360954931E-2</v>
      </c>
      <c r="L21">
        <f t="shared" si="4"/>
        <v>8.5241783457578296E-2</v>
      </c>
      <c r="M21">
        <f t="shared" si="4"/>
        <v>9.8323293568018846E-2</v>
      </c>
      <c r="N21">
        <f t="shared" si="4"/>
        <v>0.1100091071826703</v>
      </c>
      <c r="O21">
        <f t="shared" si="4"/>
        <v>0.11950032344181298</v>
      </c>
      <c r="P21">
        <f t="shared" si="4"/>
        <v>0.12614291177807227</v>
      </c>
      <c r="Q21">
        <f t="shared" si="4"/>
        <v>0.12950333760140173</v>
      </c>
      <c r="R21">
        <f t="shared" si="4"/>
        <v>0.12941390756290358</v>
      </c>
      <c r="S21">
        <f t="shared" si="4"/>
        <v>0.12598170851508508</v>
      </c>
      <c r="T21">
        <f t="shared" si="4"/>
        <v>0.11956194394774987</v>
      </c>
      <c r="U21">
        <f t="shared" si="5"/>
        <v>0.11070264314952112</v>
      </c>
      <c r="V21">
        <f t="shared" si="5"/>
        <v>0.10007185089077114</v>
      </c>
      <c r="W21">
        <f t="shared" si="5"/>
        <v>8.8379878694076278E-2</v>
      </c>
      <c r="X21">
        <f t="shared" si="5"/>
        <v>7.6308110442599747E-2</v>
      </c>
      <c r="Y21">
        <f t="shared" si="5"/>
        <v>6.4452870329691936E-2</v>
      </c>
      <c r="Z21">
        <f t="shared" si="5"/>
        <v>5.3288938837952431E-2</v>
      </c>
      <c r="AA21">
        <f t="shared" si="5"/>
        <v>4.3153402823839129E-2</v>
      </c>
      <c r="AB21">
        <f t="shared" si="5"/>
        <v>3.4247385450891892E-2</v>
      </c>
    </row>
    <row r="22" spans="10:28" x14ac:dyDescent="0.25">
      <c r="J22" s="31">
        <f t="shared" si="3"/>
        <v>0.20000000000000004</v>
      </c>
      <c r="K22">
        <f t="shared" si="4"/>
        <v>7.2931888837385786E-2</v>
      </c>
      <c r="L22">
        <f t="shared" si="4"/>
        <v>8.5872670950472102E-2</v>
      </c>
      <c r="M22">
        <f t="shared" si="4"/>
        <v>9.8138076213950209E-2</v>
      </c>
      <c r="N22">
        <f t="shared" si="4"/>
        <v>0.10895811225260389</v>
      </c>
      <c r="O22">
        <f t="shared" si="4"/>
        <v>0.11762530365351349</v>
      </c>
      <c r="P22">
        <f t="shared" si="4"/>
        <v>0.1235739043136535</v>
      </c>
      <c r="Q22">
        <f t="shared" si="4"/>
        <v>0.12644156914518043</v>
      </c>
      <c r="R22">
        <f t="shared" si="4"/>
        <v>0.12610420482922569</v>
      </c>
      <c r="S22">
        <f t="shared" si="4"/>
        <v>0.12267981406095391</v>
      </c>
      <c r="T22">
        <f t="shared" si="4"/>
        <v>0.11650272664972085</v>
      </c>
      <c r="U22">
        <f t="shared" si="5"/>
        <v>0.10807442511317759</v>
      </c>
      <c r="V22">
        <f t="shared" si="5"/>
        <v>9.8000295490337466E-2</v>
      </c>
      <c r="W22">
        <f t="shared" si="5"/>
        <v>8.6922651532646319E-2</v>
      </c>
      <c r="X22">
        <f t="shared" si="5"/>
        <v>7.5459411525191991E-2</v>
      </c>
      <c r="Y22">
        <f t="shared" si="5"/>
        <v>6.4155382336015143E-2</v>
      </c>
      <c r="Z22">
        <f t="shared" si="5"/>
        <v>5.3449962722336423E-2</v>
      </c>
      <c r="AA22">
        <f t="shared" si="5"/>
        <v>4.3661949990571602E-2</v>
      </c>
      <c r="AB22">
        <f t="shared" si="5"/>
        <v>3.4989585572350171E-2</v>
      </c>
    </row>
    <row r="23" spans="10:28" x14ac:dyDescent="0.25">
      <c r="J23" s="31">
        <f t="shared" si="3"/>
        <v>0.21000000000000005</v>
      </c>
      <c r="K23">
        <f t="shared" ref="K23:T32" si="6">_xlfn.NORM.S.DIST((LN(K$2/$B$60)+($F$62+$F$61^2/2)*$J23)/($F$61*SQRT($J23)),0)/(K$2*$F$61*SQRT($J23))</f>
        <v>7.4049898720251486E-2</v>
      </c>
      <c r="L23">
        <f t="shared" si="6"/>
        <v>8.6337099663389066E-2</v>
      </c>
      <c r="M23">
        <f t="shared" si="6"/>
        <v>9.7845686831078985E-2</v>
      </c>
      <c r="N23">
        <f t="shared" si="6"/>
        <v>0.10787792635891093</v>
      </c>
      <c r="O23">
        <f t="shared" si="6"/>
        <v>0.11580614247360357</v>
      </c>
      <c r="P23">
        <f t="shared" si="6"/>
        <v>0.12113977862963521</v>
      </c>
      <c r="Q23">
        <f t="shared" si="6"/>
        <v>0.12357580674887983</v>
      </c>
      <c r="R23">
        <f t="shared" si="6"/>
        <v>0.12302539852587173</v>
      </c>
      <c r="S23">
        <f t="shared" si="6"/>
        <v>0.11961407115759418</v>
      </c>
      <c r="T23">
        <f t="shared" si="6"/>
        <v>0.11365703716398627</v>
      </c>
      <c r="U23">
        <f t="shared" ref="U23:AB32" si="7">_xlfn.NORM.S.DIST((LN(U$2/$B$60)+($F$62+$F$61^2/2)*$J23)/($F$61*SQRT($J23)),0)/(U$2*$F$61*SQRT($J23))</f>
        <v>0.10561527341903236</v>
      </c>
      <c r="V23">
        <f t="shared" si="7"/>
        <v>9.6040202682487044E-2</v>
      </c>
      <c r="W23">
        <f t="shared" si="7"/>
        <v>8.5515576124840745E-2</v>
      </c>
      <c r="X23">
        <f t="shared" si="7"/>
        <v>7.460428320361899E-2</v>
      </c>
      <c r="Y23">
        <f t="shared" si="7"/>
        <v>6.3805823207498419E-2</v>
      </c>
      <c r="Z23">
        <f t="shared" si="7"/>
        <v>5.3527626002459118E-2</v>
      </c>
      <c r="AA23">
        <f t="shared" si="7"/>
        <v>4.4070874094904948E-2</v>
      </c>
      <c r="AB23">
        <f t="shared" si="7"/>
        <v>3.562939210454006E-2</v>
      </c>
    </row>
    <row r="24" spans="10:28" x14ac:dyDescent="0.25">
      <c r="J24" s="31">
        <f t="shared" si="3"/>
        <v>0.22000000000000006</v>
      </c>
      <c r="K24">
        <f t="shared" si="6"/>
        <v>7.4993673702347538E-2</v>
      </c>
      <c r="L24">
        <f t="shared" si="6"/>
        <v>8.6660417233535195E-2</v>
      </c>
      <c r="M24">
        <f t="shared" si="6"/>
        <v>9.7466961294659163E-2</v>
      </c>
      <c r="N24">
        <f t="shared" si="6"/>
        <v>0.10678069929663125</v>
      </c>
      <c r="O24">
        <f t="shared" si="6"/>
        <v>0.11404377934107994</v>
      </c>
      <c r="P24">
        <f t="shared" si="6"/>
        <v>0.11882998064060929</v>
      </c>
      <c r="Q24">
        <f t="shared" si="6"/>
        <v>0.12088598422241309</v>
      </c>
      <c r="R24">
        <f t="shared" si="6"/>
        <v>0.12015163152240384</v>
      </c>
      <c r="S24">
        <f t="shared" si="6"/>
        <v>0.11675739365516324</v>
      </c>
      <c r="T24">
        <f t="shared" si="6"/>
        <v>0.11100095176544302</v>
      </c>
      <c r="U24">
        <f t="shared" si="7"/>
        <v>0.10330778662516192</v>
      </c>
      <c r="V24">
        <f t="shared" si="7"/>
        <v>9.418249806981599E-2</v>
      </c>
      <c r="W24">
        <f t="shared" si="7"/>
        <v>8.4158040613493454E-2</v>
      </c>
      <c r="X24">
        <f t="shared" si="7"/>
        <v>7.3749294126225051E-2</v>
      </c>
      <c r="Y24">
        <f t="shared" si="7"/>
        <v>6.3415735207319163E-2</v>
      </c>
      <c r="Z24">
        <f t="shared" si="7"/>
        <v>5.3535889477955075E-2</v>
      </c>
      <c r="AA24">
        <f t="shared" si="7"/>
        <v>4.4394170075858462E-2</v>
      </c>
      <c r="AB24">
        <f t="shared" si="7"/>
        <v>3.6178986512361955E-2</v>
      </c>
    </row>
    <row r="25" spans="10:28" x14ac:dyDescent="0.25">
      <c r="J25" s="31">
        <f t="shared" si="3"/>
        <v>0.23000000000000007</v>
      </c>
      <c r="K25">
        <f t="shared" si="6"/>
        <v>7.5784915428434116E-2</v>
      </c>
      <c r="L25">
        <f t="shared" si="6"/>
        <v>8.6863873939243899E-2</v>
      </c>
      <c r="M25">
        <f t="shared" si="6"/>
        <v>9.7018795893815374E-2</v>
      </c>
      <c r="N25">
        <f t="shared" si="6"/>
        <v>0.10567573081673336</v>
      </c>
      <c r="O25">
        <f t="shared" si="6"/>
        <v>0.11233807899139425</v>
      </c>
      <c r="P25">
        <f t="shared" si="6"/>
        <v>0.11663490903899035</v>
      </c>
      <c r="Q25">
        <f t="shared" si="6"/>
        <v>0.11835477678285283</v>
      </c>
      <c r="R25">
        <f t="shared" si="6"/>
        <v>0.11746093096802929</v>
      </c>
      <c r="S25">
        <f t="shared" si="6"/>
        <v>0.11408685988712435</v>
      </c>
      <c r="T25">
        <f t="shared" si="6"/>
        <v>0.10851414229495973</v>
      </c>
      <c r="U25">
        <f t="shared" si="7"/>
        <v>0.10113695515719748</v>
      </c>
      <c r="V25">
        <f t="shared" si="7"/>
        <v>9.2418994529657683E-2</v>
      </c>
      <c r="W25">
        <f t="shared" si="7"/>
        <v>8.2848867353206068E-2</v>
      </c>
      <c r="X25">
        <f t="shared" si="7"/>
        <v>7.2899328051780274E-2</v>
      </c>
      <c r="Y25">
        <f t="shared" si="7"/>
        <v>6.2994349206790284E-2</v>
      </c>
      <c r="Z25">
        <f t="shared" si="7"/>
        <v>5.3486291836837313E-2</v>
      </c>
      <c r="AA25">
        <f t="shared" si="7"/>
        <v>4.4643727734496957E-2</v>
      </c>
      <c r="AB25">
        <f t="shared" si="7"/>
        <v>3.6649035653699057E-2</v>
      </c>
    </row>
    <row r="26" spans="10:28" x14ac:dyDescent="0.25">
      <c r="J26" s="31">
        <f t="shared" si="3"/>
        <v>0.24000000000000007</v>
      </c>
      <c r="K26">
        <f t="shared" si="6"/>
        <v>7.6442440576788201E-2</v>
      </c>
      <c r="L26">
        <f t="shared" si="6"/>
        <v>8.6965344544458173E-2</v>
      </c>
      <c r="M26">
        <f t="shared" si="6"/>
        <v>9.6514953848535201E-2</v>
      </c>
      <c r="N26">
        <f t="shared" si="6"/>
        <v>0.10457014139802151</v>
      </c>
      <c r="O26">
        <f t="shared" si="6"/>
        <v>0.11068818002318119</v>
      </c>
      <c r="P26">
        <f t="shared" si="6"/>
        <v>0.11454584769996196</v>
      </c>
      <c r="Q26">
        <f t="shared" si="6"/>
        <v>0.11596714221749975</v>
      </c>
      <c r="R26">
        <f t="shared" si="6"/>
        <v>0.1149344888416326</v>
      </c>
      <c r="S26">
        <f t="shared" si="6"/>
        <v>0.11158292369982871</v>
      </c>
      <c r="T26">
        <f t="shared" si="6"/>
        <v>0.10617920986945042</v>
      </c>
      <c r="U26">
        <f t="shared" si="7"/>
        <v>9.9089758159406349E-2</v>
      </c>
      <c r="V26">
        <f t="shared" si="7"/>
        <v>9.0742310137753551E-2</v>
      </c>
      <c r="W26">
        <f t="shared" si="7"/>
        <v>8.1586524493290832E-2</v>
      </c>
      <c r="X26">
        <f t="shared" si="7"/>
        <v>7.2057997485667311E-2</v>
      </c>
      <c r="Y26">
        <f t="shared" si="7"/>
        <v>6.2549079039455863E-2</v>
      </c>
      <c r="Z26">
        <f t="shared" si="7"/>
        <v>5.3388408975110664E-2</v>
      </c>
      <c r="AA26">
        <f t="shared" si="7"/>
        <v>4.4829672082194114E-2</v>
      </c>
      <c r="AB26">
        <f t="shared" si="7"/>
        <v>3.7048873242858514E-2</v>
      </c>
    </row>
    <row r="27" spans="10:28" x14ac:dyDescent="0.25">
      <c r="J27" s="31">
        <f t="shared" si="3"/>
        <v>0.25000000000000006</v>
      </c>
      <c r="K27">
        <f t="shared" si="6"/>
        <v>7.698258045821936E-2</v>
      </c>
      <c r="L27">
        <f t="shared" si="6"/>
        <v>8.6979914354794186E-2</v>
      </c>
      <c r="M27">
        <f t="shared" si="6"/>
        <v>9.5966691910589014E-2</v>
      </c>
      <c r="N27">
        <f t="shared" si="6"/>
        <v>0.10346937455822475</v>
      </c>
      <c r="O27">
        <f t="shared" si="6"/>
        <v>0.10909273959929222</v>
      </c>
      <c r="P27">
        <f t="shared" si="6"/>
        <v>0.11255489072568745</v>
      </c>
      <c r="Q27">
        <f t="shared" si="6"/>
        <v>0.11370995148587006</v>
      </c>
      <c r="R27">
        <f t="shared" si="6"/>
        <v>0.11255609892118232</v>
      </c>
      <c r="S27">
        <f t="shared" si="6"/>
        <v>0.1092288008337052</v>
      </c>
      <c r="T27">
        <f t="shared" si="6"/>
        <v>0.1039811635215091</v>
      </c>
      <c r="U27">
        <f t="shared" si="7"/>
        <v>9.7154839577518678E-2</v>
      </c>
      <c r="V27">
        <f t="shared" si="7"/>
        <v>8.9145787196085152E-2</v>
      </c>
      <c r="W27">
        <f t="shared" si="7"/>
        <v>8.0369271198912157E-2</v>
      </c>
      <c r="X27">
        <f t="shared" si="7"/>
        <v>7.1227950363351764E-2</v>
      </c>
      <c r="Y27">
        <f t="shared" si="7"/>
        <v>6.2085900947331178E-2</v>
      </c>
      <c r="Z27">
        <f t="shared" si="7"/>
        <v>5.3250218816308703E-2</v>
      </c>
      <c r="AA27">
        <f t="shared" si="7"/>
        <v>4.4960647037692238E-2</v>
      </c>
      <c r="AB27">
        <f t="shared" si="7"/>
        <v>3.7386666955693856E-2</v>
      </c>
    </row>
    <row r="28" spans="10:28" x14ac:dyDescent="0.25">
      <c r="J28" s="31">
        <f t="shared" si="3"/>
        <v>0.26000000000000006</v>
      </c>
      <c r="K28">
        <f t="shared" si="6"/>
        <v>7.7419528562957807E-2</v>
      </c>
      <c r="L28">
        <f t="shared" si="6"/>
        <v>8.6920355775146854E-2</v>
      </c>
      <c r="M28">
        <f t="shared" si="6"/>
        <v>9.5383250364961494E-2</v>
      </c>
      <c r="N28">
        <f t="shared" si="6"/>
        <v>0.10237757619693112</v>
      </c>
      <c r="O28">
        <f t="shared" si="6"/>
        <v>0.1075501059352118</v>
      </c>
      <c r="P28">
        <f t="shared" si="6"/>
        <v>0.11065486703943957</v>
      </c>
      <c r="Q28">
        <f t="shared" si="6"/>
        <v>0.11157168913575088</v>
      </c>
      <c r="R28">
        <f t="shared" si="6"/>
        <v>0.11031171151565859</v>
      </c>
      <c r="S28">
        <f t="shared" si="6"/>
        <v>0.10700998637947966</v>
      </c>
      <c r="T28">
        <f t="shared" si="6"/>
        <v>0.10190700793463875</v>
      </c>
      <c r="U28">
        <f t="shared" si="7"/>
        <v>9.5322245916718007E-2</v>
      </c>
      <c r="V28">
        <f t="shared" si="7"/>
        <v>8.7623415973815982E-2</v>
      </c>
      <c r="W28">
        <f t="shared" si="7"/>
        <v>7.919525732172443E-2</v>
      </c>
      <c r="X28">
        <f t="shared" si="7"/>
        <v>7.0411099366657945E-2</v>
      </c>
      <c r="Y28">
        <f t="shared" si="7"/>
        <v>6.1609646997200042E-2</v>
      </c>
      <c r="Z28">
        <f t="shared" si="7"/>
        <v>5.3078392331232627E-2</v>
      </c>
      <c r="AA28">
        <f t="shared" si="7"/>
        <v>4.5044051314058073E-2</v>
      </c>
      <c r="AB28">
        <f t="shared" si="7"/>
        <v>3.7669568476172879E-2</v>
      </c>
    </row>
    <row r="29" spans="10:28" x14ac:dyDescent="0.25">
      <c r="J29" s="31">
        <f t="shared" si="3"/>
        <v>0.27000000000000007</v>
      </c>
      <c r="K29">
        <f t="shared" si="6"/>
        <v>7.7765640229826793E-2</v>
      </c>
      <c r="L29">
        <f t="shared" si="6"/>
        <v>8.6797516755877005E-2</v>
      </c>
      <c r="M29">
        <f t="shared" si="6"/>
        <v>9.4772238635669637E-2</v>
      </c>
      <c r="N29">
        <f t="shared" si="6"/>
        <v>0.10129788330351924</v>
      </c>
      <c r="O29">
        <f t="shared" si="6"/>
        <v>0.10605844012113028</v>
      </c>
      <c r="P29">
        <f t="shared" si="6"/>
        <v>0.10883926823312427</v>
      </c>
      <c r="Q29">
        <f t="shared" si="6"/>
        <v>0.10954220863575029</v>
      </c>
      <c r="R29">
        <f t="shared" si="6"/>
        <v>0.10818907792015316</v>
      </c>
      <c r="S29">
        <f t="shared" si="6"/>
        <v>0.10491387145179122</v>
      </c>
      <c r="T29">
        <f t="shared" si="6"/>
        <v>9.9945414286819523E-2</v>
      </c>
      <c r="U29">
        <f t="shared" si="7"/>
        <v>9.3583212398352544E-2</v>
      </c>
      <c r="V29">
        <f t="shared" si="7"/>
        <v>8.6169764776437285E-2</v>
      </c>
      <c r="W29">
        <f t="shared" si="7"/>
        <v>7.8062591554442923E-2</v>
      </c>
      <c r="X29">
        <f t="shared" si="7"/>
        <v>6.9608794710659311E-2</v>
      </c>
      <c r="Y29">
        <f t="shared" si="7"/>
        <v>6.112423357328059E-2</v>
      </c>
      <c r="Z29">
        <f t="shared" si="7"/>
        <v>5.2878526747999671E-2</v>
      </c>
      <c r="AA29">
        <f t="shared" si="7"/>
        <v>4.5086234421155565E-2</v>
      </c>
      <c r="AB29">
        <f t="shared" si="7"/>
        <v>3.7903846114811915E-2</v>
      </c>
    </row>
    <row r="30" spans="10:28" x14ac:dyDescent="0.25">
      <c r="J30" s="31">
        <f t="shared" si="3"/>
        <v>0.28000000000000008</v>
      </c>
      <c r="K30">
        <f t="shared" si="6"/>
        <v>7.8031689673139532E-2</v>
      </c>
      <c r="L30">
        <f t="shared" si="6"/>
        <v>8.662063834325294E-2</v>
      </c>
      <c r="M30">
        <f t="shared" si="6"/>
        <v>9.4139940583588544E-2</v>
      </c>
      <c r="N30">
        <f t="shared" si="6"/>
        <v>0.10023264525503359</v>
      </c>
      <c r="O30">
        <f t="shared" si="6"/>
        <v>0.10461580211458497</v>
      </c>
      <c r="P30">
        <f t="shared" si="6"/>
        <v>0.1071021814960212</v>
      </c>
      <c r="Q30">
        <f t="shared" si="6"/>
        <v>0.10761253122889841</v>
      </c>
      <c r="R30">
        <f t="shared" si="6"/>
        <v>0.10617746398466496</v>
      </c>
      <c r="S30">
        <f t="shared" si="6"/>
        <v>0.10292943583571135</v>
      </c>
      <c r="T30">
        <f t="shared" si="6"/>
        <v>9.8086455104295811E-2</v>
      </c>
      <c r="U30">
        <f t="shared" si="7"/>
        <v>9.1929987392905074E-2</v>
      </c>
      <c r="V30">
        <f t="shared" si="7"/>
        <v>8.4779916846609737E-2</v>
      </c>
      <c r="W30">
        <f t="shared" si="7"/>
        <v>7.6969387639853615E-2</v>
      </c>
      <c r="X30">
        <f t="shared" si="7"/>
        <v>6.882195524203466E-2</v>
      </c>
      <c r="Y30">
        <f t="shared" si="7"/>
        <v>6.0632840497875908E-2</v>
      </c>
      <c r="Z30">
        <f t="shared" si="7"/>
        <v>5.2655333306538078E-2</v>
      </c>
      <c r="AA30">
        <f t="shared" si="7"/>
        <v>4.5092659615478474E-2</v>
      </c>
      <c r="AB30">
        <f t="shared" si="7"/>
        <v>3.8095000845669739E-2</v>
      </c>
    </row>
    <row r="31" spans="10:28" x14ac:dyDescent="0.25">
      <c r="J31" s="31">
        <f t="shared" si="3"/>
        <v>0.29000000000000009</v>
      </c>
      <c r="K31">
        <f t="shared" si="6"/>
        <v>7.8227089767972421E-2</v>
      </c>
      <c r="L31">
        <f t="shared" si="6"/>
        <v>8.6397615115197196E-2</v>
      </c>
      <c r="M31">
        <f t="shared" si="6"/>
        <v>9.3491557627710969E-2</v>
      </c>
      <c r="N31">
        <f t="shared" si="6"/>
        <v>9.9183594553488463E-2</v>
      </c>
      <c r="O31">
        <f t="shared" si="6"/>
        <v>0.10322021122763479</v>
      </c>
      <c r="P31">
        <f t="shared" si="6"/>
        <v>0.10543822836472676</v>
      </c>
      <c r="Q31">
        <f t="shared" si="6"/>
        <v>0.10577467952439351</v>
      </c>
      <c r="R31">
        <f t="shared" si="6"/>
        <v>0.10426741746224634</v>
      </c>
      <c r="S31">
        <f t="shared" si="6"/>
        <v>0.10104699942724578</v>
      </c>
      <c r="T31">
        <f t="shared" si="6"/>
        <v>9.6321388917802592E-2</v>
      </c>
      <c r="U31">
        <f t="shared" si="7"/>
        <v>9.0355687349173625E-2</v>
      </c>
      <c r="V31">
        <f t="shared" si="7"/>
        <v>8.3449413998190919E-2</v>
      </c>
      <c r="W31">
        <f t="shared" si="7"/>
        <v>7.5913795225691402E-2</v>
      </c>
      <c r="X31">
        <f t="shared" si="7"/>
        <v>6.8051168528984338E-2</v>
      </c>
      <c r="Y31">
        <f t="shared" si="7"/>
        <v>6.0138052330267366E-2</v>
      </c>
      <c r="Z31">
        <f t="shared" si="7"/>
        <v>5.2412789120638389E-2</v>
      </c>
      <c r="AA31">
        <f t="shared" si="7"/>
        <v>4.5068039554878508E-2</v>
      </c>
      <c r="AB31">
        <f t="shared" si="7"/>
        <v>3.8247867181769084E-2</v>
      </c>
    </row>
    <row r="32" spans="10:28" x14ac:dyDescent="0.25">
      <c r="J32" s="31">
        <f t="shared" si="3"/>
        <v>0.3000000000000001</v>
      </c>
      <c r="K32">
        <f t="shared" si="6"/>
        <v>7.8360079709086941E-2</v>
      </c>
      <c r="L32">
        <f t="shared" si="6"/>
        <v>8.6135209507201535E-2</v>
      </c>
      <c r="M32">
        <f t="shared" si="6"/>
        <v>9.2831403425851403E-2</v>
      </c>
      <c r="N32">
        <f t="shared" si="6"/>
        <v>9.8151979341650944E-2</v>
      </c>
      <c r="O32">
        <f t="shared" si="6"/>
        <v>0.10186968836013037</v>
      </c>
      <c r="P32">
        <f t="shared" si="6"/>
        <v>0.10384250941540389</v>
      </c>
      <c r="Q32">
        <f t="shared" si="6"/>
        <v>0.10402153900770142</v>
      </c>
      <c r="R32">
        <f t="shared" si="6"/>
        <v>0.10245057759778815</v>
      </c>
      <c r="S32">
        <f t="shared" si="6"/>
        <v>9.9258019620805313E-2</v>
      </c>
      <c r="T32">
        <f t="shared" si="6"/>
        <v>9.4642484031645588E-2</v>
      </c>
      <c r="U32">
        <f t="shared" si="7"/>
        <v>8.8854176193174747E-2</v>
      </c>
      <c r="V32">
        <f t="shared" si="7"/>
        <v>8.2174206577335707E-2</v>
      </c>
      <c r="W32">
        <f t="shared" si="7"/>
        <v>7.4894019944883997E-2</v>
      </c>
      <c r="X32">
        <f t="shared" si="7"/>
        <v>6.7296767703358767E-2</v>
      </c>
      <c r="Y32">
        <f t="shared" si="7"/>
        <v>5.9641970488799698E-2</v>
      </c>
      <c r="Z32">
        <f t="shared" si="7"/>
        <v>5.2154260572279044E-2</v>
      </c>
      <c r="AA32">
        <f t="shared" si="7"/>
        <v>4.5016449445537253E-2</v>
      </c>
      <c r="AB32">
        <f t="shared" si="7"/>
        <v>3.8366700517690151E-2</v>
      </c>
    </row>
    <row r="33" spans="10:28" x14ac:dyDescent="0.25">
      <c r="J33" s="31">
        <f t="shared" si="3"/>
        <v>0.31000000000000011</v>
      </c>
      <c r="K33">
        <f t="shared" ref="K33:T42" si="8">_xlfn.NORM.S.DIST((LN(K$2/$B$60)+($F$62+$F$61^2/2)*$J33)/($F$61*SQRT($J33)),0)/(K$2*$F$61*SQRT($J33))</f>
        <v>7.8437885171595806E-2</v>
      </c>
      <c r="L33">
        <f t="shared" si="8"/>
        <v>8.5839228812789797E-2</v>
      </c>
      <c r="M33">
        <f t="shared" si="8"/>
        <v>9.2163060587670861E-2</v>
      </c>
      <c r="N33">
        <f t="shared" si="8"/>
        <v>9.7138666813056343E-2</v>
      </c>
      <c r="O33">
        <f t="shared" si="8"/>
        <v>0.10056228511567634</v>
      </c>
      <c r="P33">
        <f t="shared" si="8"/>
        <v>0.10231055468031262</v>
      </c>
      <c r="Q33">
        <f t="shared" si="8"/>
        <v>0.10234674213523311</v>
      </c>
      <c r="R33">
        <f t="shared" si="8"/>
        <v>0.10071951818374969</v>
      </c>
      <c r="S33">
        <f t="shared" si="8"/>
        <v>9.7554924930706791E-2</v>
      </c>
      <c r="T33">
        <f t="shared" si="8"/>
        <v>9.3042873278576091E-2</v>
      </c>
      <c r="U33">
        <f t="shared" ref="U33:AB42" si="9">_xlfn.NORM.S.DIST((LN(U$2/$B$60)+($F$62+$F$61^2/2)*$J33)/($F$61*SQRT($J33)),0)/(U$2*$F$61*SQRT($J33))</f>
        <v>8.7419964493422944E-2</v>
      </c>
      <c r="V33">
        <f t="shared" si="9"/>
        <v>8.0950609205927115E-2</v>
      </c>
      <c r="W33">
        <f t="shared" si="9"/>
        <v>7.3908335927103788E-2</v>
      </c>
      <c r="X33">
        <f t="shared" si="9"/>
        <v>6.6558890745456872E-2</v>
      </c>
      <c r="Y33">
        <f t="shared" si="9"/>
        <v>5.9146302714999037E-2</v>
      </c>
      <c r="Z33">
        <f t="shared" si="9"/>
        <v>5.1882604023844349E-2</v>
      </c>
      <c r="AA33">
        <f t="shared" si="9"/>
        <v>4.4941421630162404E-2</v>
      </c>
      <c r="AB33">
        <f t="shared" si="9"/>
        <v>3.8455252577158122E-2</v>
      </c>
    </row>
    <row r="34" spans="10:28" x14ac:dyDescent="0.25">
      <c r="J34" s="31">
        <f t="shared" si="3"/>
        <v>0.32000000000000012</v>
      </c>
      <c r="K34">
        <f t="shared" si="8"/>
        <v>7.8466855048466497E-2</v>
      </c>
      <c r="L34">
        <f t="shared" si="8"/>
        <v>8.5514671877037041E-2</v>
      </c>
      <c r="M34">
        <f t="shared" si="8"/>
        <v>9.1489507455294619E-2</v>
      </c>
      <c r="N34">
        <f t="shared" si="8"/>
        <v>9.6144224306516327E-2</v>
      </c>
      <c r="O34">
        <f t="shared" si="8"/>
        <v>9.9296103466139082E-2</v>
      </c>
      <c r="P34">
        <f t="shared" si="8"/>
        <v>0.10083827939790316</v>
      </c>
      <c r="Q34">
        <f t="shared" si="8"/>
        <v>0.10074457081293521</v>
      </c>
      <c r="R34">
        <f t="shared" si="8"/>
        <v>9.9067617346571407E-2</v>
      </c>
      <c r="S34">
        <f t="shared" si="8"/>
        <v>9.593097742855386E-2</v>
      </c>
      <c r="T34">
        <f t="shared" si="8"/>
        <v>9.1516433521371482E-2</v>
      </c>
      <c r="U34">
        <f t="shared" si="9"/>
        <v>8.6048124695359302E-2</v>
      </c>
      <c r="V34">
        <f t="shared" si="9"/>
        <v>7.9775261719401261E-2</v>
      </c>
      <c r="W34">
        <f t="shared" si="9"/>
        <v>7.2955093000581464E-2</v>
      </c>
      <c r="X34">
        <f t="shared" si="9"/>
        <v>6.5837526419345802E-2</v>
      </c>
      <c r="Y34">
        <f t="shared" si="9"/>
        <v>5.8652434830663777E-2</v>
      </c>
      <c r="Z34">
        <f t="shared" si="9"/>
        <v>5.1600248375018254E-2</v>
      </c>
      <c r="AA34">
        <f t="shared" si="9"/>
        <v>4.4846024860126073E-2</v>
      </c>
      <c r="AB34">
        <f t="shared" si="9"/>
        <v>3.8516836509164647E-2</v>
      </c>
    </row>
    <row r="35" spans="10:28" x14ac:dyDescent="0.25">
      <c r="J35" s="31">
        <f t="shared" si="3"/>
        <v>0.33000000000000013</v>
      </c>
      <c r="K35">
        <f t="shared" si="8"/>
        <v>7.8452578292545705E-2</v>
      </c>
      <c r="L35">
        <f t="shared" si="8"/>
        <v>8.5165851101076689E-2</v>
      </c>
      <c r="M35">
        <f t="shared" si="8"/>
        <v>9.0813221154441529E-2</v>
      </c>
      <c r="N35">
        <f t="shared" si="8"/>
        <v>9.5168983182480085E-2</v>
      </c>
      <c r="O35">
        <f t="shared" si="8"/>
        <v>9.8069308598242436E-2</v>
      </c>
      <c r="P35">
        <f t="shared" si="8"/>
        <v>9.9421944631160816E-2</v>
      </c>
      <c r="Q35">
        <f t="shared" si="8"/>
        <v>9.9209873928347972E-2</v>
      </c>
      <c r="R35">
        <f t="shared" si="8"/>
        <v>9.7488948844886431E-2</v>
      </c>
      <c r="S35">
        <f t="shared" si="8"/>
        <v>9.4380158277392462E-2</v>
      </c>
      <c r="T35">
        <f t="shared" si="8"/>
        <v>9.0057685067918364E-2</v>
      </c>
      <c r="U35">
        <f t="shared" si="9"/>
        <v>8.4734219498518032E-2</v>
      </c>
      <c r="V35">
        <f t="shared" si="9"/>
        <v>7.8645094720059372E-2</v>
      </c>
      <c r="W35">
        <f t="shared" si="9"/>
        <v>7.2032720184411925E-2</v>
      </c>
      <c r="X35">
        <f t="shared" si="9"/>
        <v>6.5132549994840208E-2</v>
      </c>
      <c r="Y35">
        <f t="shared" si="9"/>
        <v>5.8161488573942127E-2</v>
      </c>
      <c r="Z35">
        <f t="shared" si="9"/>
        <v>5.1309263021521632E-2</v>
      </c>
      <c r="AA35">
        <f t="shared" si="9"/>
        <v>4.4732930908341739E-2</v>
      </c>
      <c r="AB35">
        <f t="shared" si="9"/>
        <v>3.855438303437677E-2</v>
      </c>
    </row>
    <row r="36" spans="10:28" x14ac:dyDescent="0.25">
      <c r="J36" s="31">
        <f t="shared" ref="J36:J55" si="10">J35+$C$5</f>
        <v>0.34000000000000014</v>
      </c>
      <c r="K36">
        <f t="shared" si="8"/>
        <v>7.839998388377227E-2</v>
      </c>
      <c r="L36">
        <f t="shared" si="8"/>
        <v>8.4796494265439781E-2</v>
      </c>
      <c r="M36">
        <f t="shared" si="8"/>
        <v>9.0136261733007442E-2</v>
      </c>
      <c r="N36">
        <f t="shared" si="8"/>
        <v>9.4213089335724379E-2</v>
      </c>
      <c r="O36">
        <f t="shared" si="8"/>
        <v>9.6880136845026624E-2</v>
      </c>
      <c r="P36">
        <f t="shared" si="8"/>
        <v>9.8058122271040341E-2</v>
      </c>
      <c r="Q36">
        <f t="shared" si="8"/>
        <v>9.7737997278678268E-2</v>
      </c>
      <c r="R36">
        <f t="shared" si="8"/>
        <v>9.5978190801984872E-2</v>
      </c>
      <c r="S36">
        <f t="shared" si="8"/>
        <v>9.2897071914579646E-2</v>
      </c>
      <c r="T36">
        <f t="shared" si="8"/>
        <v>8.8661707223950698E-2</v>
      </c>
      <c r="U36">
        <f t="shared" si="9"/>
        <v>8.3474241044860883E-2</v>
      </c>
      <c r="V36">
        <f t="shared" si="9"/>
        <v>7.7557299202882027E-2</v>
      </c>
      <c r="W36">
        <f t="shared" si="9"/>
        <v>7.1139726609697251E-2</v>
      </c>
      <c r="X36">
        <f t="shared" si="9"/>
        <v>6.4443751110784556E-2</v>
      </c>
      <c r="Y36">
        <f t="shared" si="9"/>
        <v>5.7674368428616091E-2</v>
      </c>
      <c r="Z36">
        <f t="shared" si="9"/>
        <v>5.1011414023366945E-2</v>
      </c>
      <c r="AA36">
        <f t="shared" si="9"/>
        <v>4.4604470698105969E-2</v>
      </c>
      <c r="AB36">
        <f t="shared" si="9"/>
        <v>3.8570488885958043E-2</v>
      </c>
    </row>
    <row r="37" spans="10:28" x14ac:dyDescent="0.25">
      <c r="J37" s="31">
        <f t="shared" si="10"/>
        <v>0.35000000000000014</v>
      </c>
      <c r="K37">
        <f t="shared" si="8"/>
        <v>7.8313426489995758E-2</v>
      </c>
      <c r="L37">
        <f t="shared" si="8"/>
        <v>8.4409829799636543E-2</v>
      </c>
      <c r="M37">
        <f t="shared" si="8"/>
        <v>8.9460341149269151E-2</v>
      </c>
      <c r="N37">
        <f t="shared" si="8"/>
        <v>9.327654327901444E-2</v>
      </c>
      <c r="O37">
        <f t="shared" si="8"/>
        <v>9.5726900083606653E-2</v>
      </c>
      <c r="P37">
        <f t="shared" si="8"/>
        <v>9.6743663955659184E-2</v>
      </c>
      <c r="Q37">
        <f t="shared" si="8"/>
        <v>9.6324723761413461E-2</v>
      </c>
      <c r="R37">
        <f t="shared" si="8"/>
        <v>9.4530548661478572E-2</v>
      </c>
      <c r="S37">
        <f t="shared" si="8"/>
        <v>9.1476865395387616E-2</v>
      </c>
      <c r="T37">
        <f t="shared" si="8"/>
        <v>8.7324067010241077E-2</v>
      </c>
      <c r="U37">
        <f t="shared" si="9"/>
        <v>8.2264559048957714E-2</v>
      </c>
      <c r="V37">
        <f t="shared" si="9"/>
        <v>7.6509299758965588E-2</v>
      </c>
      <c r="W37">
        <f t="shared" si="9"/>
        <v>7.027470068168519E-2</v>
      </c>
      <c r="X37">
        <f t="shared" si="9"/>
        <v>6.3770855559718689E-2</v>
      </c>
      <c r="Y37">
        <f t="shared" si="9"/>
        <v>5.7191799703830759E-2</v>
      </c>
      <c r="Z37">
        <f t="shared" si="9"/>
        <v>5.0708210708673901E-2</v>
      </c>
      <c r="AA37">
        <f t="shared" si="9"/>
        <v>4.4462681729514217E-2</v>
      </c>
      <c r="AB37">
        <f t="shared" si="9"/>
        <v>3.8567458632765714E-2</v>
      </c>
    </row>
    <row r="38" spans="10:28" x14ac:dyDescent="0.25">
      <c r="J38" s="31">
        <f t="shared" si="10"/>
        <v>0.36000000000000015</v>
      </c>
      <c r="K38">
        <f t="shared" si="8"/>
        <v>7.8196759995625309E-2</v>
      </c>
      <c r="L38">
        <f t="shared" si="8"/>
        <v>8.4008658425998251E-2</v>
      </c>
      <c r="M38">
        <f t="shared" si="8"/>
        <v>8.8786880064345625E-2</v>
      </c>
      <c r="N38">
        <f t="shared" si="8"/>
        <v>9.2359232046461529E-2</v>
      </c>
      <c r="O38">
        <f t="shared" si="8"/>
        <v>9.4607987606107835E-2</v>
      </c>
      <c r="P38">
        <f t="shared" si="8"/>
        <v>9.5475673466321853E-2</v>
      </c>
      <c r="Q38">
        <f t="shared" si="8"/>
        <v>9.4966222104618137E-2</v>
      </c>
      <c r="R38">
        <f t="shared" si="8"/>
        <v>9.3141689818687146E-2</v>
      </c>
      <c r="S38">
        <f t="shared" si="8"/>
        <v>9.0115160141140932E-2</v>
      </c>
      <c r="T38">
        <f t="shared" si="8"/>
        <v>8.6040758685662189E-2</v>
      </c>
      <c r="U38">
        <f t="shared" si="9"/>
        <v>8.1101876362315015E-2</v>
      </c>
      <c r="V38">
        <f t="shared" si="9"/>
        <v>7.5498730913588399E-2</v>
      </c>
      <c r="W38">
        <f t="shared" si="9"/>
        <v>6.9436308063248034E-2</v>
      </c>
      <c r="X38">
        <f t="shared" si="9"/>
        <v>6.3113542348308974E-2</v>
      </c>
      <c r="Y38">
        <f t="shared" si="9"/>
        <v>5.6714359623090918E-2</v>
      </c>
      <c r="Z38">
        <f t="shared" si="9"/>
        <v>5.0400944485837922E-2</v>
      </c>
      <c r="AA38">
        <f t="shared" si="9"/>
        <v>4.4309348264306207E-2</v>
      </c>
      <c r="AB38">
        <f t="shared" si="9"/>
        <v>3.854734082704258E-2</v>
      </c>
    </row>
    <row r="39" spans="10:28" x14ac:dyDescent="0.25">
      <c r="J39" s="31">
        <f t="shared" si="10"/>
        <v>0.37000000000000016</v>
      </c>
      <c r="K39">
        <f t="shared" si="8"/>
        <v>7.8053400733797629E-2</v>
      </c>
      <c r="L39">
        <f t="shared" si="8"/>
        <v>8.3595413548992567E-2</v>
      </c>
      <c r="M39">
        <f t="shared" si="8"/>
        <v>8.8117054771711903E-2</v>
      </c>
      <c r="N39">
        <f t="shared" si="8"/>
        <v>9.1460954650147724E-2</v>
      </c>
      <c r="O39">
        <f t="shared" si="8"/>
        <v>9.3521866199829329E-2</v>
      </c>
      <c r="P39">
        <f t="shared" si="8"/>
        <v>9.4251482199393305E-2</v>
      </c>
      <c r="Q39">
        <f t="shared" si="8"/>
        <v>9.3659002737849439E-2</v>
      </c>
      <c r="R39">
        <f t="shared" si="8"/>
        <v>9.1807687892604545E-2</v>
      </c>
      <c r="S39">
        <f t="shared" si="8"/>
        <v>8.8807993898184431E-2</v>
      </c>
      <c r="T39">
        <f t="shared" si="8"/>
        <v>8.480815219202871E-2</v>
      </c>
      <c r="U39">
        <f t="shared" si="9"/>
        <v>7.9983190748873528E-2</v>
      </c>
      <c r="V39">
        <f t="shared" si="9"/>
        <v>7.4523416206960721E-2</v>
      </c>
      <c r="W39">
        <f t="shared" si="9"/>
        <v>6.8623288894399004E-2</v>
      </c>
      <c r="X39">
        <f t="shared" si="9"/>
        <v>6.2471457070223335E-2</v>
      </c>
      <c r="Y39">
        <f t="shared" si="9"/>
        <v>5.6242502800793251E-2</v>
      </c>
      <c r="Z39">
        <f t="shared" si="9"/>
        <v>5.0090721282111957E-2</v>
      </c>
      <c r="AA39">
        <f t="shared" si="9"/>
        <v>4.4146035468964777E-2</v>
      </c>
      <c r="AB39">
        <f t="shared" si="9"/>
        <v>3.8511959287134509E-2</v>
      </c>
    </row>
    <row r="40" spans="10:28" x14ac:dyDescent="0.25">
      <c r="J40" s="31">
        <f t="shared" si="10"/>
        <v>0.38000000000000017</v>
      </c>
      <c r="K40">
        <f t="shared" si="8"/>
        <v>7.7886381969809987E-2</v>
      </c>
      <c r="L40">
        <f t="shared" si="8"/>
        <v>8.3172212316767219E-2</v>
      </c>
      <c r="M40">
        <f t="shared" si="8"/>
        <v>8.7451836115006634E-2</v>
      </c>
      <c r="N40">
        <f t="shared" si="8"/>
        <v>9.0581442434059287E-2</v>
      </c>
      <c r="O40">
        <f t="shared" si="8"/>
        <v>9.2467078975746575E-2</v>
      </c>
      <c r="P40">
        <f t="shared" si="8"/>
        <v>9.3068627353224714E-2</v>
      </c>
      <c r="Q40">
        <f t="shared" si="8"/>
        <v>9.2399879661487425E-2</v>
      </c>
      <c r="R40">
        <f t="shared" si="8"/>
        <v>9.0524975001920735E-2</v>
      </c>
      <c r="S40">
        <f t="shared" si="8"/>
        <v>8.7551771149811011E-2</v>
      </c>
      <c r="T40">
        <f t="shared" si="8"/>
        <v>8.3622949005771163E-2</v>
      </c>
      <c r="U40">
        <f t="shared" si="9"/>
        <v>7.8905761874248706E-2</v>
      </c>
      <c r="V40">
        <f t="shared" si="9"/>
        <v>7.3581349673512444E-2</v>
      </c>
      <c r="W40">
        <f t="shared" si="9"/>
        <v>6.7834454543624037E-2</v>
      </c>
      <c r="X40">
        <f t="shared" si="9"/>
        <v>6.1844222389400898E-2</v>
      </c>
      <c r="Y40">
        <f t="shared" si="9"/>
        <v>5.5776582192210211E-2</v>
      </c>
      <c r="Z40">
        <f t="shared" si="9"/>
        <v>4.9778488747824749E-2</v>
      </c>
      <c r="AA40">
        <f t="shared" si="9"/>
        <v>4.3974118503494732E-2</v>
      </c>
      <c r="AB40">
        <f t="shared" si="9"/>
        <v>3.8462940209595287E-2</v>
      </c>
    </row>
    <row r="41" spans="10:28" x14ac:dyDescent="0.25">
      <c r="J41" s="31">
        <f t="shared" si="10"/>
        <v>0.39000000000000018</v>
      </c>
      <c r="K41">
        <f t="shared" si="8"/>
        <v>7.7698400940201084E-2</v>
      </c>
      <c r="L41">
        <f t="shared" si="8"/>
        <v>8.2740898925859327E-2</v>
      </c>
      <c r="M41">
        <f t="shared" si="8"/>
        <v>8.6792021870427755E-2</v>
      </c>
      <c r="N41">
        <f>_xlfn.NORM.S.DIST((LN(N$2/$B$60)+($F$62+$F$61^2/2)*$J41)/($F$61*SQRT($J41)),0)/(N$2*$F$61*SQRT($J41))</f>
        <v>8.9720375372944333E-2</v>
      </c>
      <c r="O41">
        <f t="shared" si="8"/>
        <v>9.1442243340525198E-2</v>
      </c>
      <c r="P41">
        <f t="shared" si="8"/>
        <v>9.1924832508762197E-2</v>
      </c>
      <c r="Q41">
        <f t="shared" si="8"/>
        <v>9.1185937377215975E-2</v>
      </c>
      <c r="R41">
        <f t="shared" si="8"/>
        <v>8.9290300720959434E-2</v>
      </c>
      <c r="S41">
        <f t="shared" si="8"/>
        <v>8.634322056349919E-2</v>
      </c>
      <c r="T41">
        <f t="shared" si="8"/>
        <v>8.2482144170756125E-2</v>
      </c>
      <c r="U41">
        <f t="shared" si="9"/>
        <v>7.7867082691014722E-2</v>
      </c>
      <c r="V41">
        <f t="shared" si="9"/>
        <v>7.2670679419042095E-2</v>
      </c>
      <c r="W41">
        <f t="shared" si="9"/>
        <v>6.706868410111208E-2</v>
      </c>
      <c r="X41">
        <f t="shared" si="9"/>
        <v>6.1231446251118746E-2</v>
      </c>
      <c r="Y41">
        <f t="shared" si="9"/>
        <v>5.5316866376925518E-2</v>
      </c>
      <c r="Z41">
        <f t="shared" si="9"/>
        <v>4.9465059145320067E-2</v>
      </c>
      <c r="AA41">
        <f t="shared" si="9"/>
        <v>4.3794807370357874E-2</v>
      </c>
      <c r="AB41">
        <f t="shared" si="9"/>
        <v>3.8401735703933591E-2</v>
      </c>
    </row>
    <row r="42" spans="10:28" x14ac:dyDescent="0.25">
      <c r="J42" s="31">
        <f t="shared" si="10"/>
        <v>0.40000000000000019</v>
      </c>
      <c r="K42">
        <f t="shared" si="8"/>
        <v>7.7491859547003938E-2</v>
      </c>
      <c r="L42">
        <f t="shared" si="8"/>
        <v>8.2303081454265195E-2</v>
      </c>
      <c r="M42">
        <f t="shared" si="8"/>
        <v>8.6138263776535579E-2</v>
      </c>
      <c r="N42">
        <f t="shared" si="8"/>
        <v>8.88773951367684E-2</v>
      </c>
      <c r="O42">
        <f t="shared" si="8"/>
        <v>9.044604840155672E-2</v>
      </c>
      <c r="P42">
        <f t="shared" si="8"/>
        <v>9.0817990319520356E-2</v>
      </c>
      <c r="Q42">
        <f t="shared" si="8"/>
        <v>9.0014502106805103E-2</v>
      </c>
      <c r="R42">
        <f t="shared" si="8"/>
        <v>8.8100696637879242E-2</v>
      </c>
      <c r="S42">
        <f t="shared" si="8"/>
        <v>8.5179358323278123E-2</v>
      </c>
      <c r="T42">
        <f t="shared" si="8"/>
        <v>8.1382993514790114E-2</v>
      </c>
      <c r="U42">
        <f t="shared" si="9"/>
        <v>7.6864854546357872E-2</v>
      </c>
      <c r="V42">
        <f t="shared" si="9"/>
        <v>7.1789693033847857E-2</v>
      </c>
      <c r="W42">
        <f t="shared" si="9"/>
        <v>6.6324920762038844E-2</v>
      </c>
      <c r="X42">
        <f t="shared" si="9"/>
        <v>6.0632728300886778E-2</v>
      </c>
      <c r="Y42">
        <f t="shared" si="9"/>
        <v>5.4863553860158593E-2</v>
      </c>
      <c r="Z42">
        <f t="shared" si="9"/>
        <v>4.9151128667155659E-2</v>
      </c>
      <c r="AA42">
        <f t="shared" si="9"/>
        <v>4.3609168197032977E-2</v>
      </c>
      <c r="AB42">
        <f t="shared" si="9"/>
        <v>3.8329644256099804E-2</v>
      </c>
    </row>
    <row r="43" spans="10:28" x14ac:dyDescent="0.25">
      <c r="J43" s="31">
        <f t="shared" si="10"/>
        <v>0.4100000000000002</v>
      </c>
      <c r="K43">
        <f t="shared" ref="K43:T55" si="11">_xlfn.NORM.S.DIST((LN(K$2/$B$60)+($F$62+$F$61^2/2)*$J43)/($F$61*SQRT($J43)),0)/(K$2*$F$61*SQRT($J43))</f>
        <v>7.7268899634669319E-2</v>
      </c>
      <c r="L43">
        <f t="shared" si="11"/>
        <v>8.1860163277853795E-2</v>
      </c>
      <c r="M43">
        <f t="shared" si="11"/>
        <v>8.5491090163411346E-2</v>
      </c>
      <c r="N43">
        <f t="shared" si="11"/>
        <v>8.805211556669551E-2</v>
      </c>
      <c r="O43">
        <f t="shared" si="11"/>
        <v>8.9477252016670991E-2</v>
      </c>
      <c r="P43">
        <f t="shared" si="11"/>
        <v>8.9746147060519574E-2</v>
      </c>
      <c r="Q43">
        <f t="shared" si="11"/>
        <v>8.8883116658946659E-2</v>
      </c>
      <c r="R43">
        <f t="shared" si="11"/>
        <v>8.6953445633230861E-2</v>
      </c>
      <c r="S43">
        <f t="shared" si="11"/>
        <v>8.4057456408709139E-2</v>
      </c>
      <c r="T43">
        <f t="shared" si="11"/>
        <v>8.0322985233575325E-2</v>
      </c>
      <c r="U43">
        <f t="shared" ref="U43:AB55" si="12">_xlfn.NORM.S.DIST((LN(U$2/$B$60)+($F$62+$F$61^2/2)*$J43)/($F$61*SQRT($J43)),0)/(U$2*$F$61*SQRT($J43))</f>
        <v>7.5896965454454637E-2</v>
      </c>
      <c r="V43">
        <f t="shared" si="12"/>
        <v>7.0936804614168306E-2</v>
      </c>
      <c r="W43">
        <f t="shared" si="12"/>
        <v>6.5602168203220873E-2</v>
      </c>
      <c r="X43">
        <f t="shared" si="12"/>
        <v>6.00476648860791E-2</v>
      </c>
      <c r="Y43">
        <f t="shared" si="12"/>
        <v>5.4416784939247967E-2</v>
      </c>
      <c r="Z43">
        <f t="shared" si="12"/>
        <v>4.8837293789114132E-2</v>
      </c>
      <c r="AA43">
        <f t="shared" si="12"/>
        <v>4.3418141510501315E-2</v>
      </c>
      <c r="AB43">
        <f t="shared" si="12"/>
        <v>3.824782855216078E-2</v>
      </c>
    </row>
    <row r="44" spans="10:28" x14ac:dyDescent="0.25">
      <c r="J44" s="31">
        <f t="shared" si="10"/>
        <v>0.42000000000000021</v>
      </c>
      <c r="K44">
        <f t="shared" si="11"/>
        <v>7.7031433632889973E-2</v>
      </c>
      <c r="L44">
        <f t="shared" si="11"/>
        <v>8.141336993902562E-2</v>
      </c>
      <c r="M44">
        <f t="shared" si="11"/>
        <v>8.485092495061522E-2</v>
      </c>
      <c r="N44">
        <f t="shared" si="11"/>
        <v>8.7244131073238987E-2</v>
      </c>
      <c r="O44">
        <f t="shared" si="11"/>
        <v>8.8534677642639781E-2</v>
      </c>
      <c r="P44">
        <f t="shared" si="11"/>
        <v>8.8707488816302624E-2</v>
      </c>
      <c r="Q44">
        <f t="shared" si="11"/>
        <v>8.7789518411380413E-2</v>
      </c>
      <c r="R44">
        <f t="shared" si="11"/>
        <v>8.5846055153367976E-2</v>
      </c>
      <c r="S44">
        <f t="shared" si="11"/>
        <v>8.2975015050552825E-2</v>
      </c>
      <c r="T44">
        <f t="shared" si="11"/>
        <v>7.9299815170679286E-2</v>
      </c>
      <c r="U44">
        <f t="shared" si="12"/>
        <v>7.4961471069892024E-2</v>
      </c>
      <c r="V44">
        <f t="shared" si="12"/>
        <v>7.0110543194175284E-2</v>
      </c>
      <c r="W44">
        <f t="shared" si="12"/>
        <v>6.4899487023970817E-2</v>
      </c>
      <c r="X44">
        <f t="shared" si="12"/>
        <v>5.9475852934333225E-2</v>
      </c>
      <c r="Y44">
        <f t="shared" si="12"/>
        <v>5.3976651574841626E-2</v>
      </c>
      <c r="Z44">
        <f t="shared" si="12"/>
        <v>4.8524065152444784E-2</v>
      </c>
      <c r="AA44">
        <f t="shared" si="12"/>
        <v>4.3222557967706042E-2</v>
      </c>
      <c r="AB44">
        <f t="shared" si="12"/>
        <v>3.8157331029947665E-2</v>
      </c>
    </row>
    <row r="45" spans="10:28" x14ac:dyDescent="0.25">
      <c r="J45" s="31">
        <f t="shared" si="10"/>
        <v>0.43000000000000022</v>
      </c>
      <c r="K45">
        <f t="shared" si="11"/>
        <v>7.6781171227617351E-2</v>
      </c>
      <c r="L45">
        <f t="shared" si="11"/>
        <v>8.096377218560645E-2</v>
      </c>
      <c r="M45">
        <f t="shared" si="11"/>
        <v>8.4218103638438721E-2</v>
      </c>
      <c r="N45">
        <f t="shared" si="11"/>
        <v>8.6453023361955247E-2</v>
      </c>
      <c r="O45">
        <f t="shared" si="11"/>
        <v>8.761721109396392E-2</v>
      </c>
      <c r="P45">
        <f t="shared" si="11"/>
        <v>8.7700329115289841E-2</v>
      </c>
      <c r="Q45">
        <f t="shared" si="11"/>
        <v>8.6731619963098264E-2</v>
      </c>
      <c r="R45">
        <f t="shared" si="11"/>
        <v>8.477623387890211E-2</v>
      </c>
      <c r="S45">
        <f t="shared" si="11"/>
        <v>8.192973872824845E-2</v>
      </c>
      <c r="T45">
        <f t="shared" si="11"/>
        <v>7.831136523843811E-2</v>
      </c>
      <c r="U45">
        <f t="shared" si="12"/>
        <v>7.4056577974912913E-2</v>
      </c>
      <c r="V45">
        <f t="shared" si="12"/>
        <v>6.9309542416778905E-2</v>
      </c>
      <c r="W45">
        <f t="shared" si="12"/>
        <v>6.4215991298458591E-2</v>
      </c>
      <c r="X45">
        <f t="shared" si="12"/>
        <v>5.89168929402102E-2</v>
      </c>
      <c r="Y45">
        <f t="shared" si="12"/>
        <v>5.3543205621326598E-2</v>
      </c>
      <c r="Z45">
        <f t="shared" si="12"/>
        <v>4.821187938053164E-2</v>
      </c>
      <c r="AA45">
        <f t="shared" si="12"/>
        <v>4.3023151928722622E-2</v>
      </c>
      <c r="AB45">
        <f t="shared" si="12"/>
        <v>3.8059087472319272E-2</v>
      </c>
    </row>
    <row r="46" spans="10:28" x14ac:dyDescent="0.25">
      <c r="J46" s="31">
        <f t="shared" si="10"/>
        <v>0.44000000000000022</v>
      </c>
      <c r="K46">
        <f t="shared" si="11"/>
        <v>7.6519642621165937E-2</v>
      </c>
      <c r="L46">
        <f t="shared" si="11"/>
        <v>8.0512305775172044E-2</v>
      </c>
      <c r="M46">
        <f t="shared" si="11"/>
        <v>8.3592886801307956E-2</v>
      </c>
      <c r="N46">
        <f t="shared" si="11"/>
        <v>8.5678366809735118E-2</v>
      </c>
      <c r="O46">
        <f t="shared" si="11"/>
        <v>8.6723797291813384E-2</v>
      </c>
      <c r="P46">
        <f t="shared" si="11"/>
        <v>8.6723097841686192E-2</v>
      </c>
      <c r="Q46">
        <f t="shared" si="11"/>
        <v>8.5707492083057377E-2</v>
      </c>
      <c r="R46">
        <f t="shared" si="11"/>
        <v>8.3741871289964562E-2</v>
      </c>
      <c r="S46">
        <f t="shared" si="11"/>
        <v>8.0919515183153809E-2</v>
      </c>
      <c r="T46">
        <f t="shared" si="11"/>
        <v>7.7355684518734674E-2</v>
      </c>
      <c r="U46">
        <f t="shared" si="12"/>
        <v>7.3180628955788696E-2</v>
      </c>
      <c r="V46">
        <f t="shared" si="12"/>
        <v>6.8532531294054067E-2</v>
      </c>
      <c r="W46">
        <f t="shared" si="12"/>
        <v>6.3550845269883846E-2</v>
      </c>
      <c r="X46">
        <f t="shared" si="12"/>
        <v>5.8370391243018238E-2</v>
      </c>
      <c r="Y46">
        <f t="shared" si="12"/>
        <v>5.3116465703619116E-2</v>
      </c>
      <c r="Z46">
        <f t="shared" si="12"/>
        <v>4.790110916326467E-2</v>
      </c>
      <c r="AA46">
        <f t="shared" si="12"/>
        <v>4.2820573195811652E-2</v>
      </c>
      <c r="AB46">
        <f t="shared" si="12"/>
        <v>3.7953938909712999E-2</v>
      </c>
    </row>
    <row r="47" spans="10:28" x14ac:dyDescent="0.25">
      <c r="J47" s="31">
        <f t="shared" si="10"/>
        <v>0.45000000000000023</v>
      </c>
      <c r="K47">
        <f t="shared" si="11"/>
        <v>7.6248218857229391E-2</v>
      </c>
      <c r="L47">
        <f t="shared" si="11"/>
        <v>8.0059788539755733E-2</v>
      </c>
      <c r="M47">
        <f t="shared" si="11"/>
        <v>8.2975471499538198E-2</v>
      </c>
      <c r="N47">
        <f t="shared" si="11"/>
        <v>8.4919732750082022E-2</v>
      </c>
      <c r="O47">
        <f t="shared" si="11"/>
        <v>8.5853437059518284E-2</v>
      </c>
      <c r="P47">
        <f t="shared" si="11"/>
        <v>8.5774331277180191E-2</v>
      </c>
      <c r="Q47">
        <f t="shared" si="11"/>
        <v>8.4715348640722457E-2</v>
      </c>
      <c r="R47">
        <f t="shared" si="11"/>
        <v>8.2741019712546104E-2</v>
      </c>
      <c r="S47">
        <f t="shared" si="11"/>
        <v>7.9942397009644409E-2</v>
      </c>
      <c r="T47">
        <f t="shared" si="11"/>
        <v>7.6430972658961815E-2</v>
      </c>
      <c r="U47">
        <f t="shared" si="12"/>
        <v>7.2332089994971149E-2</v>
      </c>
      <c r="V47">
        <f t="shared" si="12"/>
        <v>6.7778325927595987E-2</v>
      </c>
      <c r="W47">
        <f t="shared" si="12"/>
        <v>6.2903260204527384E-2</v>
      </c>
      <c r="X47">
        <f t="shared" si="12"/>
        <v>5.7835961740779589E-2</v>
      </c>
      <c r="Y47">
        <f t="shared" si="12"/>
        <v>5.2696422973741476E-2</v>
      </c>
      <c r="Z47">
        <f t="shared" si="12"/>
        <v>4.7592071884197187E-2</v>
      </c>
      <c r="AA47">
        <f t="shared" si="12"/>
        <v>4.2615397189128081E-2</v>
      </c>
      <c r="AB47">
        <f t="shared" si="12"/>
        <v>3.7842642060656059E-2</v>
      </c>
    </row>
    <row r="48" spans="10:28" x14ac:dyDescent="0.25">
      <c r="J48" s="31">
        <f t="shared" si="10"/>
        <v>0.46000000000000024</v>
      </c>
      <c r="K48">
        <f t="shared" si="11"/>
        <v>7.5968129615191338E-2</v>
      </c>
      <c r="L48">
        <f t="shared" si="11"/>
        <v>7.9606935123790329E-2</v>
      </c>
      <c r="M48">
        <f t="shared" si="11"/>
        <v>8.2366000951090534E-2</v>
      </c>
      <c r="N48">
        <f t="shared" si="11"/>
        <v>8.4176692874746523E-2</v>
      </c>
      <c r="O48">
        <f t="shared" si="11"/>
        <v>8.5005184003590029E-2</v>
      </c>
      <c r="P48">
        <f t="shared" si="11"/>
        <v>8.4852663143063098E-2</v>
      </c>
      <c r="Q48">
        <f t="shared" si="11"/>
        <v>8.3753533252369936E-2</v>
      </c>
      <c r="R48">
        <f t="shared" si="11"/>
        <v>8.1771878497543138E-2</v>
      </c>
      <c r="S48">
        <f t="shared" si="11"/>
        <v>7.8996585457944926E-2</v>
      </c>
      <c r="T48">
        <f t="shared" si="11"/>
        <v>7.5535565240825733E-2</v>
      </c>
      <c r="U48">
        <f t="shared" si="12"/>
        <v>7.1509538748033494E-2</v>
      </c>
      <c r="V48">
        <f t="shared" si="12"/>
        <v>6.7045822075955039E-2</v>
      </c>
      <c r="W48">
        <f t="shared" si="12"/>
        <v>6.2272491414998722E-2</v>
      </c>
      <c r="X48">
        <f t="shared" si="12"/>
        <v>5.7313227155599673E-2</v>
      </c>
      <c r="Y48">
        <f t="shared" si="12"/>
        <v>5.2283045937659693E-2</v>
      </c>
      <c r="Z48">
        <f t="shared" si="12"/>
        <v>4.7285037018308433E-2</v>
      </c>
      <c r="AA48">
        <f t="shared" si="12"/>
        <v>4.2408133786561553E-2</v>
      </c>
      <c r="AB48">
        <f t="shared" si="12"/>
        <v>3.7725878505831527E-2</v>
      </c>
    </row>
    <row r="49" spans="1:28" x14ac:dyDescent="0.25">
      <c r="J49" s="31">
        <f t="shared" si="10"/>
        <v>0.47000000000000025</v>
      </c>
      <c r="K49">
        <f t="shared" si="11"/>
        <v>7.5680478818038938E-2</v>
      </c>
      <c r="L49">
        <f t="shared" si="11"/>
        <v>7.915436974068113E-2</v>
      </c>
      <c r="M49">
        <f t="shared" si="11"/>
        <v>8.1764572744758984E-2</v>
      </c>
      <c r="N49">
        <f t="shared" si="11"/>
        <v>8.3448821918664443E-2</v>
      </c>
      <c r="O49">
        <f t="shared" si="11"/>
        <v>8.4178141506348572E-2</v>
      </c>
      <c r="P49">
        <f t="shared" si="11"/>
        <v>8.3956816529444048E-2</v>
      </c>
      <c r="Q49">
        <f t="shared" si="11"/>
        <v>8.2820507417381145E-2</v>
      </c>
      <c r="R49">
        <f t="shared" si="11"/>
        <v>8.0832780039389568E-2</v>
      </c>
      <c r="S49">
        <f t="shared" si="11"/>
        <v>7.8080416141292186E-2</v>
      </c>
      <c r="T49">
        <f t="shared" si="11"/>
        <v>7.4667920850778516E-2</v>
      </c>
      <c r="U49">
        <f t="shared" si="12"/>
        <v>7.0711654309495595E-2</v>
      </c>
      <c r="V49">
        <f t="shared" si="12"/>
        <v>6.6333988470838046E-2</v>
      </c>
      <c r="W49">
        <f t="shared" si="12"/>
        <v>6.1657835455797901E-2</v>
      </c>
      <c r="X49">
        <f t="shared" si="12"/>
        <v>5.6801819942309754E-2</v>
      </c>
      <c r="Y49">
        <f t="shared" si="12"/>
        <v>5.1876284508351203E-2</v>
      </c>
      <c r="Z49">
        <f t="shared" si="12"/>
        <v>4.698023248966178E-2</v>
      </c>
      <c r="AA49">
        <f t="shared" si="12"/>
        <v>4.2199235019305524E-2</v>
      </c>
      <c r="AB49">
        <f t="shared" si="12"/>
        <v>3.7604262763230187E-2</v>
      </c>
    </row>
    <row r="50" spans="1:28" x14ac:dyDescent="0.25">
      <c r="J50" s="31">
        <f t="shared" si="10"/>
        <v>0.48000000000000026</v>
      </c>
      <c r="K50">
        <f t="shared" si="11"/>
        <v>7.538625834760028E-2</v>
      </c>
      <c r="L50">
        <f t="shared" si="11"/>
        <v>7.8702637237809167E-2</v>
      </c>
      <c r="M50">
        <f t="shared" si="11"/>
        <v>8.1171245827381625E-2</v>
      </c>
      <c r="N50">
        <f t="shared" si="11"/>
        <v>8.273569976299619E-2</v>
      </c>
      <c r="O50">
        <f t="shared" si="11"/>
        <v>8.3371459846701246E-2</v>
      </c>
      <c r="P50">
        <f t="shared" si="11"/>
        <v>8.3085596612214568E-2</v>
      </c>
      <c r="Q50">
        <f t="shared" si="11"/>
        <v>8.1914839952281868E-2</v>
      </c>
      <c r="R50">
        <f t="shared" si="11"/>
        <v>7.9922177386678686E-2</v>
      </c>
      <c r="S50">
        <f t="shared" si="11"/>
        <v>7.7192346388300651E-2</v>
      </c>
      <c r="T50">
        <f t="shared" si="11"/>
        <v>7.3826609623001069E-2</v>
      </c>
      <c r="U50">
        <f t="shared" si="12"/>
        <v>6.9937208100807141E-2</v>
      </c>
      <c r="V50">
        <f t="shared" si="12"/>
        <v>6.5641860796314677E-2</v>
      </c>
      <c r="W50">
        <f t="shared" si="12"/>
        <v>6.1058627489980477E-2</v>
      </c>
      <c r="X50">
        <f t="shared" si="12"/>
        <v>5.6301382913784906E-2</v>
      </c>
      <c r="Y50">
        <f t="shared" si="12"/>
        <v>5.1476073413248342E-2</v>
      </c>
      <c r="Z50">
        <f t="shared" si="12"/>
        <v>4.6677850146732619E-2</v>
      </c>
      <c r="AA50">
        <f t="shared" si="12"/>
        <v>4.1989101784950932E-2</v>
      </c>
      <c r="AB50">
        <f t="shared" si="12"/>
        <v>3.7478349408095281E-2</v>
      </c>
    </row>
    <row r="51" spans="1:28" x14ac:dyDescent="0.25">
      <c r="J51" s="31">
        <f t="shared" si="10"/>
        <v>0.49000000000000027</v>
      </c>
      <c r="K51">
        <f>_xlfn.NORM.S.DIST((LN(K$2/$B$60)+($F$62+$F$61^2/2)*$J51)/($F$61*SQRT($J51)),0)/(K$2*$F$61*SQRT($J51))</f>
        <v>7.5086360118159501E-2</v>
      </c>
      <c r="L51">
        <f t="shared" si="11"/>
        <v>7.8252212713802671E-2</v>
      </c>
      <c r="M51">
        <f t="shared" si="11"/>
        <v>8.0586046457921251E-2</v>
      </c>
      <c r="N51">
        <f t="shared" si="11"/>
        <v>8.2036913065399703E-2</v>
      </c>
      <c r="O51">
        <f t="shared" si="11"/>
        <v>8.258433345861281E-2</v>
      </c>
      <c r="P51">
        <f t="shared" si="11"/>
        <v>8.2237884070590059E-2</v>
      </c>
      <c r="Q51">
        <f t="shared" si="11"/>
        <v>8.1035197558295968E-2</v>
      </c>
      <c r="R51">
        <f t="shared" si="11"/>
        <v>7.9038633234853564E-2</v>
      </c>
      <c r="S51">
        <f t="shared" si="11"/>
        <v>7.6330944021259187E-2</v>
      </c>
      <c r="T51">
        <f t="shared" si="11"/>
        <v>7.3010303060721871E-2</v>
      </c>
      <c r="U51">
        <f t="shared" si="12"/>
        <v>6.9185055738120324E-2</v>
      </c>
      <c r="V51">
        <f t="shared" si="12"/>
        <v>6.4968536256106782E-2</v>
      </c>
      <c r="W51">
        <f t="shared" si="12"/>
        <v>6.0474238822755814E-2</v>
      </c>
      <c r="X51">
        <f t="shared" si="12"/>
        <v>5.5811569641700316E-2</v>
      </c>
      <c r="Y51">
        <f t="shared" si="12"/>
        <v>5.1082335061676989E-2</v>
      </c>
      <c r="Z51">
        <f t="shared" si="12"/>
        <v>4.6378050487310064E-2</v>
      </c>
      <c r="AA51">
        <f t="shared" si="12"/>
        <v>4.1778089715078154E-2</v>
      </c>
      <c r="AB51">
        <f t="shared" si="12"/>
        <v>3.7348639361124591E-2</v>
      </c>
    </row>
    <row r="52" spans="1:28" x14ac:dyDescent="0.25">
      <c r="J52" s="31">
        <f t="shared" si="10"/>
        <v>0.50000000000000022</v>
      </c>
      <c r="K52">
        <f t="shared" si="11"/>
        <v>7.4781586723451768E-2</v>
      </c>
      <c r="L52">
        <f t="shared" si="11"/>
        <v>7.780350989380129E-2</v>
      </c>
      <c r="M52">
        <f t="shared" si="11"/>
        <v>8.0008973288793833E-2</v>
      </c>
      <c r="N52">
        <f t="shared" si="11"/>
        <v>8.1352056506108245E-2</v>
      </c>
      <c r="O52">
        <f t="shared" si="11"/>
        <v>8.1815998331694256E-2</v>
      </c>
      <c r="P52">
        <f t="shared" si="11"/>
        <v>8.1412629128649633E-2</v>
      </c>
      <c r="Q52">
        <f t="shared" si="11"/>
        <v>8.0180336381660763E-2</v>
      </c>
      <c r="R52">
        <f t="shared" si="11"/>
        <v>7.8180810122351063E-2</v>
      </c>
      <c r="S52">
        <f t="shared" si="11"/>
        <v>7.549487737413503E-2</v>
      </c>
      <c r="T52">
        <f t="shared" si="11"/>
        <v>7.2217764970627374E-2</v>
      </c>
      <c r="U52">
        <f t="shared" si="12"/>
        <v>6.8454129757893251E-2</v>
      </c>
      <c r="V52">
        <f t="shared" si="12"/>
        <v>6.431316866340786E-2</v>
      </c>
      <c r="W52">
        <f t="shared" si="12"/>
        <v>5.990407459588791E-2</v>
      </c>
      <c r="X52">
        <f t="shared" si="12"/>
        <v>5.5332044679850478E-2</v>
      </c>
      <c r="Y52">
        <f t="shared" si="12"/>
        <v>5.0694981959609905E-2</v>
      </c>
      <c r="Z52">
        <f t="shared" si="12"/>
        <v>4.6080966743571504E-2</v>
      </c>
      <c r="AA52">
        <f t="shared" si="12"/>
        <v>4.1566514313594802E-2</v>
      </c>
      <c r="AB52">
        <f t="shared" si="12"/>
        <v>3.7215585451175912E-2</v>
      </c>
    </row>
    <row r="53" spans="1:28" x14ac:dyDescent="0.25">
      <c r="J53" s="31">
        <f t="shared" si="10"/>
        <v>0.51000000000000023</v>
      </c>
      <c r="K53">
        <f t="shared" si="11"/>
        <v>7.4472660841530522E-2</v>
      </c>
      <c r="L53">
        <f t="shared" si="11"/>
        <v>7.735688843674364E-2</v>
      </c>
      <c r="M53">
        <f t="shared" si="11"/>
        <v>7.9440001708213706E-2</v>
      </c>
      <c r="N53">
        <f t="shared" si="11"/>
        <v>8.0680733721858564E-2</v>
      </c>
      <c r="O53">
        <f>_xlfn.NORM.S.DIST((LN(O$2/$B$60)+($F$62+$F$61^2/2)*$J53)/($F$61*SQRT($J53)),0)/(O$2*$F$61*SQRT($J53))</f>
        <v>8.1065729554644486E-2</v>
      </c>
      <c r="P53">
        <f t="shared" si="11"/>
        <v>8.060884615352043E-2</v>
      </c>
      <c r="Q53">
        <f t="shared" si="11"/>
        <v>7.9349094445708146E-2</v>
      </c>
      <c r="R53">
        <f t="shared" si="11"/>
        <v>7.7347461677702109E-2</v>
      </c>
      <c r="S53">
        <f>_xlfn.NORM.S.DIST((LN(S$2/$B$60)+($F$62+$F$61^2/2)*$J53)/($F$61*SQRT($J53)),0)/(S$2*$F$61*SQRT($J53))</f>
        <v>7.4682906391575016E-2</v>
      </c>
      <c r="T53">
        <f t="shared" si="11"/>
        <v>7.1447843369287972E-2</v>
      </c>
      <c r="U53">
        <f t="shared" si="12"/>
        <v>6.7743433095526537E-2</v>
      </c>
      <c r="V53">
        <f t="shared" si="12"/>
        <v>6.36749639957854E-2</v>
      </c>
      <c r="W53">
        <f t="shared" si="12"/>
        <v>5.9347571635536674E-2</v>
      </c>
      <c r="X53">
        <f t="shared" si="12"/>
        <v>5.4862483647874001E-2</v>
      </c>
      <c r="Y53">
        <f t="shared" si="12"/>
        <v>5.031391874413349E-2</v>
      </c>
      <c r="Z53">
        <f t="shared" si="12"/>
        <v>4.5786708420328115E-2</v>
      </c>
      <c r="AA53">
        <f t="shared" si="12"/>
        <v>4.1354655464714687E-2</v>
      </c>
      <c r="AB53">
        <f t="shared" si="12"/>
        <v>3.7079597344056157E-2</v>
      </c>
    </row>
    <row r="54" spans="1:28" x14ac:dyDescent="0.25">
      <c r="J54" s="31">
        <f t="shared" si="10"/>
        <v>0.52000000000000024</v>
      </c>
      <c r="K54">
        <f t="shared" si="11"/>
        <v>7.41602335561235E-2</v>
      </c>
      <c r="L54">
        <f t="shared" si="11"/>
        <v>7.6912660322275714E-2</v>
      </c>
      <c r="M54">
        <f t="shared" si="11"/>
        <v>7.8879087555441429E-2</v>
      </c>
      <c r="N54">
        <f t="shared" si="11"/>
        <v>8.0022557986390325E-2</v>
      </c>
      <c r="O54">
        <f t="shared" si="11"/>
        <v>8.0332838999651004E-2</v>
      </c>
      <c r="P54">
        <f t="shared" si="11"/>
        <v>7.9825608750888066E-2</v>
      </c>
      <c r="Q54">
        <f t="shared" si="11"/>
        <v>7.8540384850390679E-2</v>
      </c>
      <c r="R54">
        <f t="shared" si="11"/>
        <v>7.6537424786964028E-2</v>
      </c>
      <c r="S54">
        <f t="shared" si="11"/>
        <v>7.3893874673188989E-2</v>
      </c>
      <c r="T54">
        <f t="shared" si="11"/>
        <v>7.0699463240761831E-2</v>
      </c>
      <c r="U54">
        <f t="shared" si="12"/>
        <v>6.7052033226714977E-2</v>
      </c>
      <c r="V54">
        <f t="shared" si="12"/>
        <v>6.3053176364740129E-2</v>
      </c>
      <c r="W54">
        <f t="shared" si="12"/>
        <v>5.8804196445471094E-2</v>
      </c>
      <c r="X54">
        <f t="shared" si="12"/>
        <v>5.440257320580439E-2</v>
      </c>
      <c r="Y54">
        <f t="shared" si="12"/>
        <v>4.9939043897821583E-2</v>
      </c>
      <c r="Z54">
        <f t="shared" si="12"/>
        <v>4.5495364364851618E-2</v>
      </c>
      <c r="AA54">
        <f t="shared" si="12"/>
        <v>4.1142761394911812E-2</v>
      </c>
      <c r="AB54">
        <f t="shared" si="12"/>
        <v>3.6941045916468074E-2</v>
      </c>
    </row>
    <row r="55" spans="1:28" x14ac:dyDescent="0.25">
      <c r="J55" s="31">
        <f t="shared" si="10"/>
        <v>0.53000000000000025</v>
      </c>
      <c r="K55">
        <f>_xlfn.NORM.S.DIST((LN(K$2/$B$60)+($F$62+$F$61^2/2)*$J55)/($F$61*SQRT($J55)),0)/(K$2*$F$61*SQRT($J55))</f>
        <v>7.3844891731114429E-2</v>
      </c>
      <c r="L55">
        <f>_xlfn.NORM.S.DIST((LN(L$2/$B$60)+($F$62+$F$61^2/2)*$J55)/($F$61*SQRT($J55)),0)/(L$2*$F$61*SQRT($J55))</f>
        <v>7.6471095442771253E-2</v>
      </c>
      <c r="M55">
        <f t="shared" si="11"/>
        <v>7.832617030277067E-2</v>
      </c>
      <c r="N55">
        <f t="shared" si="11"/>
        <v>7.937715268546329E-2</v>
      </c>
      <c r="O55">
        <f t="shared" si="11"/>
        <v>7.9616673144023403E-2</v>
      </c>
      <c r="P55">
        <f t="shared" si="11"/>
        <v>7.9062045305518705E-2</v>
      </c>
      <c r="Q55">
        <f t="shared" si="11"/>
        <v>7.7753189649054727E-2</v>
      </c>
      <c r="R55">
        <f t="shared" si="11"/>
        <v>7.5749612569243271E-2</v>
      </c>
      <c r="S55">
        <f t="shared" si="11"/>
        <v>7.3126702346690789E-2</v>
      </c>
      <c r="T55">
        <f t="shared" si="11"/>
        <v>6.9971620041548152E-2</v>
      </c>
      <c r="U55">
        <f t="shared" si="12"/>
        <v>6.6379056893452484E-2</v>
      </c>
      <c r="V55">
        <f t="shared" si="12"/>
        <v>6.2447104355586286E-2</v>
      </c>
      <c r="W55">
        <f t="shared" si="12"/>
        <v>5.8273443337258639E-2</v>
      </c>
      <c r="X55">
        <f t="shared" si="12"/>
        <v>5.3952010943915704E-2</v>
      </c>
      <c r="Y55">
        <f t="shared" si="12"/>
        <v>4.9570251193194102E-2</v>
      </c>
      <c r="Z55">
        <f t="shared" si="12"/>
        <v>4.5207005434568091E-2</v>
      </c>
      <c r="AA55">
        <f t="shared" si="12"/>
        <v>4.0931052160929696E-2</v>
      </c>
      <c r="AB55">
        <f t="shared" si="12"/>
        <v>3.6800267143504234E-2</v>
      </c>
    </row>
    <row r="59" spans="1:28" x14ac:dyDescent="0.25">
      <c r="A59" s="3" t="s">
        <v>0</v>
      </c>
      <c r="B59">
        <v>47</v>
      </c>
    </row>
    <row r="60" spans="1:28" x14ac:dyDescent="0.25">
      <c r="A60" s="3" t="s">
        <v>1</v>
      </c>
      <c r="B60">
        <v>51</v>
      </c>
    </row>
    <row r="61" spans="1:28" x14ac:dyDescent="0.25">
      <c r="A61" s="3" t="s">
        <v>2</v>
      </c>
      <c r="E61">
        <v>14</v>
      </c>
      <c r="F61">
        <f>E61/100</f>
        <v>0.14000000000000001</v>
      </c>
    </row>
    <row r="62" spans="1:28" x14ac:dyDescent="0.25">
      <c r="A62" s="3" t="s">
        <v>5</v>
      </c>
      <c r="E62">
        <v>5</v>
      </c>
      <c r="F62">
        <f>E62/100</f>
        <v>0.05</v>
      </c>
    </row>
    <row r="63" spans="1:28" x14ac:dyDescent="0.25">
      <c r="A63" s="3" t="s">
        <v>6</v>
      </c>
      <c r="B63">
        <v>0.01</v>
      </c>
    </row>
    <row r="98" spans="5:24" x14ac:dyDescent="0.25">
      <c r="R98" t="s">
        <v>311</v>
      </c>
      <c r="S98">
        <v>0.02</v>
      </c>
      <c r="U98" s="35" t="s">
        <v>310</v>
      </c>
      <c r="V98" s="34">
        <v>47</v>
      </c>
      <c r="W98" s="34">
        <v>51</v>
      </c>
      <c r="X98" s="34">
        <v>54</v>
      </c>
    </row>
    <row r="99" spans="5:24" x14ac:dyDescent="0.25">
      <c r="R99" t="s">
        <v>309</v>
      </c>
      <c r="S99">
        <v>0.2</v>
      </c>
      <c r="U99" s="35">
        <v>0.01</v>
      </c>
      <c r="V99" s="4">
        <f>_xlfn.NORM.S.DIST((LN(V$98/$B$60)+($F$62+$U99^2/2)*$S$99)/($U99*SQRT($S$99)),0)/(V$98*$U99*SQRT($S$99))</f>
        <v>3.2475519891406685E-56</v>
      </c>
      <c r="W99" s="4">
        <f>_xlfn.NORM.S.DIST((LN(W$98/$B$60)+($F$62+$U99^2/2)*$S$99)/($U99*SQRT($S$99)),0)/(W$98*$U99*SQRT($S$99))</f>
        <v>0.14286180369480966</v>
      </c>
      <c r="X99" s="4">
        <f t="shared" ref="W99:X114" si="13">_xlfn.NORM.S.DIST((LN(X$98/$B$60)+($F$62+$U99^2/2)*$S$99)/($U99*SQRT($S$99)),0)/(X$98*$U99*SQRT($S$99))</f>
        <v>1.7138472116012803E-49</v>
      </c>
    </row>
    <row r="100" spans="5:24" x14ac:dyDescent="0.25">
      <c r="U100" s="35">
        <f>U99+$S$98</f>
        <v>0.03</v>
      </c>
      <c r="V100" s="4">
        <f>_xlfn.NORM.S.DIST((LN(V$98/$B$60)+($F$62+$U100^2/2)*$S$99)/($U100*SQRT($S$99)),0)/(V$98*$U100*SQRT($S$99))</f>
        <v>4.1562055214059673E-7</v>
      </c>
      <c r="W100" s="4">
        <f t="shared" si="13"/>
        <v>0.43942527890903765</v>
      </c>
      <c r="X100" s="4">
        <f>_xlfn.NORM.S.DIST((LN(X$98/$B$60)+($F$62+$U100^2/2)*$S$99)/($U100*SQRT($S$99)),0)/(X$98*$U100*SQRT($S$99))</f>
        <v>1.928579691095864E-6</v>
      </c>
    </row>
    <row r="101" spans="5:24" x14ac:dyDescent="0.25">
      <c r="E101" s="2"/>
      <c r="F101" s="2"/>
      <c r="G101" s="2"/>
      <c r="U101" s="35">
        <f t="shared" ref="U101:U151" si="14">U100+$S$98</f>
        <v>0.05</v>
      </c>
      <c r="V101" s="4">
        <f t="shared" ref="V101:X131" si="15">_xlfn.NORM.S.DIST((LN(V$98/$B$60)+($F$62+$U101^2/2)*$S$99)/($U101*SQRT($S$99)),0)/(V$98*$U101*SQRT($S$99))</f>
        <v>2.3097903417404193E-3</v>
      </c>
      <c r="W101" s="4">
        <f t="shared" si="13"/>
        <v>0.3149392751134879</v>
      </c>
      <c r="X101" s="4">
        <f t="shared" si="13"/>
        <v>3.5127165098194362E-3</v>
      </c>
    </row>
    <row r="102" spans="5:24" x14ac:dyDescent="0.25">
      <c r="U102" s="35">
        <f t="shared" si="14"/>
        <v>7.0000000000000007E-2</v>
      </c>
      <c r="V102" s="4">
        <f t="shared" si="15"/>
        <v>2.0431312856799284E-2</v>
      </c>
      <c r="W102" s="4">
        <f t="shared" si="13"/>
        <v>0.23623502970538321</v>
      </c>
      <c r="X102" s="4">
        <f t="shared" si="13"/>
        <v>2.2850219547395825E-2</v>
      </c>
    </row>
    <row r="103" spans="5:24" x14ac:dyDescent="0.25">
      <c r="U103" s="35">
        <f t="shared" si="14"/>
        <v>9.0000000000000011E-2</v>
      </c>
      <c r="V103" s="4">
        <f t="shared" si="15"/>
        <v>4.4757004699645213E-2</v>
      </c>
      <c r="W103" s="4">
        <f t="shared" si="13"/>
        <v>0.18746440368824122</v>
      </c>
      <c r="X103" s="4">
        <f t="shared" si="13"/>
        <v>4.4108931978710832E-2</v>
      </c>
    </row>
    <row r="104" spans="5:24" x14ac:dyDescent="0.25">
      <c r="U104" s="35">
        <f t="shared" si="14"/>
        <v>0.11000000000000001</v>
      </c>
      <c r="V104" s="4">
        <f t="shared" si="15"/>
        <v>6.1848198604205498E-2</v>
      </c>
      <c r="W104" s="4">
        <f t="shared" si="13"/>
        <v>0.15493742495444529</v>
      </c>
      <c r="X104" s="4">
        <f t="shared" si="13"/>
        <v>5.7172584997566889E-2</v>
      </c>
    </row>
    <row r="105" spans="5:24" x14ac:dyDescent="0.25">
      <c r="U105" s="35">
        <f t="shared" si="14"/>
        <v>0.13</v>
      </c>
      <c r="V105" s="4">
        <f t="shared" si="15"/>
        <v>7.0739542401305741E-2</v>
      </c>
      <c r="W105" s="4">
        <f t="shared" si="13"/>
        <v>0.13185666987862968</v>
      </c>
      <c r="X105" s="4">
        <f t="shared" si="13"/>
        <v>6.3027658529732938E-2</v>
      </c>
    </row>
    <row r="106" spans="5:24" x14ac:dyDescent="0.25">
      <c r="U106" s="35">
        <f t="shared" si="14"/>
        <v>0.15</v>
      </c>
      <c r="V106" s="4">
        <f t="shared" si="15"/>
        <v>7.4063629824236851E-2</v>
      </c>
      <c r="W106" s="4">
        <f t="shared" si="13"/>
        <v>0.11468123878346698</v>
      </c>
      <c r="X106" s="4">
        <f t="shared" si="13"/>
        <v>6.448229959326654E-2</v>
      </c>
    </row>
    <row r="107" spans="5:24" x14ac:dyDescent="0.25">
      <c r="U107" s="35">
        <f t="shared" si="14"/>
        <v>0.16999999999999998</v>
      </c>
      <c r="V107" s="4">
        <f t="shared" si="15"/>
        <v>7.4144824615626534E-2</v>
      </c>
      <c r="W107" s="4">
        <f t="shared" si="13"/>
        <v>0.10142239169476681</v>
      </c>
      <c r="X107" s="4">
        <f t="shared" si="13"/>
        <v>6.3563953149845781E-2</v>
      </c>
    </row>
    <row r="108" spans="5:24" x14ac:dyDescent="0.25">
      <c r="U108" s="35">
        <f t="shared" si="14"/>
        <v>0.18999999999999997</v>
      </c>
      <c r="V108" s="4">
        <f t="shared" si="15"/>
        <v>7.2476084945969119E-2</v>
      </c>
      <c r="W108" s="4">
        <f t="shared" si="13"/>
        <v>9.0886690228650244E-2</v>
      </c>
      <c r="X108" s="4">
        <f t="shared" si="13"/>
        <v>6.1464317055675295E-2</v>
      </c>
    </row>
    <row r="109" spans="5:24" x14ac:dyDescent="0.25">
      <c r="U109" s="35">
        <f t="shared" si="14"/>
        <v>0.20999999999999996</v>
      </c>
      <c r="V109" s="4">
        <f t="shared" si="15"/>
        <v>6.9931574346593944E-2</v>
      </c>
      <c r="W109" s="4">
        <f t="shared" si="13"/>
        <v>8.2317719089999561E-2</v>
      </c>
      <c r="X109" s="4">
        <f t="shared" si="13"/>
        <v>5.884073844289029E-2</v>
      </c>
    </row>
    <row r="110" spans="5:24" x14ac:dyDescent="0.25">
      <c r="U110" s="35">
        <f t="shared" si="14"/>
        <v>0.22999999999999995</v>
      </c>
      <c r="V110" s="4">
        <f>_xlfn.NORM.S.DIST((LN(V$98/$B$60)+($F$62+$U110^2/2)*$S$99)/($U110*SQRT($S$99)),0)/(V$98*$U110*SQRT($S$99))</f>
        <v>6.7005602270763506E-2</v>
      </c>
      <c r="W110" s="4">
        <f t="shared" si="13"/>
        <v>7.5214019372683627E-2</v>
      </c>
      <c r="X110" s="4">
        <f t="shared" si="13"/>
        <v>5.6046179627700712E-2</v>
      </c>
    </row>
    <row r="111" spans="5:24" x14ac:dyDescent="0.25">
      <c r="U111" s="35">
        <f t="shared" si="14"/>
        <v>0.24999999999999994</v>
      </c>
      <c r="V111" s="4">
        <f t="shared" si="15"/>
        <v>6.3972248472820528E-2</v>
      </c>
      <c r="W111" s="4">
        <f t="shared" si="13"/>
        <v>6.9230528621539278E-2</v>
      </c>
      <c r="X111" s="4">
        <f t="shared" si="13"/>
        <v>5.326578580234731E-2</v>
      </c>
    </row>
    <row r="112" spans="5:24" x14ac:dyDescent="0.25">
      <c r="U112" s="35">
        <f t="shared" si="14"/>
        <v>0.26999999999999996</v>
      </c>
      <c r="V112" s="4">
        <f t="shared" si="15"/>
        <v>6.0980038522881308E-2</v>
      </c>
      <c r="W112" s="4">
        <f t="shared" si="13"/>
        <v>6.4122257463295002E-2</v>
      </c>
      <c r="X112" s="4">
        <f t="shared" si="13"/>
        <v>5.0592871377044539E-2</v>
      </c>
    </row>
    <row r="113" spans="21:24" x14ac:dyDescent="0.25">
      <c r="U113" s="35">
        <f t="shared" si="14"/>
        <v>0.28999999999999998</v>
      </c>
      <c r="V113" s="4">
        <f t="shared" si="15"/>
        <v>5.8106170169135614E-2</v>
      </c>
      <c r="W113" s="4">
        <f t="shared" si="13"/>
        <v>5.971058295800491E-2</v>
      </c>
      <c r="X113" s="4">
        <f t="shared" si="13"/>
        <v>4.807057337244617E-2</v>
      </c>
    </row>
    <row r="114" spans="21:24" x14ac:dyDescent="0.25">
      <c r="U114" s="35">
        <f t="shared" si="14"/>
        <v>0.31</v>
      </c>
      <c r="V114" s="4">
        <f t="shared" si="15"/>
        <v>5.5387365407206138E-2</v>
      </c>
      <c r="W114" s="4">
        <f t="shared" si="13"/>
        <v>5.586226424386289E-2</v>
      </c>
      <c r="X114" s="4">
        <f t="shared" si="13"/>
        <v>4.5714734215470405E-2</v>
      </c>
    </row>
    <row r="115" spans="21:24" x14ac:dyDescent="0.25">
      <c r="U115" s="35">
        <f t="shared" si="14"/>
        <v>0.33</v>
      </c>
      <c r="V115" s="4">
        <f t="shared" si="15"/>
        <v>5.283748892749509E-2</v>
      </c>
      <c r="W115" s="4">
        <f t="shared" si="15"/>
        <v>5.2475925875558709E-2</v>
      </c>
      <c r="X115" s="4">
        <f t="shared" si="15"/>
        <v>4.3526564147012392E-2</v>
      </c>
    </row>
    <row r="116" spans="21:24" x14ac:dyDescent="0.25">
      <c r="U116" s="35">
        <f t="shared" si="14"/>
        <v>0.35000000000000003</v>
      </c>
      <c r="V116" s="4">
        <f t="shared" si="15"/>
        <v>5.0457676758416649E-2</v>
      </c>
      <c r="W116" s="4">
        <f t="shared" si="15"/>
        <v>4.9473089606943861E-2</v>
      </c>
      <c r="X116" s="4">
        <f t="shared" si="15"/>
        <v>4.1499696029149866E-2</v>
      </c>
    </row>
    <row r="117" spans="21:24" x14ac:dyDescent="0.25">
      <c r="U117" s="35">
        <f t="shared" si="14"/>
        <v>0.37000000000000005</v>
      </c>
      <c r="V117" s="4">
        <f t="shared" si="15"/>
        <v>4.8242193567876353E-2</v>
      </c>
      <c r="W117" s="4">
        <f t="shared" si="15"/>
        <v>4.679206756762809E-2</v>
      </c>
      <c r="X117" s="4">
        <f t="shared" si="15"/>
        <v>3.9624127915231497E-2</v>
      </c>
    </row>
    <row r="118" spans="21:24" x14ac:dyDescent="0.25">
      <c r="U118" s="35">
        <f t="shared" si="14"/>
        <v>0.39000000000000007</v>
      </c>
      <c r="V118" s="4">
        <f t="shared" si="15"/>
        <v>4.6181828950019606E-2</v>
      </c>
      <c r="W118" s="4">
        <f t="shared" si="15"/>
        <v>4.4383707488496092E-2</v>
      </c>
      <c r="X118" s="4">
        <f t="shared" si="15"/>
        <v>3.7888418114311248E-2</v>
      </c>
    </row>
    <row r="119" spans="21:24" x14ac:dyDescent="0.25">
      <c r="U119" s="35">
        <f t="shared" si="14"/>
        <v>0.41000000000000009</v>
      </c>
      <c r="V119" s="4">
        <f t="shared" si="15"/>
        <v>4.4265861110001602E-2</v>
      </c>
      <c r="W119" s="4">
        <f t="shared" si="15"/>
        <v>4.2208367296670032E-2</v>
      </c>
      <c r="X119" s="4">
        <f t="shared" si="15"/>
        <v>3.6280889446812722E-2</v>
      </c>
    </row>
    <row r="120" spans="21:24" x14ac:dyDescent="0.25">
      <c r="U120" s="35">
        <f t="shared" si="14"/>
        <v>0.4300000000000001</v>
      </c>
      <c r="V120" s="4">
        <f t="shared" si="15"/>
        <v>4.2483179281059463E-2</v>
      </c>
      <c r="W120" s="4">
        <f t="shared" si="15"/>
        <v>4.0233724319658153E-2</v>
      </c>
      <c r="X120" s="4">
        <f t="shared" si="15"/>
        <v>3.4790268143098622E-2</v>
      </c>
    </row>
    <row r="121" spans="21:24" x14ac:dyDescent="0.25">
      <c r="U121" s="35">
        <f t="shared" si="14"/>
        <v>0.45000000000000012</v>
      </c>
      <c r="V121" s="4">
        <f t="shared" si="15"/>
        <v>4.0822909105557907E-2</v>
      </c>
      <c r="W121" s="4">
        <f t="shared" si="15"/>
        <v>3.8433162650503491E-2</v>
      </c>
      <c r="X121" s="4">
        <f t="shared" si="15"/>
        <v>3.3405999663253083E-2</v>
      </c>
    </row>
    <row r="122" spans="21:24" x14ac:dyDescent="0.25">
      <c r="U122" s="35">
        <f t="shared" si="14"/>
        <v>0.47000000000000014</v>
      </c>
      <c r="V122" s="4">
        <f t="shared" si="15"/>
        <v>3.9274743672037926E-2</v>
      </c>
      <c r="W122" s="4">
        <f t="shared" si="15"/>
        <v>3.6784568380135593E-2</v>
      </c>
      <c r="X122" s="4">
        <f t="shared" si="15"/>
        <v>3.2118380884803364E-2</v>
      </c>
    </row>
    <row r="123" spans="21:24" x14ac:dyDescent="0.25">
      <c r="U123" s="35">
        <f t="shared" si="14"/>
        <v>0.49000000000000016</v>
      </c>
      <c r="V123" s="4">
        <f t="shared" si="15"/>
        <v>3.7829100738661789E-2</v>
      </c>
      <c r="W123" s="4">
        <f t="shared" si="15"/>
        <v>3.5269417347235502E-2</v>
      </c>
      <c r="X123" s="4">
        <f t="shared" si="15"/>
        <v>3.0918589550623973E-2</v>
      </c>
    </row>
    <row r="124" spans="21:24" x14ac:dyDescent="0.25">
      <c r="U124" s="35">
        <f t="shared" si="14"/>
        <v>0.51000000000000012</v>
      </c>
      <c r="V124" s="4">
        <f t="shared" si="15"/>
        <v>3.6477178368642754E-2</v>
      </c>
      <c r="W124" s="4">
        <f t="shared" si="15"/>
        <v>3.3872075851693863E-2</v>
      </c>
      <c r="X124" s="4">
        <f t="shared" si="15"/>
        <v>2.9798658100510796E-2</v>
      </c>
    </row>
    <row r="125" spans="21:24" x14ac:dyDescent="0.25">
      <c r="U125" s="35">
        <f t="shared" si="14"/>
        <v>0.53000000000000014</v>
      </c>
      <c r="V125" s="4">
        <f t="shared" si="15"/>
        <v>3.5210952471750594E-2</v>
      </c>
      <c r="W125" s="4">
        <f t="shared" si="15"/>
        <v>3.2579258555802224E-2</v>
      </c>
      <c r="X125" s="4">
        <f t="shared" si="15"/>
        <v>2.8751419324113243E-2</v>
      </c>
    </row>
    <row r="126" spans="21:24" x14ac:dyDescent="0.25">
      <c r="U126" s="35">
        <f t="shared" si="14"/>
        <v>0.55000000000000016</v>
      </c>
      <c r="V126" s="4">
        <f t="shared" si="15"/>
        <v>3.4023142482288007E-2</v>
      </c>
      <c r="W126" s="4">
        <f t="shared" si="15"/>
        <v>3.1379603875185284E-2</v>
      </c>
      <c r="X126" s="4">
        <f t="shared" si="15"/>
        <v>2.7770439699457132E-2</v>
      </c>
    </row>
    <row r="127" spans="21:24" x14ac:dyDescent="0.25">
      <c r="U127" s="35">
        <f t="shared" si="14"/>
        <v>0.57000000000000017</v>
      </c>
      <c r="V127" s="4">
        <f t="shared" si="15"/>
        <v>3.2907160943583105E-2</v>
      </c>
      <c r="W127" s="4">
        <f t="shared" si="15"/>
        <v>3.0263338211168816E-2</v>
      </c>
      <c r="X127" s="4">
        <f t="shared" si="15"/>
        <v>2.6849949438505008E-2</v>
      </c>
    </row>
    <row r="128" spans="21:24" x14ac:dyDescent="0.25">
      <c r="U128" s="35">
        <f t="shared" si="14"/>
        <v>0.59000000000000019</v>
      </c>
      <c r="V128" s="4">
        <f t="shared" si="15"/>
        <v>3.1857056391026553E-2</v>
      </c>
      <c r="W128" s="4">
        <f t="shared" si="15"/>
        <v>2.9222008084936781E-2</v>
      </c>
      <c r="X128" s="4">
        <f t="shared" si="15"/>
        <v>2.5984774206371519E-2</v>
      </c>
    </row>
    <row r="129" spans="21:24" x14ac:dyDescent="0.25">
      <c r="U129" s="35">
        <f t="shared" si="14"/>
        <v>0.61000000000000021</v>
      </c>
      <c r="V129" s="4">
        <f t="shared" si="15"/>
        <v>3.0867455022082459E-2</v>
      </c>
      <c r="W129" s="4">
        <f t="shared" si="15"/>
        <v>2.8248264686590523E-2</v>
      </c>
      <c r="X129" s="4">
        <f t="shared" si="15"/>
        <v>2.517027108327451E-2</v>
      </c>
    </row>
    <row r="130" spans="21:24" x14ac:dyDescent="0.25">
      <c r="U130" s="35">
        <f t="shared" si="14"/>
        <v>0.63000000000000023</v>
      </c>
      <c r="V130" s="4">
        <f t="shared" si="15"/>
        <v>2.9933504250885819E-2</v>
      </c>
      <c r="W130" s="4">
        <f t="shared" si="15"/>
        <v>2.7335689259006937E-2</v>
      </c>
      <c r="X130" s="4">
        <f t="shared" si="15"/>
        <v>2.4402269932289826E-2</v>
      </c>
    </row>
    <row r="131" spans="21:24" x14ac:dyDescent="0.25">
      <c r="U131" s="35">
        <f t="shared" si="14"/>
        <v>0.65000000000000024</v>
      </c>
      <c r="V131" s="4">
        <f t="shared" si="15"/>
        <v>2.9050819785544711E-2</v>
      </c>
      <c r="W131" s="4">
        <f t="shared" si="15"/>
        <v>2.6478650569032428E-2</v>
      </c>
      <c r="X131" s="4">
        <f t="shared" si="15"/>
        <v>2.3677020525448338E-2</v>
      </c>
    </row>
    <row r="132" spans="21:24" x14ac:dyDescent="0.25">
      <c r="U132" s="35">
        <f t="shared" si="14"/>
        <v>0.67000000000000026</v>
      </c>
      <c r="V132" s="4">
        <f t="shared" ref="V132:X151" si="16">_xlfn.NORM.S.DIST((LN(V$98/$B$60)+($F$62+$U132^2/2)*$S$99)/($U132*SQRT($S$99)),0)/(V$98*$U132*SQRT($S$99))</f>
        <v>2.8215436983033273E-2</v>
      </c>
      <c r="W132" s="4">
        <f t="shared" si="16"/>
        <v>2.5672187795262875E-2</v>
      </c>
      <c r="X132" s="4">
        <f t="shared" si="16"/>
        <v>2.2991145328043062E-2</v>
      </c>
    </row>
    <row r="133" spans="21:24" x14ac:dyDescent="0.25">
      <c r="U133" s="35">
        <f t="shared" si="14"/>
        <v>0.69000000000000028</v>
      </c>
      <c r="V133" s="4">
        <f t="shared" si="16"/>
        <v>2.7423766710904667E-2</v>
      </c>
      <c r="W133" s="4">
        <f t="shared" si="16"/>
        <v>2.4911913700009593E-2</v>
      </c>
      <c r="X133" s="4">
        <f t="shared" si="16"/>
        <v>2.2341597602659208E-2</v>
      </c>
    </row>
    <row r="134" spans="21:24" x14ac:dyDescent="0.25">
      <c r="U134" s="35">
        <f t="shared" si="14"/>
        <v>0.7100000000000003</v>
      </c>
      <c r="V134" s="4">
        <f t="shared" si="16"/>
        <v>2.6672555641301676E-2</v>
      </c>
      <c r="W134" s="4">
        <f t="shared" si="16"/>
        <v>2.4193934103684287E-2</v>
      </c>
      <c r="X134" s="4">
        <f t="shared" si="16"/>
        <v>2.172562438327013E-2</v>
      </c>
    </row>
    <row r="135" spans="21:24" x14ac:dyDescent="0.25">
      <c r="U135" s="35">
        <f t="shared" si="14"/>
        <v>0.73000000000000032</v>
      </c>
      <c r="V135" s="4">
        <f t="shared" si="16"/>
        <v>2.5958850736238687E-2</v>
      </c>
      <c r="W135" s="4">
        <f t="shared" si="16"/>
        <v>2.3514780548316523E-2</v>
      </c>
      <c r="X135" s="4">
        <f t="shared" si="16"/>
        <v>2.1140733832749562E-2</v>
      </c>
    </row>
    <row r="136" spans="21:24" x14ac:dyDescent="0.25">
      <c r="U136" s="35">
        <f t="shared" si="14"/>
        <v>0.75000000000000033</v>
      </c>
      <c r="V136" s="4">
        <f t="shared" si="16"/>
        <v>2.5279967600833255E-2</v>
      </c>
      <c r="W136" s="4">
        <f t="shared" si="16"/>
        <v>2.2871353698045428E-2</v>
      </c>
      <c r="X136" s="4">
        <f t="shared" si="16"/>
        <v>2.0584666502101268E-2</v>
      </c>
    </row>
    <row r="137" spans="21:24" x14ac:dyDescent="0.25">
      <c r="U137" s="35">
        <f t="shared" si="14"/>
        <v>0.77000000000000035</v>
      </c>
      <c r="V137" s="4">
        <f t="shared" si="16"/>
        <v>2.4633462349776956E-2</v>
      </c>
      <c r="W137" s="4">
        <f t="shared" si="16"/>
        <v>2.2260875531764014E-2</v>
      </c>
      <c r="X137" s="4">
        <f t="shared" si="16"/>
        <v>2.0055370037090643E-2</v>
      </c>
    </row>
    <row r="138" spans="21:24" x14ac:dyDescent="0.25">
      <c r="U138" s="35">
        <f t="shared" si="14"/>
        <v>0.79000000000000037</v>
      </c>
      <c r="V138" s="4">
        <f t="shared" si="16"/>
        <v>2.401710663095245E-2</v>
      </c>
      <c r="W138" s="4">
        <f t="shared" si="16"/>
        <v>2.1680848775371759E-2</v>
      </c>
      <c r="X138" s="4">
        <f t="shared" si="16"/>
        <v>1.955097691607988E-2</v>
      </c>
    </row>
    <row r="139" spans="21:24" x14ac:dyDescent="0.25">
      <c r="U139" s="35">
        <f t="shared" si="14"/>
        <v>0.81000000000000039</v>
      </c>
      <c r="V139" s="4">
        <f t="shared" si="16"/>
        <v>2.3428865465650893E-2</v>
      </c>
      <c r="W139" s="4">
        <f t="shared" si="16"/>
        <v>2.1129022326577495E-2</v>
      </c>
      <c r="X139" s="4">
        <f t="shared" si="16"/>
        <v>1.9069784844829372E-2</v>
      </c>
    </row>
    <row r="140" spans="21:24" x14ac:dyDescent="0.25">
      <c r="U140" s="35">
        <f t="shared" si="14"/>
        <v>0.8300000000000004</v>
      </c>
      <c r="V140" s="4">
        <f t="shared" si="16"/>
        <v>2.2866877589203062E-2</v>
      </c>
      <c r="W140" s="4">
        <f t="shared" si="16"/>
        <v>2.0603361664707751E-2</v>
      </c>
      <c r="X140" s="4">
        <f t="shared" si="16"/>
        <v>1.861023947589191E-2</v>
      </c>
    </row>
    <row r="141" spans="21:24" x14ac:dyDescent="0.25">
      <c r="U141" s="35">
        <f t="shared" si="14"/>
        <v>0.85000000000000042</v>
      </c>
      <c r="V141" s="4">
        <f t="shared" si="16"/>
        <v>2.2329438004032538E-2</v>
      </c>
      <c r="W141" s="4">
        <f t="shared" si="16"/>
        <v>2.0102023426968266E-2</v>
      </c>
      <c r="X141" s="4">
        <f t="shared" si="16"/>
        <v>1.8170919159858374E-2</v>
      </c>
    </row>
    <row r="142" spans="21:24" x14ac:dyDescent="0.25">
      <c r="U142" s="35">
        <f t="shared" si="14"/>
        <v>0.87000000000000044</v>
      </c>
      <c r="V142" s="4">
        <f t="shared" si="16"/>
        <v>2.181498248618861E-2</v>
      </c>
      <c r="W142" s="4">
        <f t="shared" si="16"/>
        <v>1.962333348264398E-2</v>
      </c>
      <c r="X142" s="4">
        <f t="shared" si="16"/>
        <v>1.7750521472067765E-2</v>
      </c>
    </row>
    <row r="143" spans="21:24" x14ac:dyDescent="0.25">
      <c r="U143" s="35">
        <f t="shared" si="14"/>
        <v>0.89000000000000046</v>
      </c>
      <c r="V143" s="4">
        <f t="shared" si="16"/>
        <v>2.1322073814595586E-2</v>
      </c>
      <c r="W143" s="4">
        <f t="shared" si="16"/>
        <v>1.9165767956525002E-2</v>
      </c>
      <c r="X143" s="4">
        <f t="shared" si="16"/>
        <v>1.7347851291072976E-2</v>
      </c>
    </row>
    <row r="144" spans="21:24" x14ac:dyDescent="0.25">
      <c r="U144" s="35">
        <f t="shared" si="14"/>
        <v>0.91000000000000048</v>
      </c>
      <c r="V144" s="4">
        <f t="shared" si="16"/>
        <v>2.0849389518631627E-2</v>
      </c>
      <c r="W144" s="4">
        <f t="shared" si="16"/>
        <v>1.8727936749030998E-2</v>
      </c>
      <c r="X144" s="4">
        <f t="shared" si="16"/>
        <v>1.6961810234134879E-2</v>
      </c>
    </row>
    <row r="145" spans="21:24" x14ac:dyDescent="0.25">
      <c r="U145" s="35">
        <f t="shared" si="14"/>
        <v>0.93000000000000049</v>
      </c>
      <c r="V145" s="4">
        <f t="shared" si="16"/>
        <v>2.0395710963779585E-2</v>
      </c>
      <c r="W145" s="4">
        <f t="shared" si="16"/>
        <v>1.8308569178136429E-2</v>
      </c>
      <c r="X145" s="4">
        <f t="shared" si="16"/>
        <v>1.6591387280482234E-2</v>
      </c>
    </row>
    <row r="146" spans="21:24" x14ac:dyDescent="0.25">
      <c r="U146" s="35">
        <f t="shared" si="14"/>
        <v>0.95000000000000051</v>
      </c>
      <c r="V146" s="4">
        <f t="shared" si="16"/>
        <v>1.9959913616829472E-2</v>
      </c>
      <c r="W146" s="4">
        <f t="shared" si="16"/>
        <v>1.7906501431165504E-2</v>
      </c>
      <c r="X146" s="4">
        <f t="shared" si="16"/>
        <v>1.6235650435309164E-2</v>
      </c>
    </row>
    <row r="147" spans="21:24" x14ac:dyDescent="0.25">
      <c r="U147" s="35">
        <f t="shared" si="14"/>
        <v>0.97000000000000053</v>
      </c>
      <c r="V147" s="4">
        <f t="shared" si="16"/>
        <v>1.9540958351487715E-2</v>
      </c>
      <c r="W147" s="4">
        <f t="shared" si="16"/>
        <v>1.7520665565842329E-2</v>
      </c>
      <c r="X147" s="4">
        <f t="shared" si="16"/>
        <v>1.5893739306811604E-2</v>
      </c>
    </row>
    <row r="148" spans="21:24" x14ac:dyDescent="0.25">
      <c r="U148" s="35">
        <f t="shared" si="14"/>
        <v>0.99000000000000055</v>
      </c>
      <c r="V148" s="4">
        <f t="shared" si="16"/>
        <v>1.9137883672389742E-2</v>
      </c>
      <c r="W148" s="4">
        <f t="shared" si="16"/>
        <v>1.7150079841995226E-2</v>
      </c>
      <c r="X148" s="4">
        <f t="shared" si="16"/>
        <v>1.5564858485319612E-2</v>
      </c>
    </row>
    <row r="149" spans="21:24" x14ac:dyDescent="0.25">
      <c r="U149" s="35">
        <f t="shared" si="14"/>
        <v>1.0100000000000005</v>
      </c>
      <c r="V149" s="4">
        <f t="shared" si="16"/>
        <v>1.8749798750598862E-2</v>
      </c>
      <c r="W149" s="4">
        <f t="shared" si="16"/>
        <v>1.679384019985981E-2</v>
      </c>
      <c r="X149" s="4">
        <f t="shared" si="16"/>
        <v>1.5248271628080411E-2</v>
      </c>
    </row>
    <row r="150" spans="21:24" x14ac:dyDescent="0.25">
      <c r="U150" s="35">
        <f t="shared" si="14"/>
        <v>1.0300000000000005</v>
      </c>
      <c r="V150" s="4">
        <f t="shared" si="16"/>
        <v>1.8375877176902873E-2</v>
      </c>
      <c r="W150" s="4">
        <f t="shared" si="16"/>
        <v>1.6451112729450216E-2</v>
      </c>
      <c r="X150" s="4">
        <f t="shared" si="16"/>
        <v>1.4943296165778308E-2</v>
      </c>
    </row>
    <row r="151" spans="21:24" x14ac:dyDescent="0.25">
      <c r="U151" s="35">
        <f t="shared" si="14"/>
        <v>1.0500000000000005</v>
      </c>
      <c r="V151" s="4">
        <f t="shared" si="16"/>
        <v>1.8015351350790819E-2</v>
      </c>
      <c r="W151" s="4">
        <f t="shared" si="16"/>
        <v>1.6121126999115033E-2</v>
      </c>
      <c r="X151" s="4">
        <f t="shared" si="16"/>
        <v>1.4649298557704499E-2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Scroll Bar 5">
              <controlPr defaultSize="0" autoPict="0">
                <anchor>
                  <from>
                    <xdr:col>1</xdr:col>
                    <xdr:colOff>19050</xdr:colOff>
                    <xdr:row>60</xdr:row>
                    <xdr:rowOff>9525</xdr:rowOff>
                  </from>
                  <to>
                    <xdr:col>4</xdr:col>
                    <xdr:colOff>19050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Scroll Bar 6">
              <controlPr defaultSize="0" autoPict="0">
                <anchor>
                  <from>
                    <xdr:col>0</xdr:col>
                    <xdr:colOff>590550</xdr:colOff>
                    <xdr:row>60</xdr:row>
                    <xdr:rowOff>180975</xdr:rowOff>
                  </from>
                  <to>
                    <xdr:col>3</xdr:col>
                    <xdr:colOff>600075</xdr:colOff>
                    <xdr:row>61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I149"/>
  <sheetViews>
    <sheetView topLeftCell="A55" workbookViewId="0">
      <selection activeCell="J4" sqref="J4"/>
    </sheetView>
  </sheetViews>
  <sheetFormatPr defaultRowHeight="15" x14ac:dyDescent="0.25"/>
  <cols>
    <col min="11" max="11" width="12" bestFit="1" customWidth="1"/>
  </cols>
  <sheetData>
    <row r="2" spans="2:35" x14ac:dyDescent="0.25">
      <c r="J2" s="1"/>
      <c r="K2" s="31">
        <f>$B$58</f>
        <v>47</v>
      </c>
      <c r="L2" s="31">
        <f t="shared" ref="L2:AI2" si="0">K2+$C$3</f>
        <v>47.5</v>
      </c>
      <c r="M2" s="31">
        <f t="shared" si="0"/>
        <v>48</v>
      </c>
      <c r="N2" s="31">
        <f t="shared" si="0"/>
        <v>48.5</v>
      </c>
      <c r="O2" s="31">
        <f t="shared" si="0"/>
        <v>49</v>
      </c>
      <c r="P2" s="31">
        <f t="shared" si="0"/>
        <v>49.5</v>
      </c>
      <c r="Q2" s="31">
        <f t="shared" si="0"/>
        <v>50</v>
      </c>
      <c r="R2" s="31">
        <f t="shared" si="0"/>
        <v>50.5</v>
      </c>
      <c r="S2" s="31">
        <f t="shared" si="0"/>
        <v>51</v>
      </c>
      <c r="T2" s="31">
        <f t="shared" si="0"/>
        <v>51.5</v>
      </c>
      <c r="U2" s="31">
        <f t="shared" si="0"/>
        <v>52</v>
      </c>
      <c r="V2" s="31">
        <f t="shared" si="0"/>
        <v>52.5</v>
      </c>
      <c r="W2" s="31">
        <f t="shared" si="0"/>
        <v>53</v>
      </c>
      <c r="X2" s="31">
        <f t="shared" si="0"/>
        <v>53.5</v>
      </c>
      <c r="Y2" s="31">
        <f t="shared" si="0"/>
        <v>54</v>
      </c>
      <c r="Z2" s="31">
        <f t="shared" si="0"/>
        <v>54.5</v>
      </c>
      <c r="AA2" s="31">
        <f t="shared" si="0"/>
        <v>55</v>
      </c>
      <c r="AB2" s="31">
        <f t="shared" si="0"/>
        <v>55.5</v>
      </c>
      <c r="AC2" s="31">
        <f t="shared" si="0"/>
        <v>56</v>
      </c>
      <c r="AD2" s="31">
        <f t="shared" si="0"/>
        <v>56.5</v>
      </c>
      <c r="AE2" s="31">
        <f t="shared" si="0"/>
        <v>57</v>
      </c>
      <c r="AF2" s="31">
        <f t="shared" si="0"/>
        <v>57.5</v>
      </c>
      <c r="AG2" s="31">
        <f t="shared" si="0"/>
        <v>58</v>
      </c>
      <c r="AH2" s="31">
        <f t="shared" si="0"/>
        <v>58.5</v>
      </c>
      <c r="AI2" s="31">
        <f t="shared" si="0"/>
        <v>59</v>
      </c>
    </row>
    <row r="3" spans="2:35" x14ac:dyDescent="0.25">
      <c r="B3" s="1" t="s">
        <v>4</v>
      </c>
      <c r="C3">
        <v>0.5</v>
      </c>
      <c r="J3" s="31">
        <v>0.01</v>
      </c>
      <c r="K3">
        <f t="shared" ref="K3:T12" si="1">(-K$2*_xlfn.NORM.S.DIST((LN(K$2/$B$59)+($F$61+$F$60^2/2)*$J3)/($F$60*SQRT($J3)),0)*$F$60/(2*SQRT($J3)))-(($F$61*$B$59*EXP(-$F$61*$J3))*_xlfn.NORM.S.DIST(((LN(K$2/$B$59)+($F$61+$F$60^2/2)*$J3)/($F$60*SQRT($J3)))-($F$60*SQRT($J3)),1))</f>
        <v>-1.1591854802098871</v>
      </c>
      <c r="L3">
        <f t="shared" si="1"/>
        <v>-3.0300067139567557</v>
      </c>
      <c r="M3">
        <f t="shared" si="1"/>
        <v>-6.5749876629840598</v>
      </c>
      <c r="N3">
        <f t="shared" si="1"/>
        <v>-11.913323513162743</v>
      </c>
      <c r="O3">
        <f t="shared" si="1"/>
        <v>-18.127185117006348</v>
      </c>
      <c r="P3">
        <f t="shared" si="1"/>
        <v>-23.294030691474745</v>
      </c>
      <c r="Q3">
        <f t="shared" si="1"/>
        <v>-25.426758976138576</v>
      </c>
      <c r="R3">
        <f t="shared" si="1"/>
        <v>-23.724482267653496</v>
      </c>
      <c r="S3">
        <f t="shared" si="1"/>
        <v>-19.065468160882464</v>
      </c>
      <c r="T3">
        <f t="shared" si="1"/>
        <v>-13.338362030903939</v>
      </c>
      <c r="U3">
        <f t="shared" ref="U3:AI12" si="2">(-U$2*_xlfn.NORM.S.DIST((LN(U$2/$B$59)+($F$61+$F$60^2/2)*$J3)/($F$60*SQRT($J3)),0)*$F$60/(2*SQRT($J3)))-(($F$61*$B$59*EXP(-$F$61*$J3))*_xlfn.NORM.S.DIST(((LN(U$2/$B$59)+($F$61+$F$60^2/2)*$J3)/($F$60*SQRT($J3)))-($F$60*SQRT($J3)),1))</f>
        <v>-8.2745388395759516</v>
      </c>
      <c r="V3">
        <f t="shared" si="2"/>
        <v>-4.7190232773670751</v>
      </c>
      <c r="W3">
        <f t="shared" si="2"/>
        <v>-2.6555800741646687</v>
      </c>
      <c r="X3">
        <f t="shared" si="2"/>
        <v>-1.6442925770127559</v>
      </c>
      <c r="Y3">
        <f t="shared" si="2"/>
        <v>-1.2199787999936813</v>
      </c>
      <c r="Z3">
        <f t="shared" si="2"/>
        <v>-1.0660656945047953</v>
      </c>
      <c r="AA3">
        <f t="shared" si="2"/>
        <v>-1.0174324395154735</v>
      </c>
      <c r="AB3">
        <f t="shared" si="2"/>
        <v>-1.0039624316329916</v>
      </c>
      <c r="AC3">
        <f t="shared" si="2"/>
        <v>-1.0006746735144727</v>
      </c>
      <c r="AD3">
        <f t="shared" si="2"/>
        <v>-0.99996414853407634</v>
      </c>
      <c r="AE3">
        <f t="shared" si="2"/>
        <v>-0.99982760936311965</v>
      </c>
      <c r="AF3">
        <f t="shared" si="2"/>
        <v>-0.99980418693521667</v>
      </c>
      <c r="AG3">
        <f t="shared" si="2"/>
        <v>-0.9998005871189003</v>
      </c>
      <c r="AH3">
        <f t="shared" si="2"/>
        <v>-0.99980008974817691</v>
      </c>
      <c r="AI3">
        <f t="shared" si="2"/>
        <v>-0.99980002777187926</v>
      </c>
    </row>
    <row r="4" spans="2:35" x14ac:dyDescent="0.25">
      <c r="B4" s="1" t="s">
        <v>3</v>
      </c>
      <c r="J4" s="31">
        <f t="shared" ref="J4:J35" si="3">J3+$C$5</f>
        <v>0.02</v>
      </c>
      <c r="K4">
        <f t="shared" si="1"/>
        <v>-3.8079636237421934</v>
      </c>
      <c r="L4">
        <f t="shared" si="1"/>
        <v>-6.1683108786371452</v>
      </c>
      <c r="M4">
        <f t="shared" si="1"/>
        <v>-9.1055794352499166</v>
      </c>
      <c r="N4">
        <f t="shared" si="1"/>
        <v>-12.285887722574705</v>
      </c>
      <c r="O4">
        <f t="shared" si="1"/>
        <v>-15.196153103700823</v>
      </c>
      <c r="P4">
        <f t="shared" si="1"/>
        <v>-17.280575323894766</v>
      </c>
      <c r="Q4">
        <f t="shared" si="1"/>
        <v>-18.120778865870637</v>
      </c>
      <c r="R4">
        <f t="shared" si="1"/>
        <v>-17.577694745794279</v>
      </c>
      <c r="S4">
        <f t="shared" si="1"/>
        <v>-15.828668000431829</v>
      </c>
      <c r="T4">
        <f t="shared" si="1"/>
        <v>-13.288038355641236</v>
      </c>
      <c r="U4">
        <f t="shared" si="2"/>
        <v>-10.457196587899377</v>
      </c>
      <c r="V4">
        <f t="shared" si="2"/>
        <v>-7.7756578782523658</v>
      </c>
      <c r="W4">
        <f t="shared" si="2"/>
        <v>-5.5289185556129992</v>
      </c>
      <c r="X4">
        <f t="shared" si="2"/>
        <v>-3.8299817125820272</v>
      </c>
      <c r="Y4">
        <f t="shared" si="2"/>
        <v>-2.6563944905736916</v>
      </c>
      <c r="Z4">
        <f t="shared" si="2"/>
        <v>-1.9097701255594399</v>
      </c>
      <c r="AA4">
        <f t="shared" si="2"/>
        <v>-1.4697031906592772</v>
      </c>
      <c r="AB4">
        <f t="shared" si="2"/>
        <v>-1.2282848033490446</v>
      </c>
      <c r="AC4">
        <f t="shared" si="2"/>
        <v>-1.1045504521882736</v>
      </c>
      <c r="AD4">
        <f t="shared" si="2"/>
        <v>-1.04511327433912</v>
      </c>
      <c r="AE4">
        <f t="shared" si="2"/>
        <v>-1.0182800718172758</v>
      </c>
      <c r="AF4">
        <f t="shared" si="2"/>
        <v>-1.0068671390809023</v>
      </c>
      <c r="AG4">
        <f t="shared" si="2"/>
        <v>-1.0022836824143606</v>
      </c>
      <c r="AH4">
        <f t="shared" si="2"/>
        <v>-1.0005421196466218</v>
      </c>
      <c r="AI4">
        <f t="shared" si="2"/>
        <v>-0.99991485911041655</v>
      </c>
    </row>
    <row r="5" spans="2:35" x14ac:dyDescent="0.25">
      <c r="B5" s="1" t="s">
        <v>7</v>
      </c>
      <c r="C5">
        <v>0.01</v>
      </c>
      <c r="J5" s="31">
        <f t="shared" si="3"/>
        <v>0.03</v>
      </c>
      <c r="K5">
        <f t="shared" si="1"/>
        <v>-5.2007219469343786</v>
      </c>
      <c r="L5">
        <f t="shared" si="1"/>
        <v>-7.1836459322856552</v>
      </c>
      <c r="M5">
        <f t="shared" si="1"/>
        <v>-9.3282034503181421</v>
      </c>
      <c r="N5">
        <f t="shared" si="1"/>
        <v>-11.410271265677492</v>
      </c>
      <c r="O5">
        <f t="shared" si="1"/>
        <v>-13.173491131088628</v>
      </c>
      <c r="P5">
        <f t="shared" si="1"/>
        <v>-14.383828445551233</v>
      </c>
      <c r="Q5">
        <f t="shared" si="1"/>
        <v>-14.883110340351314</v>
      </c>
      <c r="R5">
        <f t="shared" si="1"/>
        <v>-14.624257559149322</v>
      </c>
      <c r="S5">
        <f t="shared" si="1"/>
        <v>-13.677424664047985</v>
      </c>
      <c r="T5">
        <f t="shared" si="1"/>
        <v>-12.206871782841301</v>
      </c>
      <c r="U5">
        <f t="shared" si="2"/>
        <v>-10.42820853931882</v>
      </c>
      <c r="V5">
        <f t="shared" si="2"/>
        <v>-8.5606573035278331</v>
      </c>
      <c r="W5">
        <f t="shared" si="2"/>
        <v>-6.7879204501206676</v>
      </c>
      <c r="X5">
        <f t="shared" si="2"/>
        <v>-5.235719852755242</v>
      </c>
      <c r="Y5">
        <f t="shared" si="2"/>
        <v>-3.9672232478764142</v>
      </c>
      <c r="Z5">
        <f t="shared" si="2"/>
        <v>-2.992226558554115</v>
      </c>
      <c r="AA5">
        <f t="shared" si="2"/>
        <v>-2.2835443852260342</v>
      </c>
      <c r="AB5">
        <f t="shared" si="2"/>
        <v>-1.7944249024281329</v>
      </c>
      <c r="AC5">
        <f t="shared" si="2"/>
        <v>-1.4728351079215394</v>
      </c>
      <c r="AD5">
        <f t="shared" si="2"/>
        <v>-1.270872276832153</v>
      </c>
      <c r="AE5">
        <f t="shared" si="2"/>
        <v>-1.1494484580587121</v>
      </c>
      <c r="AF5">
        <f t="shared" si="2"/>
        <v>-1.0794237026082625</v>
      </c>
      <c r="AG5">
        <f t="shared" si="2"/>
        <v>-1.0406203852357809</v>
      </c>
      <c r="AH5">
        <f t="shared" si="2"/>
        <v>-1.0199268886612636</v>
      </c>
      <c r="AI5">
        <f t="shared" si="2"/>
        <v>-1.0092912331771589</v>
      </c>
    </row>
    <row r="6" spans="2:35" x14ac:dyDescent="0.25">
      <c r="J6" s="31">
        <f t="shared" si="3"/>
        <v>0.04</v>
      </c>
      <c r="K6">
        <f t="shared" si="1"/>
        <v>-5.8343369925091499</v>
      </c>
      <c r="L6">
        <f t="shared" si="1"/>
        <v>-7.4424590664470403</v>
      </c>
      <c r="M6">
        <f t="shared" si="1"/>
        <v>-9.0649163278549238</v>
      </c>
      <c r="N6">
        <f t="shared" si="1"/>
        <v>-10.558346621630374</v>
      </c>
      <c r="O6">
        <f t="shared" si="1"/>
        <v>-11.777887310236013</v>
      </c>
      <c r="P6">
        <f t="shared" si="1"/>
        <v>-12.601787223449731</v>
      </c>
      <c r="Q6">
        <f t="shared" si="1"/>
        <v>-12.952484795655582</v>
      </c>
      <c r="R6">
        <f t="shared" si="1"/>
        <v>-12.809017918615314</v>
      </c>
      <c r="S6">
        <f t="shared" si="1"/>
        <v>-12.20809987196137</v>
      </c>
      <c r="T6">
        <f t="shared" si="1"/>
        <v>-11.234342942730077</v>
      </c>
      <c r="U6">
        <f t="shared" si="2"/>
        <v>-10.002837742459501</v>
      </c>
      <c r="V6">
        <f t="shared" si="2"/>
        <v>-8.6387770025785109</v>
      </c>
      <c r="W6">
        <f t="shared" si="2"/>
        <v>-7.2587748245021002</v>
      </c>
      <c r="X6">
        <f t="shared" si="2"/>
        <v>-5.9572614437892177</v>
      </c>
      <c r="Y6">
        <f t="shared" si="2"/>
        <v>-4.7994584583223556</v>
      </c>
      <c r="Z6">
        <f t="shared" si="2"/>
        <v>-3.8206343554559519</v>
      </c>
      <c r="AA6">
        <f t="shared" si="2"/>
        <v>-3.030084191124744</v>
      </c>
      <c r="AB6">
        <f t="shared" si="2"/>
        <v>-2.4177507585012696</v>
      </c>
      <c r="AC6">
        <f t="shared" si="2"/>
        <v>-1.9615211868533153</v>
      </c>
      <c r="AD6">
        <f t="shared" si="2"/>
        <v>-1.6337525676814468</v>
      </c>
      <c r="AE6">
        <f t="shared" si="2"/>
        <v>-1.4062347592965267</v>
      </c>
      <c r="AF6">
        <f t="shared" si="2"/>
        <v>-1.253381241425134</v>
      </c>
      <c r="AG6">
        <f t="shared" si="2"/>
        <v>-1.1538407420393126</v>
      </c>
      <c r="AH6">
        <f t="shared" si="2"/>
        <v>-1.0909238560017096</v>
      </c>
      <c r="AI6">
        <f t="shared" si="2"/>
        <v>-1.0522784156326446</v>
      </c>
    </row>
    <row r="7" spans="2:35" x14ac:dyDescent="0.25">
      <c r="J7" s="31">
        <f t="shared" si="3"/>
        <v>0.05</v>
      </c>
      <c r="K7">
        <f t="shared" si="1"/>
        <v>-6.101902227584401</v>
      </c>
      <c r="L7">
        <f t="shared" si="1"/>
        <v>-7.4212893357791314</v>
      </c>
      <c r="M7">
        <f t="shared" si="1"/>
        <v>-8.6989063809612865</v>
      </c>
      <c r="N7">
        <f t="shared" si="1"/>
        <v>-9.839109227078616</v>
      </c>
      <c r="O7">
        <f t="shared" si="1"/>
        <v>-10.751800559724195</v>
      </c>
      <c r="P7">
        <f t="shared" si="1"/>
        <v>-11.364968995713062</v>
      </c>
      <c r="Q7">
        <f t="shared" si="1"/>
        <v>-11.634556644838412</v>
      </c>
      <c r="R7">
        <f t="shared" si="1"/>
        <v>-11.549768935896072</v>
      </c>
      <c r="S7">
        <f t="shared" si="1"/>
        <v>-11.133007864978225</v>
      </c>
      <c r="T7">
        <f t="shared" si="1"/>
        <v>-10.434807880488291</v>
      </c>
      <c r="U7">
        <f t="shared" si="2"/>
        <v>-9.5251496525536599</v>
      </c>
      <c r="V7">
        <f t="shared" si="2"/>
        <v>-8.48308608682437</v>
      </c>
      <c r="W7">
        <f t="shared" si="2"/>
        <v>-7.3866592618800464</v>
      </c>
      <c r="X7">
        <f t="shared" si="2"/>
        <v>-6.3046929235025573</v>
      </c>
      <c r="Y7">
        <f t="shared" si="2"/>
        <v>-5.2913914938014655</v>
      </c>
      <c r="Z7">
        <f t="shared" si="2"/>
        <v>-4.383971211005246</v>
      </c>
      <c r="AA7">
        <f t="shared" si="2"/>
        <v>-3.6029642457331894</v>
      </c>
      <c r="AB7">
        <f t="shared" si="2"/>
        <v>-2.9544711326825772</v>
      </c>
      <c r="AC7">
        <f t="shared" si="2"/>
        <v>-2.4335096213575786</v>
      </c>
      <c r="AD7">
        <f t="shared" si="2"/>
        <v>-2.027676652346452</v>
      </c>
      <c r="AE7">
        <f t="shared" si="2"/>
        <v>-1.7205303597214323</v>
      </c>
      <c r="AF7">
        <f t="shared" si="2"/>
        <v>-1.4943333497431339</v>
      </c>
      <c r="AG7">
        <f t="shared" si="2"/>
        <v>-1.3320161394487253</v>
      </c>
      <c r="AH7">
        <f t="shared" si="2"/>
        <v>-1.2183847368924163</v>
      </c>
      <c r="AI7">
        <f t="shared" si="2"/>
        <v>-1.1406971912968669</v>
      </c>
    </row>
    <row r="8" spans="2:35" x14ac:dyDescent="0.25">
      <c r="J8" s="31">
        <f t="shared" si="3"/>
        <v>6.0000000000000005E-2</v>
      </c>
      <c r="K8">
        <f t="shared" si="1"/>
        <v>-6.1877266791489385</v>
      </c>
      <c r="L8">
        <f t="shared" si="1"/>
        <v>-7.2904213079227507</v>
      </c>
      <c r="M8">
        <f t="shared" si="1"/>
        <v>-8.3299637377894307</v>
      </c>
      <c r="N8">
        <f t="shared" si="1"/>
        <v>-9.239560505474433</v>
      </c>
      <c r="O8">
        <f t="shared" si="1"/>
        <v>-9.9591136445429864</v>
      </c>
      <c r="P8">
        <f t="shared" si="1"/>
        <v>-10.44222933817125</v>
      </c>
      <c r="Q8">
        <f t="shared" si="1"/>
        <v>-10.661401934043921</v>
      </c>
      <c r="R8">
        <f t="shared" si="1"/>
        <v>-10.610576734080391</v>
      </c>
      <c r="S8">
        <f t="shared" si="1"/>
        <v>-10.304812587401498</v>
      </c>
      <c r="T8">
        <f t="shared" si="1"/>
        <v>-9.7773021672254021</v>
      </c>
      <c r="U8">
        <f t="shared" si="2"/>
        <v>-9.0744413826333634</v>
      </c>
      <c r="V8">
        <f t="shared" si="2"/>
        <v>-8.2498872277538382</v>
      </c>
      <c r="W8">
        <f t="shared" si="2"/>
        <v>-7.3585790163584441</v>
      </c>
      <c r="X8">
        <f t="shared" si="2"/>
        <v>-6.4515484118059181</v>
      </c>
      <c r="Y8">
        <f t="shared" si="2"/>
        <v>-5.57207286954824</v>
      </c>
      <c r="Z8">
        <f t="shared" si="2"/>
        <v>-4.7534128492973169</v>
      </c>
      <c r="AA8">
        <f t="shared" si="2"/>
        <v>-4.0180855366326593</v>
      </c>
      <c r="AB8">
        <f t="shared" si="2"/>
        <v>-3.3784148305806361</v>
      </c>
      <c r="AC8">
        <f t="shared" si="2"/>
        <v>-2.8379796030486291</v>
      </c>
      <c r="AD8">
        <f t="shared" si="2"/>
        <v>-2.3935557147896893</v>
      </c>
      <c r="AE8">
        <f t="shared" si="2"/>
        <v>-2.0371912021486391</v>
      </c>
      <c r="AF8">
        <f t="shared" si="2"/>
        <v>-1.7581402521729572</v>
      </c>
      <c r="AG8">
        <f t="shared" si="2"/>
        <v>-1.5444826159999878</v>
      </c>
      <c r="AH8">
        <f t="shared" si="2"/>
        <v>-1.3843495894277753</v>
      </c>
      <c r="AI8">
        <f t="shared" si="2"/>
        <v>-1.2667525146245513</v>
      </c>
    </row>
    <row r="9" spans="2:35" x14ac:dyDescent="0.25">
      <c r="J9" s="31">
        <f t="shared" si="3"/>
        <v>7.0000000000000007E-2</v>
      </c>
      <c r="K9">
        <f t="shared" si="1"/>
        <v>-6.1796174429074799</v>
      </c>
      <c r="L9">
        <f t="shared" si="1"/>
        <v>-7.1177236807172894</v>
      </c>
      <c r="M9">
        <f t="shared" si="1"/>
        <v>-7.985746274909836</v>
      </c>
      <c r="N9">
        <f t="shared" si="1"/>
        <v>-8.7351750209125925</v>
      </c>
      <c r="O9">
        <f t="shared" si="1"/>
        <v>-9.3237711497064382</v>
      </c>
      <c r="P9">
        <f t="shared" si="1"/>
        <v>-9.719769182308923</v>
      </c>
      <c r="Q9">
        <f t="shared" si="1"/>
        <v>-9.9048315146328854</v>
      </c>
      <c r="R9">
        <f t="shared" si="1"/>
        <v>-9.8753857845670598</v>
      </c>
      <c r="S9">
        <f t="shared" si="1"/>
        <v>-9.6422498495166735</v>
      </c>
      <c r="T9">
        <f t="shared" si="1"/>
        <v>-9.2287190483774886</v>
      </c>
      <c r="U9">
        <f t="shared" si="2"/>
        <v>-8.6675035611644429</v>
      </c>
      <c r="V9">
        <f t="shared" si="2"/>
        <v>-7.9970267046857355</v>
      </c>
      <c r="W9">
        <f t="shared" si="2"/>
        <v>-7.2576177947617024</v>
      </c>
      <c r="X9">
        <f t="shared" si="2"/>
        <v>-6.4880673879587798</v>
      </c>
      <c r="Y9">
        <f t="shared" si="2"/>
        <v>-5.7228852367975716</v>
      </c>
      <c r="Z9">
        <f t="shared" si="2"/>
        <v>-4.9904457310772505</v>
      </c>
      <c r="AA9">
        <f t="shared" si="2"/>
        <v>-4.3120538264099588</v>
      </c>
      <c r="AB9">
        <f t="shared" si="2"/>
        <v>-3.7018405853508041</v>
      </c>
      <c r="AC9">
        <f t="shared" si="2"/>
        <v>-3.1673149043777311</v>
      </c>
      <c r="AD9">
        <f t="shared" si="2"/>
        <v>-2.7103596130948264</v>
      </c>
      <c r="AE9">
        <f t="shared" si="2"/>
        <v>-2.3284604282777366</v>
      </c>
      <c r="AF9">
        <f t="shared" si="2"/>
        <v>-2.0159847379059186</v>
      </c>
      <c r="AG9">
        <f t="shared" si="2"/>
        <v>-1.7653717348972005</v>
      </c>
      <c r="AH9">
        <f t="shared" si="2"/>
        <v>-1.5681448733948025</v>
      </c>
      <c r="AI9">
        <f t="shared" si="2"/>
        <v>-1.415703474620972</v>
      </c>
    </row>
    <row r="10" spans="2:35" x14ac:dyDescent="0.25">
      <c r="J10" s="31">
        <f t="shared" si="3"/>
        <v>0.08</v>
      </c>
      <c r="K10">
        <f t="shared" si="1"/>
        <v>-6.1218233609000405</v>
      </c>
      <c r="L10">
        <f t="shared" si="1"/>
        <v>-6.9324361758671227</v>
      </c>
      <c r="M10">
        <f t="shared" si="1"/>
        <v>-7.6723656113074448</v>
      </c>
      <c r="N10">
        <f t="shared" si="1"/>
        <v>-8.3052203382883807</v>
      </c>
      <c r="O10">
        <f t="shared" si="1"/>
        <v>-8.8000944100715497</v>
      </c>
      <c r="P10">
        <f t="shared" si="1"/>
        <v>-9.1342263339840297</v>
      </c>
      <c r="Q10">
        <f t="shared" si="1"/>
        <v>-9.2947870872383316</v>
      </c>
      <c r="R10">
        <f t="shared" si="1"/>
        <v>-9.2796137216926091</v>
      </c>
      <c r="S10">
        <f t="shared" si="1"/>
        <v>-9.0968618120897187</v>
      </c>
      <c r="T10">
        <f t="shared" si="1"/>
        <v>-8.763697700426718</v>
      </c>
      <c r="U10">
        <f t="shared" si="2"/>
        <v>-8.3042660520427152</v>
      </c>
      <c r="V10">
        <f t="shared" si="2"/>
        <v>-7.7472346397045548</v>
      </c>
      <c r="W10">
        <f t="shared" si="2"/>
        <v>-7.1232323461165912</v>
      </c>
      <c r="X10">
        <f t="shared" si="2"/>
        <v>-6.4624638851127321</v>
      </c>
      <c r="Y10">
        <f t="shared" si="2"/>
        <v>-5.7927185291623786</v>
      </c>
      <c r="Z10">
        <f t="shared" si="2"/>
        <v>-5.1379063717086266</v>
      </c>
      <c r="AA10">
        <f t="shared" si="2"/>
        <v>-4.5171702191661094</v>
      </c>
      <c r="AB10">
        <f t="shared" si="2"/>
        <v>-3.9445468880634764</v>
      </c>
      <c r="AC10">
        <f t="shared" si="2"/>
        <v>-3.4290966415756365</v>
      </c>
      <c r="AD10">
        <f t="shared" si="2"/>
        <v>-2.9753869787658713</v>
      </c>
      <c r="AE10">
        <f t="shared" si="2"/>
        <v>-2.5842059963232562</v>
      </c>
      <c r="AF10">
        <f t="shared" si="2"/>
        <v>-2.2533871179134763</v>
      </c>
      <c r="AG10">
        <f t="shared" si="2"/>
        <v>-1.9786456514914925</v>
      </c>
      <c r="AH10">
        <f t="shared" si="2"/>
        <v>-1.7543526877020983</v>
      </c>
      <c r="AI10">
        <f t="shared" si="2"/>
        <v>-1.5741983200697862</v>
      </c>
    </row>
    <row r="11" spans="2:35" x14ac:dyDescent="0.25">
      <c r="J11" s="31">
        <f t="shared" si="3"/>
        <v>0.09</v>
      </c>
      <c r="K11">
        <f t="shared" si="1"/>
        <v>-6.0378223443084549</v>
      </c>
      <c r="L11">
        <f t="shared" si="1"/>
        <v>-6.7476866825911026</v>
      </c>
      <c r="M11">
        <f t="shared" si="1"/>
        <v>-7.3890695078937414</v>
      </c>
      <c r="N11">
        <f t="shared" si="1"/>
        <v>-7.9339308145257466</v>
      </c>
      <c r="O11">
        <f t="shared" si="1"/>
        <v>-8.3589253714693683</v>
      </c>
      <c r="P11">
        <f t="shared" si="1"/>
        <v>-8.6471587395462493</v>
      </c>
      <c r="Q11">
        <f t="shared" si="1"/>
        <v>-8.7893195961676813</v>
      </c>
      <c r="R11">
        <f t="shared" si="1"/>
        <v>-8.7840935665795712</v>
      </c>
      <c r="S11">
        <f t="shared" si="1"/>
        <v>-8.6378582342652646</v>
      </c>
      <c r="T11">
        <f t="shared" si="1"/>
        <v>-8.3637453302056759</v>
      </c>
      <c r="U11">
        <f t="shared" si="2"/>
        <v>-7.9802220293545716</v>
      </c>
      <c r="V11">
        <f t="shared" si="2"/>
        <v>-7.5093815036140512</v>
      </c>
      <c r="W11">
        <f t="shared" si="2"/>
        <v>-6.9751416113643323</v>
      </c>
      <c r="X11">
        <f t="shared" si="2"/>
        <v>-6.4015330166220146</v>
      </c>
      <c r="Y11">
        <f t="shared" si="2"/>
        <v>-5.8112208529972555</v>
      </c>
      <c r="Z11">
        <f t="shared" si="2"/>
        <v>-5.2243557728399521</v>
      </c>
      <c r="AA11">
        <f t="shared" si="2"/>
        <v>-4.6577993673807168</v>
      </c>
      <c r="AB11">
        <f t="shared" si="2"/>
        <v>-4.1247226731105258</v>
      </c>
      <c r="AC11">
        <f t="shared" si="2"/>
        <v>-3.6345397695450394</v>
      </c>
      <c r="AD11">
        <f t="shared" si="2"/>
        <v>-3.1931138447224523</v>
      </c>
      <c r="AE11">
        <f t="shared" si="2"/>
        <v>-2.8031608275611122</v>
      </c>
      <c r="AF11">
        <f t="shared" si="2"/>
        <v>-2.464774299808727</v>
      </c>
      <c r="AG11">
        <f t="shared" si="2"/>
        <v>-2.1760023725445228</v>
      </c>
      <c r="AH11">
        <f t="shared" si="2"/>
        <v>-1.933419587826912</v>
      </c>
      <c r="AI11">
        <f t="shared" si="2"/>
        <v>-1.7326518388568215</v>
      </c>
    </row>
    <row r="12" spans="2:35" x14ac:dyDescent="0.25">
      <c r="J12" s="31">
        <f t="shared" si="3"/>
        <v>9.9999999999999992E-2</v>
      </c>
      <c r="K12">
        <f t="shared" si="1"/>
        <v>-5.9405873782211369</v>
      </c>
      <c r="L12">
        <f t="shared" si="1"/>
        <v>-6.5693662956269474</v>
      </c>
      <c r="M12">
        <f t="shared" si="1"/>
        <v>-7.1330415297536929</v>
      </c>
      <c r="N12">
        <f t="shared" si="1"/>
        <v>-7.6095210632912513</v>
      </c>
      <c r="O12">
        <f t="shared" si="1"/>
        <v>-7.9807106150955924</v>
      </c>
      <c r="P12">
        <f t="shared" si="1"/>
        <v>-8.2337136683644943</v>
      </c>
      <c r="Q12">
        <f t="shared" si="1"/>
        <v>-8.3615740977497683</v>
      </c>
      <c r="R12">
        <f t="shared" si="1"/>
        <v>-8.3635112793369117</v>
      </c>
      <c r="S12">
        <f t="shared" si="1"/>
        <v>-8.2446572508511835</v>
      </c>
      <c r="T12">
        <f t="shared" si="1"/>
        <v>-8.0153586446848255</v>
      </c>
      <c r="U12">
        <f t="shared" si="2"/>
        <v>-7.690146155254137</v>
      </c>
      <c r="V12">
        <f t="shared" si="2"/>
        <v>-7.2864974499808959</v>
      </c>
      <c r="W12">
        <f t="shared" si="2"/>
        <v>-6.8235249264384157</v>
      </c>
      <c r="X12">
        <f t="shared" si="2"/>
        <v>-6.3207094470356457</v>
      </c>
      <c r="Y12">
        <f t="shared" si="2"/>
        <v>-5.7967789444251592</v>
      </c>
      <c r="Z12">
        <f t="shared" si="2"/>
        <v>-5.2688013658936583</v>
      </c>
      <c r="AA12">
        <f t="shared" si="2"/>
        <v>-4.7515296745092845</v>
      </c>
      <c r="AB12">
        <f t="shared" si="2"/>
        <v>-4.2570067635168298</v>
      </c>
      <c r="AC12">
        <f t="shared" si="2"/>
        <v>-3.7944132692249508</v>
      </c>
      <c r="AD12">
        <f t="shared" si="2"/>
        <v>-3.3701231834952408</v>
      </c>
      <c r="AE12">
        <f t="shared" si="2"/>
        <v>-2.9879214151927833</v>
      </c>
      <c r="AF12">
        <f t="shared" si="2"/>
        <v>-2.6493335489615024</v>
      </c>
      <c r="AG12">
        <f t="shared" si="2"/>
        <v>-2.3540198085103832</v>
      </c>
      <c r="AH12">
        <f t="shared" si="2"/>
        <v>-2.10019108626906</v>
      </c>
      <c r="AI12">
        <f t="shared" si="2"/>
        <v>-1.8850132132923116</v>
      </c>
    </row>
    <row r="13" spans="2:35" x14ac:dyDescent="0.25">
      <c r="J13" s="31">
        <f t="shared" si="3"/>
        <v>0.10999999999999999</v>
      </c>
      <c r="K13">
        <f t="shared" ref="K13:T22" si="4">(-K$2*_xlfn.NORM.S.DIST((LN(K$2/$B$59)+($F$61+$F$60^2/2)*$J13)/($F$60*SQRT($J13)),0)*$F$60/(2*SQRT($J13)))-(($F$61*$B$59*EXP(-$F$61*$J13))*_xlfn.NORM.S.DIST(((LN(K$2/$B$59)+($F$61+$F$60^2/2)*$J13)/($F$60*SQRT($J13)))-($F$60*SQRT($J13)),1))</f>
        <v>-5.8374990769332733</v>
      </c>
      <c r="L13">
        <f t="shared" si="4"/>
        <v>-6.3999454933504296</v>
      </c>
      <c r="M13">
        <f t="shared" si="4"/>
        <v>-6.9010666855596394</v>
      </c>
      <c r="N13">
        <f t="shared" si="4"/>
        <v>-7.3231271093912778</v>
      </c>
      <c r="O13">
        <f t="shared" si="4"/>
        <v>-7.6518012302481395</v>
      </c>
      <c r="P13">
        <f t="shared" si="4"/>
        <v>-7.877016803333734</v>
      </c>
      <c r="Q13">
        <f t="shared" si="4"/>
        <v>-7.99345532931933</v>
      </c>
      <c r="R13">
        <f t="shared" si="4"/>
        <v>-8.0006831802725706</v>
      </c>
      <c r="S13">
        <f t="shared" si="4"/>
        <v>-7.9029260626361051</v>
      </c>
      <c r="T13">
        <f t="shared" si="4"/>
        <v>-7.7085336287411348</v>
      </c>
      <c r="U13">
        <f t="shared" ref="U13:AI22" si="5">(-U$2*_xlfn.NORM.S.DIST((LN(U$2/$B$59)+($F$61+$F$60^2/2)*$J13)/($F$60*SQRT($J13)),0)*$F$60/(2*SQRT($J13)))-(($F$61*$B$59*EXP(-$F$61*$J13))*_xlfn.NORM.S.DIST(((LN(U$2/$B$59)+($F$61+$F$60^2/2)*$J13)/($F$60*SQRT($J13)))-($F$60*SQRT($J13)),1))</f>
        <v>-7.4292064446326282</v>
      </c>
      <c r="V13">
        <f t="shared" si="5"/>
        <v>-7.0790721281706004</v>
      </c>
      <c r="W13">
        <f t="shared" si="5"/>
        <v>-6.673700979859583</v>
      </c>
      <c r="X13">
        <f t="shared" si="5"/>
        <v>-6.2291450362956056</v>
      </c>
      <c r="Y13">
        <f t="shared" si="5"/>
        <v>-5.7610704596101643</v>
      </c>
      <c r="Z13">
        <f t="shared" si="5"/>
        <v>-5.2840343831377643</v>
      </c>
      <c r="AA13">
        <f t="shared" si="5"/>
        <v>-4.810936684940545</v>
      </c>
      <c r="AB13">
        <f t="shared" si="5"/>
        <v>-4.3526572458232913</v>
      </c>
      <c r="AC13">
        <f t="shared" si="5"/>
        <v>-3.9178720519398351</v>
      </c>
      <c r="AD13">
        <f t="shared" si="5"/>
        <v>-3.5130282781800242</v>
      </c>
      <c r="AE13">
        <f t="shared" si="5"/>
        <v>-3.1424497644216278</v>
      </c>
      <c r="AF13">
        <f t="shared" si="5"/>
        <v>-2.80853997452745</v>
      </c>
      <c r="AG13">
        <f t="shared" si="5"/>
        <v>-2.5120490452858233</v>
      </c>
      <c r="AH13">
        <f t="shared" si="5"/>
        <v>-2.2523740437833206</v>
      </c>
      <c r="AI13">
        <f t="shared" si="5"/>
        <v>-2.02786609930462</v>
      </c>
    </row>
    <row r="14" spans="2:35" x14ac:dyDescent="0.25">
      <c r="J14" s="31">
        <f t="shared" si="3"/>
        <v>0.11999999999999998</v>
      </c>
      <c r="K14">
        <f t="shared" si="4"/>
        <v>-5.7328318580153059</v>
      </c>
      <c r="L14">
        <f t="shared" si="4"/>
        <v>-6.240228804500596</v>
      </c>
      <c r="M14">
        <f t="shared" si="4"/>
        <v>-6.6901055321571317</v>
      </c>
      <c r="N14">
        <f t="shared" si="4"/>
        <v>-7.0679944310196179</v>
      </c>
      <c r="O14">
        <f t="shared" si="4"/>
        <v>-7.3623500069280947</v>
      </c>
      <c r="P14">
        <f t="shared" si="4"/>
        <v>-7.5651552642270286</v>
      </c>
      <c r="Q14">
        <f t="shared" si="4"/>
        <v>-7.6722661064089372</v>
      </c>
      <c r="R14">
        <f t="shared" si="4"/>
        <v>-7.6834801520157399</v>
      </c>
      <c r="S14">
        <f t="shared" si="4"/>
        <v>-7.6023429096966302</v>
      </c>
      <c r="T14">
        <f t="shared" si="4"/>
        <v>-7.435726971133418</v>
      </c>
      <c r="U14">
        <f t="shared" si="5"/>
        <v>-7.1932365760547059</v>
      </c>
      <c r="V14">
        <f t="shared" si="5"/>
        <v>-6.8864994355931071</v>
      </c>
      <c r="W14">
        <f t="shared" si="5"/>
        <v>-6.528409969769573</v>
      </c>
      <c r="X14">
        <f t="shared" si="5"/>
        <v>-6.1323839165216825</v>
      </c>
      <c r="Y14">
        <f t="shared" si="5"/>
        <v>-5.7116750382524</v>
      </c>
      <c r="Z14">
        <f t="shared" si="5"/>
        <v>-5.2787921652691532</v>
      </c>
      <c r="AA14">
        <f t="shared" si="5"/>
        <v>-4.8450409071579319</v>
      </c>
      <c r="AB14">
        <f t="shared" si="5"/>
        <v>-4.4202006845302408</v>
      </c>
      <c r="AC14">
        <f t="shared" si="5"/>
        <v>-4.0123355901813094</v>
      </c>
      <c r="AD14">
        <f t="shared" si="5"/>
        <v>-3.6277278566321769</v>
      </c>
      <c r="AE14">
        <f t="shared" si="5"/>
        <v>-3.2709158233033193</v>
      </c>
      <c r="AF14">
        <f t="shared" si="5"/>
        <v>-2.9448143068677544</v>
      </c>
      <c r="AG14">
        <f t="shared" si="5"/>
        <v>-2.6508939219212926</v>
      </c>
      <c r="AH14">
        <f t="shared" si="5"/>
        <v>-2.3893967103354941</v>
      </c>
      <c r="AI14">
        <f t="shared" si="5"/>
        <v>-2.1595678466077515</v>
      </c>
    </row>
    <row r="15" spans="2:35" x14ac:dyDescent="0.25">
      <c r="J15" s="31">
        <f t="shared" si="3"/>
        <v>0.12999999999999998</v>
      </c>
      <c r="K15">
        <f t="shared" si="4"/>
        <v>-5.6290746560728557</v>
      </c>
      <c r="L15">
        <f t="shared" si="4"/>
        <v>-6.0902035416087097</v>
      </c>
      <c r="M15">
        <f t="shared" si="4"/>
        <v>-6.4974668125511466</v>
      </c>
      <c r="N15">
        <f t="shared" si="4"/>
        <v>-6.838899165250182</v>
      </c>
      <c r="O15">
        <f t="shared" si="4"/>
        <v>-7.1050538409278188</v>
      </c>
      <c r="P15">
        <f t="shared" si="4"/>
        <v>-7.2894470864291803</v>
      </c>
      <c r="Q15">
        <f t="shared" si="4"/>
        <v>-7.3887989363674009</v>
      </c>
      <c r="R15">
        <f t="shared" si="4"/>
        <v>-7.4030639261222353</v>
      </c>
      <c r="S15">
        <f t="shared" si="4"/>
        <v>-7.3352638320979686</v>
      </c>
      <c r="T15">
        <f t="shared" si="4"/>
        <v>-7.1911500980263474</v>
      </c>
      <c r="U15">
        <f t="shared" si="5"/>
        <v>-6.9787349150324651</v>
      </c>
      <c r="V15">
        <f t="shared" si="5"/>
        <v>-6.7077363203101008</v>
      </c>
      <c r="W15">
        <f t="shared" si="5"/>
        <v>-6.388984160657813</v>
      </c>
      <c r="X15">
        <f t="shared" si="5"/>
        <v>-6.0338308810013936</v>
      </c>
      <c r="Y15">
        <f t="shared" si="5"/>
        <v>-5.6536047865378496</v>
      </c>
      <c r="Z15">
        <f t="shared" si="5"/>
        <v>-5.2591348454830094</v>
      </c>
      <c r="AA15">
        <f t="shared" si="5"/>
        <v>-4.8603664418294246</v>
      </c>
      <c r="AB15">
        <f t="shared" si="5"/>
        <v>-4.4660778426524255</v>
      </c>
      <c r="AC15">
        <f t="shared" si="5"/>
        <v>-4.083698393305772</v>
      </c>
      <c r="AD15">
        <f t="shared" si="5"/>
        <v>-3.7192222143415932</v>
      </c>
      <c r="AE15">
        <f t="shared" si="5"/>
        <v>-3.3772057893701564</v>
      </c>
      <c r="AF15">
        <f t="shared" si="5"/>
        <v>-3.0608343947207306</v>
      </c>
      <c r="AG15">
        <f t="shared" si="5"/>
        <v>-2.7720407159309675</v>
      </c>
      <c r="AH15">
        <f t="shared" si="5"/>
        <v>-2.5116589627839554</v>
      </c>
      <c r="AI15">
        <f t="shared" si="5"/>
        <v>-2.2795989884572871</v>
      </c>
    </row>
    <row r="16" spans="2:35" x14ac:dyDescent="0.25">
      <c r="J16" s="31">
        <f t="shared" si="3"/>
        <v>0.13999999999999999</v>
      </c>
      <c r="K16">
        <f t="shared" si="4"/>
        <v>-5.5276619717087092</v>
      </c>
      <c r="L16">
        <f t="shared" si="4"/>
        <v>-5.9494656960947481</v>
      </c>
      <c r="M16">
        <f t="shared" si="4"/>
        <v>-6.3208305087856678</v>
      </c>
      <c r="N16">
        <f t="shared" si="4"/>
        <v>-6.6317416599055585</v>
      </c>
      <c r="O16">
        <f t="shared" si="4"/>
        <v>-6.8743684874165041</v>
      </c>
      <c r="P16">
        <f t="shared" si="4"/>
        <v>-7.0433954464942357</v>
      </c>
      <c r="Q16">
        <f t="shared" si="4"/>
        <v>-7.1361923511219825</v>
      </c>
      <c r="R16">
        <f t="shared" si="4"/>
        <v>-7.1528215160150745</v>
      </c>
      <c r="S16">
        <f t="shared" si="4"/>
        <v>-7.095892665956633</v>
      </c>
      <c r="T16">
        <f t="shared" si="4"/>
        <v>-6.9702874121911389</v>
      </c>
      <c r="U16">
        <f t="shared" si="5"/>
        <v>-6.782782952280229</v>
      </c>
      <c r="V16">
        <f t="shared" si="5"/>
        <v>-6.5416090450226125</v>
      </c>
      <c r="W16">
        <f t="shared" si="5"/>
        <v>-6.2559732832164299</v>
      </c>
      <c r="X16">
        <f t="shared" si="5"/>
        <v>-5.9355876243887105</v>
      </c>
      <c r="Y16">
        <f t="shared" si="5"/>
        <v>-5.5902246836817895</v>
      </c>
      <c r="Z16">
        <f t="shared" si="5"/>
        <v>-5.2293262203588791</v>
      </c>
      <c r="AA16">
        <f t="shared" si="5"/>
        <v>-4.8616793630238142</v>
      </c>
      <c r="AB16">
        <f t="shared" si="5"/>
        <v>-4.495169157282926</v>
      </c>
      <c r="AC16">
        <f t="shared" si="5"/>
        <v>-4.1366095919312764</v>
      </c>
      <c r="AD16">
        <f t="shared" si="5"/>
        <v>-3.7916498075321554</v>
      </c>
      <c r="AE16">
        <f t="shared" si="5"/>
        <v>-3.4647479786346063</v>
      </c>
      <c r="AF16">
        <f t="shared" si="5"/>
        <v>-3.15920248567507</v>
      </c>
      <c r="AG16">
        <f t="shared" si="5"/>
        <v>-2.8772284129756156</v>
      </c>
      <c r="AH16">
        <f t="shared" si="5"/>
        <v>-2.6200669789043567</v>
      </c>
      <c r="AI16">
        <f t="shared" si="5"/>
        <v>-2.3881160103293526</v>
      </c>
    </row>
    <row r="17" spans="10:35" x14ac:dyDescent="0.25">
      <c r="J17" s="31">
        <f t="shared" si="3"/>
        <v>0.15</v>
      </c>
      <c r="K17">
        <f t="shared" si="4"/>
        <v>-5.4293927829765529</v>
      </c>
      <c r="L17">
        <f t="shared" si="4"/>
        <v>-5.8174387817483026</v>
      </c>
      <c r="M17">
        <f t="shared" si="4"/>
        <v>-6.1582179349095876</v>
      </c>
      <c r="N17">
        <f t="shared" si="4"/>
        <v>-6.4432598818421294</v>
      </c>
      <c r="O17">
        <f t="shared" si="4"/>
        <v>-6.6659999225018005</v>
      </c>
      <c r="P17">
        <f t="shared" si="4"/>
        <v>-6.8220288864564358</v>
      </c>
      <c r="Q17">
        <f t="shared" si="4"/>
        <v>-6.9092143354780911</v>
      </c>
      <c r="R17">
        <f t="shared" si="4"/>
        <v>-6.9276930920327313</v>
      </c>
      <c r="S17">
        <f t="shared" si="4"/>
        <v>-6.8797446736565364</v>
      </c>
      <c r="T17">
        <f t="shared" si="4"/>
        <v>-6.7695630606656136</v>
      </c>
      <c r="U17">
        <f t="shared" si="5"/>
        <v>-6.6029498026019064</v>
      </c>
      <c r="V17">
        <f t="shared" si="5"/>
        <v>-6.3869545490152113</v>
      </c>
      <c r="W17">
        <f t="shared" si="5"/>
        <v>-6.1294897258838548</v>
      </c>
      <c r="X17">
        <f t="shared" si="5"/>
        <v>-5.8389445552169246</v>
      </c>
      <c r="Y17">
        <f t="shared" si="5"/>
        <v>-5.5238203807418405</v>
      </c>
      <c r="Z17">
        <f t="shared" si="5"/>
        <v>-5.1924048544572052</v>
      </c>
      <c r="AA17">
        <f t="shared" si="5"/>
        <v>-4.8524975125771759</v>
      </c>
      <c r="AB17">
        <f t="shared" si="5"/>
        <v>-4.5111941390880963</v>
      </c>
      <c r="AC17">
        <f t="shared" si="5"/>
        <v>-4.1747325105614497</v>
      </c>
      <c r="AD17">
        <f t="shared" si="5"/>
        <v>-3.8483979572448215</v>
      </c>
      <c r="AE17">
        <f t="shared" si="5"/>
        <v>-3.5364838649751835</v>
      </c>
      <c r="AF17">
        <f t="shared" si="5"/>
        <v>-3.2422998697829866</v>
      </c>
      <c r="AG17">
        <f t="shared" si="5"/>
        <v>-2.9682190549865357</v>
      </c>
      <c r="AH17">
        <f t="shared" si="5"/>
        <v>-2.7157548668553844</v>
      </c>
      <c r="AI17">
        <f t="shared" si="5"/>
        <v>-2.4856585863368936</v>
      </c>
    </row>
    <row r="18" spans="10:35" x14ac:dyDescent="0.25">
      <c r="J18" s="31">
        <f t="shared" si="3"/>
        <v>0.16</v>
      </c>
      <c r="K18">
        <f t="shared" si="4"/>
        <v>-5.3346776544053531</v>
      </c>
      <c r="L18">
        <f t="shared" si="4"/>
        <v>-5.693487399678566</v>
      </c>
      <c r="M18">
        <f t="shared" si="4"/>
        <v>-6.0079467417217138</v>
      </c>
      <c r="N18">
        <f t="shared" si="4"/>
        <v>-6.2708250683701046</v>
      </c>
      <c r="O18">
        <f t="shared" si="4"/>
        <v>-6.4765643239113659</v>
      </c>
      <c r="P18">
        <f t="shared" si="4"/>
        <v>-6.6214697338208817</v>
      </c>
      <c r="Q18">
        <f t="shared" si="4"/>
        <v>-6.7037963088557495</v>
      </c>
      <c r="R18">
        <f t="shared" si="4"/>
        <v>-6.7237323988696156</v>
      </c>
      <c r="S18">
        <f t="shared" si="4"/>
        <v>-6.6832886666364555</v>
      </c>
      <c r="T18">
        <f t="shared" si="4"/>
        <v>-6.5861065913365406</v>
      </c>
      <c r="U18">
        <f t="shared" si="5"/>
        <v>-6.4372046461887669</v>
      </c>
      <c r="V18">
        <f t="shared" si="5"/>
        <v>-6.2426824898925481</v>
      </c>
      <c r="W18">
        <f t="shared" si="5"/>
        <v>-6.0094039237677235</v>
      </c>
      <c r="X18">
        <f t="shared" si="5"/>
        <v>-5.7446782085823962</v>
      </c>
      <c r="Y18">
        <f t="shared" si="5"/>
        <v>-5.4559569292927819</v>
      </c>
      <c r="Z18">
        <f t="shared" si="5"/>
        <v>-5.1505603237651432</v>
      </c>
      <c r="AA18">
        <f t="shared" si="5"/>
        <v>-4.8354432464736607</v>
      </c>
      <c r="AB18">
        <f t="shared" si="5"/>
        <v>-4.5170070861079301</v>
      </c>
      <c r="AC18">
        <f t="shared" si="5"/>
        <v>-4.200960306423231</v>
      </c>
      <c r="AD18">
        <f t="shared" si="5"/>
        <v>-3.8922270680114046</v>
      </c>
      <c r="AE18">
        <f t="shared" si="5"/>
        <v>-3.594900769937992</v>
      </c>
      <c r="AF18">
        <f t="shared" si="5"/>
        <v>-3.3122374015091367</v>
      </c>
      <c r="AG18">
        <f t="shared" si="5"/>
        <v>-3.0466823245935553</v>
      </c>
      <c r="AH18">
        <f t="shared" si="5"/>
        <v>-2.7999234702271649</v>
      </c>
      <c r="AI18">
        <f t="shared" si="5"/>
        <v>-2.5729638452127572</v>
      </c>
    </row>
    <row r="19" spans="10:35" x14ac:dyDescent="0.25">
      <c r="J19" s="31">
        <f t="shared" si="3"/>
        <v>0.17</v>
      </c>
      <c r="K19">
        <f t="shared" si="4"/>
        <v>-5.2436880524355116</v>
      </c>
      <c r="L19">
        <f t="shared" si="4"/>
        <v>-5.5769757216889833</v>
      </c>
      <c r="M19">
        <f t="shared" si="4"/>
        <v>-5.8685854354011813</v>
      </c>
      <c r="N19">
        <f t="shared" si="4"/>
        <v>-6.1122940144736502</v>
      </c>
      <c r="O19">
        <f t="shared" si="4"/>
        <v>-6.3033544739077758</v>
      </c>
      <c r="P19">
        <f t="shared" si="4"/>
        <v>-6.4386429524496087</v>
      </c>
      <c r="Q19">
        <f t="shared" si="4"/>
        <v>-6.5167202974425615</v>
      </c>
      <c r="R19">
        <f t="shared" si="4"/>
        <v>-6.5378102511348093</v>
      </c>
      <c r="S19">
        <f t="shared" si="4"/>
        <v>-6.5037015252999062</v>
      </c>
      <c r="T19">
        <f t="shared" si="4"/>
        <v>-6.4175853179180562</v>
      </c>
      <c r="U19">
        <f t="shared" si="5"/>
        <v>-6.2838427920548146</v>
      </c>
      <c r="V19">
        <f t="shared" si="5"/>
        <v>-6.1077986239314628</v>
      </c>
      <c r="W19">
        <f t="shared" si="5"/>
        <v>-5.8954569889628345</v>
      </c>
      <c r="X19">
        <f t="shared" si="5"/>
        <v>-5.6532354531734317</v>
      </c>
      <c r="Y19">
        <f t="shared" si="5"/>
        <v>-5.3877104095748898</v>
      </c>
      <c r="Z19">
        <f t="shared" si="5"/>
        <v>-5.1053852216806597</v>
      </c>
      <c r="AA19">
        <f t="shared" si="5"/>
        <v>-4.8124893941604023</v>
      </c>
      <c r="AB19">
        <f t="shared" si="5"/>
        <v>-4.5148141494597889</v>
      </c>
      <c r="AC19">
        <f t="shared" si="5"/>
        <v>-4.2175869758268378</v>
      </c>
      <c r="AD19">
        <f t="shared" si="5"/>
        <v>-3.9253852021641569</v>
      </c>
      <c r="AE19">
        <f t="shared" si="5"/>
        <v>-3.642086567842326</v>
      </c>
      <c r="AF19">
        <f t="shared" si="5"/>
        <v>-3.3708531554721737</v>
      </c>
      <c r="AG19">
        <f t="shared" si="5"/>
        <v>-3.1141439570264611</v>
      </c>
      <c r="AH19">
        <f t="shared" si="5"/>
        <v>-2.873750723996038</v>
      </c>
      <c r="AI19">
        <f t="shared" si="5"/>
        <v>-2.6508515563357036</v>
      </c>
    </row>
    <row r="20" spans="10:35" x14ac:dyDescent="0.25">
      <c r="J20" s="31">
        <f t="shared" si="3"/>
        <v>0.18000000000000002</v>
      </c>
      <c r="K20">
        <f t="shared" si="4"/>
        <v>-5.1564483591056733</v>
      </c>
      <c r="L20">
        <f t="shared" si="4"/>
        <v>-5.4672965763181089</v>
      </c>
      <c r="M20">
        <f t="shared" si="4"/>
        <v>-5.7389125610183438</v>
      </c>
      <c r="N20">
        <f t="shared" si="4"/>
        <v>-5.9659007665776489</v>
      </c>
      <c r="O20">
        <f t="shared" si="4"/>
        <v>-6.144175393963855</v>
      </c>
      <c r="P20">
        <f t="shared" si="4"/>
        <v>-6.2710744340190425</v>
      </c>
      <c r="Q20">
        <f t="shared" si="4"/>
        <v>-6.3454031319851119</v>
      </c>
      <c r="R20">
        <f t="shared" si="4"/>
        <v>-6.3674091404506088</v>
      </c>
      <c r="S20">
        <f t="shared" si="4"/>
        <v>-6.3386957002712485</v>
      </c>
      <c r="T20">
        <f t="shared" si="4"/>
        <v>-6.2620824072981325</v>
      </c>
      <c r="U20">
        <f t="shared" si="5"/>
        <v>-6.1414253347755912</v>
      </c>
      <c r="V20">
        <f t="shared" si="5"/>
        <v>-5.9814094422269477</v>
      </c>
      <c r="W20">
        <f t="shared" si="5"/>
        <v>-5.7873263613580797</v>
      </c>
      <c r="X20">
        <f t="shared" si="5"/>
        <v>-5.5648499331986301</v>
      </c>
      <c r="Y20">
        <f t="shared" si="5"/>
        <v>-5.3198204556013504</v>
      </c>
      <c r="Z20">
        <f t="shared" si="5"/>
        <v>-5.0580466912728461</v>
      </c>
      <c r="AA20">
        <f t="shared" si="5"/>
        <v>-4.7851324938410373</v>
      </c>
      <c r="AB20">
        <f t="shared" si="5"/>
        <v>-4.5063326295791946</v>
      </c>
      <c r="AC20">
        <f t="shared" si="5"/>
        <v>-4.2264401742294018</v>
      </c>
      <c r="AD20">
        <f t="shared" si="5"/>
        <v>-3.9497058805204417</v>
      </c>
      <c r="AE20">
        <f t="shared" si="5"/>
        <v>-3.6797882350221376</v>
      </c>
      <c r="AF20">
        <f t="shared" si="5"/>
        <v>-3.4197316059479945</v>
      </c>
      <c r="AG20">
        <f t="shared" si="5"/>
        <v>-3.1719689437048073</v>
      </c>
      <c r="AH20">
        <f t="shared" si="5"/>
        <v>-2.9383449209659149</v>
      </c>
      <c r="AI20">
        <f t="shared" si="5"/>
        <v>-2.7201551538392943</v>
      </c>
    </row>
    <row r="21" spans="10:35" x14ac:dyDescent="0.25">
      <c r="J21" s="31">
        <f t="shared" si="3"/>
        <v>0.19000000000000003</v>
      </c>
      <c r="K21">
        <f t="shared" si="4"/>
        <v>-5.0728934625289046</v>
      </c>
      <c r="L21">
        <f t="shared" si="4"/>
        <v>-5.3638846761618471</v>
      </c>
      <c r="M21">
        <f t="shared" si="4"/>
        <v>-5.617881862438292</v>
      </c>
      <c r="N21">
        <f t="shared" si="4"/>
        <v>-5.8301760926287827</v>
      </c>
      <c r="O21">
        <f t="shared" si="4"/>
        <v>-5.9972262310192308</v>
      </c>
      <c r="P21">
        <f t="shared" si="4"/>
        <v>-6.1167479737722577</v>
      </c>
      <c r="Q21">
        <f t="shared" si="4"/>
        <v>-6.1877440005456554</v>
      </c>
      <c r="R21">
        <f t="shared" si="4"/>
        <v>-6.2104776146915546</v>
      </c>
      <c r="S21">
        <f t="shared" si="4"/>
        <v>-6.1863953933866176</v>
      </c>
      <c r="T21">
        <f t="shared" si="4"/>
        <v>-6.1180068276355488</v>
      </c>
      <c r="U21">
        <f t="shared" si="5"/>
        <v>-6.0087306022362394</v>
      </c>
      <c r="V21">
        <f t="shared" si="5"/>
        <v>-5.8627180237109506</v>
      </c>
      <c r="W21">
        <f t="shared" si="5"/>
        <v>-5.6846641943336866</v>
      </c>
      <c r="X21">
        <f t="shared" si="5"/>
        <v>-5.4796169509460988</v>
      </c>
      <c r="Y21">
        <f t="shared" si="5"/>
        <v>-5.2527924732510387</v>
      </c>
      <c r="Z21">
        <f t="shared" si="5"/>
        <v>-5.0094049720565819</v>
      </c>
      <c r="AA21">
        <f t="shared" si="5"/>
        <v>-4.7545161511960501</v>
      </c>
      <c r="AB21">
        <f t="shared" si="5"/>
        <v>-4.4929083452261338</v>
      </c>
      <c r="AC21">
        <f t="shared" si="5"/>
        <v>-4.2289834961886026</v>
      </c>
      <c r="AD21">
        <f t="shared" si="5"/>
        <v>-3.9666885481250489</v>
      </c>
      <c r="AE21">
        <f t="shared" si="5"/>
        <v>-3.7094664799756338</v>
      </c>
      <c r="AF21">
        <f t="shared" si="5"/>
        <v>-3.4602311093588121</v>
      </c>
      <c r="AG21">
        <f t="shared" si="5"/>
        <v>-3.2213629984722787</v>
      </c>
      <c r="AH21">
        <f t="shared" si="5"/>
        <v>-2.9947232735973088</v>
      </c>
      <c r="AI21">
        <f t="shared" si="5"/>
        <v>-2.7816819087056976</v>
      </c>
    </row>
    <row r="22" spans="10:35" x14ac:dyDescent="0.25">
      <c r="J22" s="31">
        <f t="shared" si="3"/>
        <v>0.20000000000000004</v>
      </c>
      <c r="K22">
        <f t="shared" si="4"/>
        <v>-4.9929052209677653</v>
      </c>
      <c r="L22">
        <f t="shared" si="4"/>
        <v>-5.2662212919175202</v>
      </c>
      <c r="M22">
        <f t="shared" si="4"/>
        <v>-5.5045932309622154</v>
      </c>
      <c r="N22">
        <f t="shared" si="4"/>
        <v>-5.7038868018907491</v>
      </c>
      <c r="O22">
        <f t="shared" si="4"/>
        <v>-5.8610137784997427</v>
      </c>
      <c r="P22">
        <f t="shared" si="4"/>
        <v>-5.9740017652507369</v>
      </c>
      <c r="Q22">
        <f t="shared" si="4"/>
        <v>-6.0420144860397063</v>
      </c>
      <c r="R22">
        <f t="shared" si="4"/>
        <v>-6.0653249037730497</v>
      </c>
      <c r="S22">
        <f t="shared" si="4"/>
        <v>-6.0452459895595378</v>
      </c>
      <c r="T22">
        <f t="shared" si="4"/>
        <v>-5.9840258600402274</v>
      </c>
      <c r="U22">
        <f t="shared" si="5"/>
        <v>-5.8847152762520896</v>
      </c>
      <c r="V22">
        <f t="shared" si="5"/>
        <v>-5.7510161366259211</v>
      </c>
      <c r="W22">
        <f t="shared" si="5"/>
        <v>-5.5871196393347446</v>
      </c>
      <c r="X22">
        <f t="shared" si="5"/>
        <v>-5.3975423132625524</v>
      </c>
      <c r="Y22">
        <f t="shared" si="5"/>
        <v>-5.1869672267509168</v>
      </c>
      <c r="Z22">
        <f t="shared" si="5"/>
        <v>-4.9600964970722234</v>
      </c>
      <c r="AA22">
        <f t="shared" si="5"/>
        <v>-4.7215198614171303</v>
      </c>
      <c r="AB22">
        <f t="shared" si="5"/>
        <v>-4.4756026446461705</v>
      </c>
      <c r="AC22">
        <f t="shared" si="5"/>
        <v>-4.2263950679514775</v>
      </c>
      <c r="AD22">
        <f t="shared" si="5"/>
        <v>-3.9775635643474323</v>
      </c>
      <c r="AE22">
        <f t="shared" si="5"/>
        <v>-3.7323436584986136</v>
      </c>
      <c r="AF22">
        <f t="shared" si="5"/>
        <v>-3.493513065236117</v>
      </c>
      <c r="AG22">
        <f t="shared" si="5"/>
        <v>-3.263382978819982</v>
      </c>
      <c r="AH22">
        <f t="shared" si="5"/>
        <v>-3.0438050622168231</v>
      </c>
      <c r="AI22">
        <f t="shared" si="5"/>
        <v>-2.8361913875813256</v>
      </c>
    </row>
    <row r="23" spans="10:35" x14ac:dyDescent="0.25">
      <c r="J23" s="31">
        <f t="shared" si="3"/>
        <v>0.21000000000000005</v>
      </c>
      <c r="K23">
        <f t="shared" ref="K23:T32" si="6">(-K$2*_xlfn.NORM.S.DIST((LN(K$2/$B$59)+($F$61+$F$60^2/2)*$J23)/($F$60*SQRT($J23)),0)*$F$60/(2*SQRT($J23)))-(($F$61*$B$59*EXP(-$F$61*$J23))*_xlfn.NORM.S.DIST(((LN(K$2/$B$59)+($F$61+$F$60^2/2)*$J23)/($F$60*SQRT($J23)))-($F$60*SQRT($J23)),1))</f>
        <v>-4.9163357225216933</v>
      </c>
      <c r="L23">
        <f t="shared" si="6"/>
        <v>-5.1738343838376002</v>
      </c>
      <c r="M23">
        <f t="shared" si="6"/>
        <v>-5.3982687406653334</v>
      </c>
      <c r="N23">
        <f t="shared" si="6"/>
        <v>-5.5859894453528076</v>
      </c>
      <c r="O23">
        <f t="shared" si="6"/>
        <v>-5.7342880927234354</v>
      </c>
      <c r="P23">
        <f t="shared" si="6"/>
        <v>-5.8414521256065246</v>
      </c>
      <c r="Q23">
        <f t="shared" si="6"/>
        <v>-5.9067777692244601</v>
      </c>
      <c r="R23">
        <f t="shared" si="6"/>
        <v>-5.9305432743192261</v>
      </c>
      <c r="S23">
        <f t="shared" si="6"/>
        <v>-5.9139466859442464</v>
      </c>
      <c r="T23">
        <f t="shared" si="6"/>
        <v>-5.8590138377135634</v>
      </c>
      <c r="U23">
        <f t="shared" ref="U23:AI32" si="7">(-U$2*_xlfn.NORM.S.DIST((LN(U$2/$B$59)+($F$61+$F$60^2/2)*$J23)/($F$60*SQRT($J23)),0)*$F$60/(2*SQRT($J23)))-(($F$61*$B$59*EXP(-$F$61*$J23))*_xlfn.NORM.S.DIST(((LN(U$2/$B$59)+($F$61+$F$60^2/2)*$J23)/($F$60*SQRT($J23)))-($F$60*SQRT($J23)),1))</f>
        <v>-5.7684832538619393</v>
      </c>
      <c r="V23">
        <f t="shared" si="7"/>
        <v>-5.6456751208302798</v>
      </c>
      <c r="W23">
        <f t="shared" si="7"/>
        <v>-5.4943515003521224</v>
      </c>
      <c r="X23">
        <f t="shared" si="7"/>
        <v>-5.3185745598597274</v>
      </c>
      <c r="Y23">
        <f t="shared" si="7"/>
        <v>-5.1225688752816723</v>
      </c>
      <c r="Z23">
        <f t="shared" si="7"/>
        <v>-4.9105929075496446</v>
      </c>
      <c r="AA23">
        <f t="shared" si="7"/>
        <v>-4.6868236601793098</v>
      </c>
      <c r="AB23">
        <f t="shared" si="7"/>
        <v>-4.4552573781091738</v>
      </c>
      <c r="AC23">
        <f t="shared" si="7"/>
        <v>-4.2196280234213148</v>
      </c>
      <c r="AD23">
        <f t="shared" si="7"/>
        <v>-3.983344222954742</v>
      </c>
      <c r="AE23">
        <f t="shared" si="7"/>
        <v>-3.7494444713393262</v>
      </c>
      <c r="AF23">
        <f t="shared" si="7"/>
        <v>-3.5205696195940654</v>
      </c>
      <c r="AG23">
        <f t="shared" si="7"/>
        <v>-3.2989510980540575</v>
      </c>
      <c r="AH23">
        <f t="shared" si="7"/>
        <v>-3.0864129138874392</v>
      </c>
      <c r="AI23">
        <f t="shared" si="7"/>
        <v>-2.8843852182178344</v>
      </c>
    </row>
    <row r="24" spans="10:35" x14ac:dyDescent="0.25">
      <c r="J24" s="31">
        <f t="shared" si="3"/>
        <v>0.22000000000000006</v>
      </c>
      <c r="K24">
        <f t="shared" si="6"/>
        <v>-4.8430221642461104</v>
      </c>
      <c r="L24">
        <f t="shared" si="6"/>
        <v>-5.0862964164853715</v>
      </c>
      <c r="M24">
        <f t="shared" si="6"/>
        <v>-5.298232961783075</v>
      </c>
      <c r="N24">
        <f t="shared" si="6"/>
        <v>-5.4755945730686149</v>
      </c>
      <c r="O24">
        <f t="shared" si="6"/>
        <v>-5.615993834335077</v>
      </c>
      <c r="P24">
        <f t="shared" si="6"/>
        <v>-5.7179363709733959</v>
      </c>
      <c r="Q24">
        <f t="shared" si="6"/>
        <v>-5.7808282747087238</v>
      </c>
      <c r="R24">
        <f t="shared" si="6"/>
        <v>-5.8049498829287938</v>
      </c>
      <c r="S24">
        <f t="shared" si="6"/>
        <v>-5.7913996137036428</v>
      </c>
      <c r="T24">
        <f t="shared" si="6"/>
        <v>-5.7420127258699099</v>
      </c>
      <c r="U24">
        <f t="shared" si="7"/>
        <v>-5.6592606372651577</v>
      </c>
      <c r="V24">
        <f t="shared" si="7"/>
        <v>-5.5461367954336502</v>
      </c>
      <c r="W24">
        <f t="shared" si="7"/>
        <v>-5.4060350835246167</v>
      </c>
      <c r="X24">
        <f t="shared" si="7"/>
        <v>-5.2426264105297227</v>
      </c>
      <c r="Y24">
        <f t="shared" si="7"/>
        <v>-5.0597385443814566</v>
      </c>
      <c r="Z24">
        <f t="shared" si="7"/>
        <v>-4.8612434706914485</v>
      </c>
      <c r="AA24">
        <f t="shared" si="7"/>
        <v>-4.6509556716393243</v>
      </c>
      <c r="AB24">
        <f t="shared" si="7"/>
        <v>-4.4325437867275772</v>
      </c>
      <c r="AC24">
        <f t="shared" si="7"/>
        <v>-4.2094571992790453</v>
      </c>
      <c r="AD24">
        <f t="shared" si="7"/>
        <v>-3.9848682380929565</v>
      </c>
      <c r="AE24">
        <f t="shared" si="7"/>
        <v>-3.7616299287220527</v>
      </c>
      <c r="AF24">
        <f t="shared" si="7"/>
        <v>-3.5422485971253188</v>
      </c>
      <c r="AG24">
        <f t="shared" si="7"/>
        <v>-3.3288701321461533</v>
      </c>
      <c r="AH24">
        <f t="shared" si="7"/>
        <v>-3.1232783544067666</v>
      </c>
      <c r="AI24">
        <f t="shared" si="7"/>
        <v>-2.926903711585096</v>
      </c>
    </row>
    <row r="25" spans="10:35" x14ac:dyDescent="0.25">
      <c r="J25" s="31">
        <f t="shared" si="3"/>
        <v>0.23000000000000007</v>
      </c>
      <c r="K25">
        <f t="shared" si="6"/>
        <v>-4.7727963447809785</v>
      </c>
      <c r="L25">
        <f t="shared" si="6"/>
        <v>-5.0032210964272279</v>
      </c>
      <c r="M25">
        <f t="shared" si="6"/>
        <v>-5.2038967956712412</v>
      </c>
      <c r="N25">
        <f t="shared" si="6"/>
        <v>-5.3719388393278349</v>
      </c>
      <c r="O25">
        <f t="shared" si="6"/>
        <v>-5.505232991955201</v>
      </c>
      <c r="P25">
        <f t="shared" si="6"/>
        <v>-5.6024694074727375</v>
      </c>
      <c r="Q25">
        <f t="shared" si="6"/>
        <v>-5.6631459153419428</v>
      </c>
      <c r="R25">
        <f t="shared" si="6"/>
        <v>-5.6875425934950288</v>
      </c>
      <c r="S25">
        <f t="shared" si="6"/>
        <v>-5.6766708870036204</v>
      </c>
      <c r="T25">
        <f t="shared" si="6"/>
        <v>-5.6322014591437108</v>
      </c>
      <c r="U25">
        <f t="shared" si="7"/>
        <v>-5.5563755595486137</v>
      </c>
      <c r="V25">
        <f t="shared" si="7"/>
        <v>-5.4519049672238875</v>
      </c>
      <c r="W25">
        <f t="shared" si="7"/>
        <v>-5.3218655400480008</v>
      </c>
      <c r="X25">
        <f t="shared" si="7"/>
        <v>-5.169589118649589</v>
      </c>
      <c r="Y25">
        <f t="shared" si="7"/>
        <v>-4.9985580433124737</v>
      </c>
      <c r="Z25">
        <f t="shared" si="7"/>
        <v>-4.8123059049598469</v>
      </c>
      <c r="AA25">
        <f t="shared" si="7"/>
        <v>-4.6143274227329787</v>
      </c>
      <c r="AB25">
        <f t="shared" si="7"/>
        <v>-4.4079995749604084</v>
      </c>
      <c r="AC25">
        <f t="shared" si="7"/>
        <v>-4.1965153545409928</v>
      </c>
      <c r="AD25">
        <f t="shared" si="7"/>
        <v>-3.9828308125272796</v>
      </c>
      <c r="AE25">
        <f t="shared" si="7"/>
        <v>-3.7696254240966387</v>
      </c>
      <c r="AF25">
        <f t="shared" si="7"/>
        <v>-3.5592752786543831</v>
      </c>
      <c r="AG25">
        <f t="shared" si="7"/>
        <v>-3.3538381710405565</v>
      </c>
      <c r="AH25">
        <f t="shared" si="7"/>
        <v>-3.1550493562982123</v>
      </c>
      <c r="AI25">
        <f t="shared" si="7"/>
        <v>-2.964326522250464</v>
      </c>
    </row>
    <row r="26" spans="10:35" x14ac:dyDescent="0.25">
      <c r="J26" s="31">
        <f t="shared" si="3"/>
        <v>0.24000000000000007</v>
      </c>
      <c r="K26">
        <f t="shared" si="6"/>
        <v>-4.705490660305415</v>
      </c>
      <c r="L26">
        <f t="shared" si="6"/>
        <v>-4.9242597190692994</v>
      </c>
      <c r="M26">
        <f t="shared" si="6"/>
        <v>-5.1147441787321117</v>
      </c>
      <c r="N26">
        <f t="shared" si="6"/>
        <v>-5.274363011191002</v>
      </c>
      <c r="O26">
        <f t="shared" si="6"/>
        <v>-5.4012359717477851</v>
      </c>
      <c r="P26">
        <f t="shared" si="6"/>
        <v>-5.4942103085268412</v>
      </c>
      <c r="Q26">
        <f t="shared" si="6"/>
        <v>-5.5528609373223619</v>
      </c>
      <c r="R26">
        <f t="shared" si="6"/>
        <v>-5.577465960914159</v>
      </c>
      <c r="S26">
        <f t="shared" si="6"/>
        <v>-5.5689604116217355</v>
      </c>
      <c r="T26">
        <f t="shared" si="6"/>
        <v>-5.5288718380415292</v>
      </c>
      <c r="U26">
        <f t="shared" si="7"/>
        <v>-5.4592418282611339</v>
      </c>
      <c r="V26">
        <f t="shared" si="7"/>
        <v>-5.3625377685695605</v>
      </c>
      <c r="W26">
        <f t="shared" si="7"/>
        <v>-5.2415591011021014</v>
      </c>
      <c r="X26">
        <f t="shared" si="7"/>
        <v>-5.0993421003602988</v>
      </c>
      <c r="Y26">
        <f t="shared" si="7"/>
        <v>-4.9390667793192327</v>
      </c>
      <c r="Z26">
        <f t="shared" si="7"/>
        <v>-4.7639690067471268</v>
      </c>
      <c r="AA26">
        <f t="shared" si="7"/>
        <v>-4.5772603143129569</v>
      </c>
      <c r="AB26">
        <f t="shared" si="7"/>
        <v>-4.3820572379658467</v>
      </c>
      <c r="AC26">
        <f t="shared" si="7"/>
        <v>-4.1813214106350189</v>
      </c>
      <c r="AD26">
        <f t="shared" si="7"/>
        <v>-3.9778110335385484</v>
      </c>
      <c r="AE26">
        <f t="shared" si="7"/>
        <v>-3.7740438249115291</v>
      </c>
      <c r="AF26">
        <f t="shared" si="7"/>
        <v>-3.572271093880139</v>
      </c>
      <c r="AG26">
        <f t="shared" si="7"/>
        <v>-3.3744622225555165</v>
      </c>
      <c r="AH26">
        <f t="shared" si="7"/>
        <v>-3.1822985639700465</v>
      </c>
      <c r="AI26">
        <f t="shared" si="7"/>
        <v>-2.9971755747708912</v>
      </c>
    </row>
    <row r="27" spans="10:35" x14ac:dyDescent="0.25">
      <c r="J27" s="31">
        <f t="shared" si="3"/>
        <v>0.25000000000000006</v>
      </c>
      <c r="K27">
        <f t="shared" si="6"/>
        <v>-4.6409418141912706</v>
      </c>
      <c r="L27">
        <f t="shared" si="6"/>
        <v>-4.8490974969726652</v>
      </c>
      <c r="M27">
        <f t="shared" si="6"/>
        <v>-5.0303211135788457</v>
      </c>
      <c r="N27">
        <f t="shared" si="6"/>
        <v>-5.1822944672657147</v>
      </c>
      <c r="O27">
        <f t="shared" si="6"/>
        <v>-5.3033389222032357</v>
      </c>
      <c r="P27">
        <f t="shared" si="6"/>
        <v>-5.3924362722500723</v>
      </c>
      <c r="Q27">
        <f t="shared" si="6"/>
        <v>-5.4492265805502784</v>
      </c>
      <c r="R27">
        <f t="shared" si="6"/>
        <v>-5.4739847274257336</v>
      </c>
      <c r="S27">
        <f t="shared" si="6"/>
        <v>-5.4675782176184029</v>
      </c>
      <c r="T27">
        <f t="shared" si="6"/>
        <v>-5.4314093956582941</v>
      </c>
      <c r="U27">
        <f t="shared" si="7"/>
        <v>-5.3673455917257833</v>
      </c>
      <c r="V27">
        <f t="shared" si="7"/>
        <v>-5.2776408767741998</v>
      </c>
      <c r="W27">
        <f t="shared" si="7"/>
        <v>-5.1648530642609733</v>
      </c>
      <c r="X27">
        <f t="shared" si="7"/>
        <v>-5.0317593852117461</v>
      </c>
      <c r="Y27">
        <f t="shared" si="7"/>
        <v>-4.8812739179972171</v>
      </c>
      <c r="Z27">
        <f t="shared" si="7"/>
        <v>-4.7163694113070136</v>
      </c>
      <c r="AA27">
        <f t="shared" si="7"/>
        <v>-4.5400056353907985</v>
      </c>
      <c r="AB27">
        <f t="shared" si="7"/>
        <v>-4.3550658672910076</v>
      </c>
      <c r="AC27">
        <f t="shared" si="7"/>
        <v>-4.1643025909355167</v>
      </c>
      <c r="AD27">
        <f t="shared" si="7"/>
        <v>-3.9702929977245183</v>
      </c>
      <c r="AE27">
        <f t="shared" si="7"/>
        <v>-3.775404426914811</v>
      </c>
      <c r="AF27">
        <f t="shared" si="7"/>
        <v>-3.5817695010306303</v>
      </c>
      <c r="AG27">
        <f t="shared" si="7"/>
        <v>-3.3912703974570149</v>
      </c>
      <c r="AH27">
        <f t="shared" si="7"/>
        <v>-3.2055314560434018</v>
      </c>
      <c r="AI27">
        <f t="shared" si="7"/>
        <v>-3.0259191524996578</v>
      </c>
    </row>
    <row r="28" spans="10:35" x14ac:dyDescent="0.25">
      <c r="J28" s="31">
        <f t="shared" si="3"/>
        <v>0.26000000000000006</v>
      </c>
      <c r="K28">
        <f t="shared" si="6"/>
        <v>-4.5789930253828341</v>
      </c>
      <c r="L28">
        <f t="shared" si="6"/>
        <v>-4.7774500630097627</v>
      </c>
      <c r="M28">
        <f t="shared" si="6"/>
        <v>-4.9502265864824633</v>
      </c>
      <c r="N28">
        <f t="shared" si="6"/>
        <v>-5.0952331475476749</v>
      </c>
      <c r="O28">
        <f t="shared" si="6"/>
        <v>-5.2109657656276758</v>
      </c>
      <c r="P28">
        <f t="shared" si="6"/>
        <v>-5.2965221072475632</v>
      </c>
      <c r="Q28">
        <f t="shared" si="6"/>
        <v>-5.3515975805247189</v>
      </c>
      <c r="R28">
        <f t="shared" si="6"/>
        <v>-5.3764629462964795</v>
      </c>
      <c r="S28">
        <f t="shared" si="6"/>
        <v>-5.3719257136508052</v>
      </c>
      <c r="T28">
        <f t="shared" si="6"/>
        <v>-5.3392780718871355</v>
      </c>
      <c r="U28">
        <f t="shared" si="7"/>
        <v>-5.2802344084718325</v>
      </c>
      <c r="V28">
        <f t="shared" si="7"/>
        <v>-5.1968615805272469</v>
      </c>
      <c r="W28">
        <f t="shared" si="7"/>
        <v>-5.0915050626618585</v>
      </c>
      <c r="X28">
        <f t="shared" si="7"/>
        <v>-4.9667139104758267</v>
      </c>
      <c r="Y28">
        <f t="shared" si="7"/>
        <v>-4.825167185285073</v>
      </c>
      <c r="Z28">
        <f t="shared" si="7"/>
        <v>-4.6696041118782992</v>
      </c>
      <c r="AA28">
        <f t="shared" si="7"/>
        <v>-4.5027598175952521</v>
      </c>
      <c r="AB28">
        <f t="shared" si="7"/>
        <v>-4.3273080558013728</v>
      </c>
      <c r="AC28">
        <f t="shared" si="7"/>
        <v>-4.1458118746817929</v>
      </c>
      <c r="AD28">
        <f t="shared" si="7"/>
        <v>-3.9606827737031582</v>
      </c>
      <c r="AE28">
        <f t="shared" si="7"/>
        <v>-3.7741485109425823</v>
      </c>
      <c r="AF28">
        <f t="shared" si="7"/>
        <v>-3.5882293958759499</v>
      </c>
      <c r="AG28">
        <f t="shared" si="7"/>
        <v>-3.4047226307796556</v>
      </c>
      <c r="AH28">
        <f t="shared" si="7"/>
        <v>-3.2251940522363816</v>
      </c>
      <c r="AI28">
        <f t="shared" si="7"/>
        <v>-3.050976471544482</v>
      </c>
    </row>
    <row r="29" spans="10:35" x14ac:dyDescent="0.25">
      <c r="J29" s="31">
        <f t="shared" si="3"/>
        <v>0.27000000000000007</v>
      </c>
      <c r="K29">
        <f t="shared" si="6"/>
        <v>-4.5194952501141419</v>
      </c>
      <c r="L29">
        <f t="shared" si="6"/>
        <v>-4.7090602397827315</v>
      </c>
      <c r="M29">
        <f t="shared" si="6"/>
        <v>-4.8741050156863359</v>
      </c>
      <c r="N29">
        <f t="shared" si="6"/>
        <v>-5.0127401815612664</v>
      </c>
      <c r="O29">
        <f t="shared" si="6"/>
        <v>-5.1236138242461298</v>
      </c>
      <c r="P29">
        <f t="shared" si="6"/>
        <v>-5.2059239113139331</v>
      </c>
      <c r="Q29">
        <f t="shared" si="6"/>
        <v>-5.2594130917466844</v>
      </c>
      <c r="R29">
        <f t="shared" si="6"/>
        <v>-5.2843473731907986</v>
      </c>
      <c r="S29">
        <f t="shared" si="6"/>
        <v>-5.2814806979133628</v>
      </c>
      <c r="T29">
        <f t="shared" si="6"/>
        <v>-5.2520078340276291</v>
      </c>
      <c r="U29">
        <f t="shared" si="7"/>
        <v>-5.1975082364762724</v>
      </c>
      <c r="V29">
        <f t="shared" si="7"/>
        <v>-5.1198836207372524</v>
      </c>
      <c r="W29">
        <f t="shared" si="7"/>
        <v>-5.0212919459380174</v>
      </c>
      <c r="X29">
        <f t="shared" si="7"/>
        <v>-4.9040803432321685</v>
      </c>
      <c r="Y29">
        <f t="shared" si="7"/>
        <v>-4.7707192735133086</v>
      </c>
      <c r="Z29">
        <f t="shared" si="7"/>
        <v>-4.6237398808429893</v>
      </c>
      <c r="AA29">
        <f t="shared" si="7"/>
        <v>-4.4656761490814372</v>
      </c>
      <c r="AB29">
        <f t="shared" si="7"/>
        <v>-4.2990130921575016</v>
      </c>
      <c r="AC29">
        <f t="shared" si="7"/>
        <v>-4.1261418334830031</v>
      </c>
      <c r="AD29">
        <f t="shared" si="7"/>
        <v>-3.9493220740724322</v>
      </c>
      <c r="AE29">
        <f t="shared" si="7"/>
        <v>-3.7706521250763751</v>
      </c>
      <c r="AF29">
        <f t="shared" si="7"/>
        <v>-3.5920463979710808</v>
      </c>
      <c r="AG29">
        <f t="shared" si="7"/>
        <v>-3.4152200102376766</v>
      </c>
      <c r="AH29">
        <f t="shared" si="7"/>
        <v>-3.2416799784250956</v>
      </c>
      <c r="AI29">
        <f t="shared" si="7"/>
        <v>-3.0727223336526683</v>
      </c>
    </row>
    <row r="30" spans="10:35" x14ac:dyDescent="0.25">
      <c r="J30" s="31">
        <f t="shared" si="3"/>
        <v>0.28000000000000008</v>
      </c>
      <c r="K30">
        <f t="shared" si="6"/>
        <v>-4.4623077572789036</v>
      </c>
      <c r="L30">
        <f t="shared" si="6"/>
        <v>-4.6436951092221701</v>
      </c>
      <c r="M30">
        <f t="shared" si="6"/>
        <v>-4.8016399453574863</v>
      </c>
      <c r="N30">
        <f t="shared" si="6"/>
        <v>-4.934428614069283</v>
      </c>
      <c r="O30">
        <f t="shared" si="6"/>
        <v>-5.0408422212428396</v>
      </c>
      <c r="P30">
        <f t="shared" si="6"/>
        <v>-5.1201659664572388</v>
      </c>
      <c r="Q30">
        <f t="shared" si="6"/>
        <v>-5.1721829965690249</v>
      </c>
      <c r="R30">
        <f t="shared" si="6"/>
        <v>-5.1971541310592544</v>
      </c>
      <c r="S30">
        <f t="shared" si="6"/>
        <v>-5.1957852675862624</v>
      </c>
      <c r="T30">
        <f t="shared" si="6"/>
        <v>-5.1691845990259413</v>
      </c>
      <c r="U30">
        <f t="shared" si="7"/>
        <v>-5.1188119641512628</v>
      </c>
      <c r="V30">
        <f t="shared" si="7"/>
        <v>-5.0464227198253742</v>
      </c>
      <c r="W30">
        <f t="shared" si="7"/>
        <v>-4.9540084759850336</v>
      </c>
      <c r="X30">
        <f t="shared" si="7"/>
        <v>-4.8437368929053806</v>
      </c>
      <c r="Y30">
        <f t="shared" si="7"/>
        <v>-4.7178925230030133</v>
      </c>
      <c r="Z30">
        <f t="shared" si="7"/>
        <v>-4.5788204075241081</v>
      </c>
      <c r="AA30">
        <f t="shared" si="7"/>
        <v>-4.4288738323163832</v>
      </c>
      <c r="AB30">
        <f t="shared" si="7"/>
        <v>-4.2703673254975474</v>
      </c>
      <c r="AC30">
        <f t="shared" si="7"/>
        <v>-4.1055356599522685</v>
      </c>
      <c r="AD30">
        <f t="shared" si="7"/>
        <v>-3.9364993191701405</v>
      </c>
      <c r="AE30">
        <f t="shared" si="7"/>
        <v>-3.7652366068776613</v>
      </c>
      <c r="AF30">
        <f t="shared" si="7"/>
        <v>-3.5935623370226502</v>
      </c>
      <c r="AG30">
        <f t="shared" si="7"/>
        <v>-3.4231128357965477</v>
      </c>
      <c r="AH30">
        <f t="shared" si="7"/>
        <v>-3.2553368237251439</v>
      </c>
      <c r="AI30">
        <f t="shared" si="7"/>
        <v>-3.0914916233363692</v>
      </c>
    </row>
    <row r="31" spans="10:35" x14ac:dyDescent="0.25">
      <c r="J31" s="31">
        <f t="shared" si="3"/>
        <v>0.29000000000000009</v>
      </c>
      <c r="K31">
        <f t="shared" si="6"/>
        <v>-4.4072982840501895</v>
      </c>
      <c r="L31">
        <f t="shared" si="6"/>
        <v>-4.5811433845846077</v>
      </c>
      <c r="M31">
        <f t="shared" si="6"/>
        <v>-4.7325487565082529</v>
      </c>
      <c r="N31">
        <f t="shared" si="6"/>
        <v>-4.8599557875934183</v>
      </c>
      <c r="O31">
        <f t="shared" si="6"/>
        <v>-4.9622624453287187</v>
      </c>
      <c r="P31">
        <f t="shared" si="6"/>
        <v>-5.0388301270549674</v>
      </c>
      <c r="Q31">
        <f t="shared" si="6"/>
        <v>-5.0894768338270095</v>
      </c>
      <c r="R31">
        <f t="shared" si="6"/>
        <v>-5.1144579123671132</v>
      </c>
      <c r="S31">
        <f t="shared" si="6"/>
        <v>-5.1144359870905589</v>
      </c>
      <c r="T31">
        <f t="shared" si="6"/>
        <v>-5.0904419695510006</v>
      </c>
      <c r="U31">
        <f t="shared" si="7"/>
        <v>-5.0438291861607203</v>
      </c>
      <c r="V31">
        <f t="shared" si="7"/>
        <v>-4.9762227131453312</v>
      </c>
      <c r="W31">
        <f t="shared" si="7"/>
        <v>-4.8894659616219629</v>
      </c>
      <c r="X31">
        <f t="shared" si="7"/>
        <v>-4.7855664300516922</v>
      </c>
      <c r="Y31">
        <f t="shared" si="7"/>
        <v>-4.6666423527249261</v>
      </c>
      <c r="Z31">
        <f t="shared" si="7"/>
        <v>-4.5348717387491764</v>
      </c>
      <c r="AA31">
        <f t="shared" si="7"/>
        <v>-4.3924450332306897</v>
      </c>
      <c r="AB31">
        <f t="shared" si="7"/>
        <v>-4.2415223567584466</v>
      </c>
      <c r="AC31">
        <f t="shared" si="7"/>
        <v>-4.0841960048218029</v>
      </c>
      <c r="AD31">
        <f t="shared" si="7"/>
        <v>-3.9224586270397799</v>
      </c>
      <c r="AE31">
        <f t="shared" si="7"/>
        <v>-3.7581772661645605</v>
      </c>
      <c r="AF31">
        <f t="shared" si="7"/>
        <v>-3.5930732253255364</v>
      </c>
      <c r="AG31">
        <f t="shared" si="7"/>
        <v>-3.4287075530684876</v>
      </c>
      <c r="AH31">
        <f t="shared" si="7"/>
        <v>-3.2664717913963606</v>
      </c>
      <c r="AI31">
        <f t="shared" si="7"/>
        <v>-3.1075835223282113</v>
      </c>
    </row>
    <row r="32" spans="10:35" x14ac:dyDescent="0.25">
      <c r="J32" s="31">
        <f t="shared" si="3"/>
        <v>0.3000000000000001</v>
      </c>
      <c r="K32">
        <f t="shared" si="6"/>
        <v>-4.3543429233556035</v>
      </c>
      <c r="L32">
        <f t="shared" si="6"/>
        <v>-4.5212130703742455</v>
      </c>
      <c r="M32">
        <f t="shared" si="6"/>
        <v>-4.6665782113888277</v>
      </c>
      <c r="N32">
        <f t="shared" si="6"/>
        <v>-4.7890170440925255</v>
      </c>
      <c r="O32">
        <f t="shared" si="6"/>
        <v>-4.8875306177097375</v>
      </c>
      <c r="P32">
        <f t="shared" si="6"/>
        <v>-4.9615471593111335</v>
      </c>
      <c r="Q32">
        <f t="shared" si="6"/>
        <v>-5.0109147746852356</v>
      </c>
      <c r="R32">
        <f t="shared" si="6"/>
        <v>-5.0358831671341573</v>
      </c>
      <c r="S32">
        <f t="shared" si="6"/>
        <v>-5.0370758329493599</v>
      </c>
      <c r="T32">
        <f t="shared" si="6"/>
        <v>-5.0154544112818868</v>
      </c>
      <c r="U32">
        <f t="shared" si="7"/>
        <v>-4.9722769897925305</v>
      </c>
      <c r="V32">
        <f t="shared" si="7"/>
        <v>-4.9090522018908418</v>
      </c>
      <c r="W32">
        <f t="shared" si="7"/>
        <v>-4.8274909063993245</v>
      </c>
      <c r="X32">
        <f t="shared" si="7"/>
        <v>-4.729457128628634</v>
      </c>
      <c r="Y32">
        <f t="shared" si="7"/>
        <v>-4.6169197771876371</v>
      </c>
      <c r="Z32">
        <f t="shared" si="7"/>
        <v>-4.4919064479723465</v>
      </c>
      <c r="AA32">
        <f t="shared" si="7"/>
        <v>-4.3564603999251164</v>
      </c>
      <c r="AB32">
        <f t="shared" si="7"/>
        <v>-4.2126015495243418</v>
      </c>
      <c r="AC32">
        <f t="shared" si="7"/>
        <v>-4.0622920941834995</v>
      </c>
      <c r="AD32">
        <f t="shared" si="7"/>
        <v>-3.907407148533943</v>
      </c>
      <c r="AE32">
        <f t="shared" si="7"/>
        <v>-3.7497105695994848</v>
      </c>
      <c r="AF32">
        <f t="shared" si="7"/>
        <v>-3.590835962714499</v>
      </c>
      <c r="AG32">
        <f t="shared" si="7"/>
        <v>-3.4322727032699158</v>
      </c>
      <c r="AH32">
        <f t="shared" si="7"/>
        <v>-3.2753566817637241</v>
      </c>
      <c r="AI32">
        <f t="shared" si="7"/>
        <v>-3.1212653813891658</v>
      </c>
    </row>
    <row r="33" spans="10:35" x14ac:dyDescent="0.25">
      <c r="J33" s="31">
        <f t="shared" si="3"/>
        <v>0.31000000000000011</v>
      </c>
      <c r="K33">
        <f t="shared" ref="K33:T42" si="8">(-K$2*_xlfn.NORM.S.DIST((LN(K$2/$B$59)+($F$61+$F$60^2/2)*$J33)/($F$60*SQRT($J33)),0)*$F$60/(2*SQRT($J33)))-(($F$61*$B$59*EXP(-$F$61*$J33))*_xlfn.NORM.S.DIST(((LN(K$2/$B$59)+($F$61+$F$60^2/2)*$J33)/($F$60*SQRT($J33)))-($F$60*SQRT($J33)),1))</f>
        <v>-4.3033258449002485</v>
      </c>
      <c r="L33">
        <f t="shared" si="8"/>
        <v>-4.4637293877148299</v>
      </c>
      <c r="M33">
        <f t="shared" si="8"/>
        <v>-4.6035006837640413</v>
      </c>
      <c r="N33">
        <f t="shared" si="8"/>
        <v>-4.721340484855916</v>
      </c>
      <c r="O33">
        <f t="shared" si="8"/>
        <v>-4.8163411100935063</v>
      </c>
      <c r="P33">
        <f t="shared" si="8"/>
        <v>-4.8879896216656471</v>
      </c>
      <c r="Q33">
        <f t="shared" si="8"/>
        <v>-4.9361602128368531</v>
      </c>
      <c r="R33">
        <f t="shared" si="8"/>
        <v>-4.9610968591136135</v>
      </c>
      <c r="S33">
        <f t="shared" si="8"/>
        <v>-4.9633875480177112</v>
      </c>
      <c r="T33">
        <f t="shared" si="8"/>
        <v>-4.943931584169901</v>
      </c>
      <c r="U33">
        <f t="shared" ref="U33:AI42" si="9">(-U$2*_xlfn.NORM.S.DIST((LN(U$2/$B$59)+($F$61+$F$60^2/2)*$J33)/($F$60*SQRT($J33)),0)*$F$60/(2*SQRT($J33)))-(($F$61*$B$59*EXP(-$F$61*$J33))*_xlfn.NORM.S.DIST(((LN(U$2/$B$59)+($F$61+$F$60^2/2)*$J33)/($F$60*SQRT($J33)))-($F$60*SQRT($J33)),1))</f>
        <v>-4.9039015661107834</v>
      </c>
      <c r="V33">
        <f t="shared" si="9"/>
        <v>-4.8447016550645312</v>
      </c>
      <c r="W33">
        <f t="shared" si="9"/>
        <v>-4.7679237123507594</v>
      </c>
      <c r="X33">
        <f t="shared" si="9"/>
        <v>-4.6753027821486173</v>
      </c>
      <c r="Y33">
        <f t="shared" si="9"/>
        <v>-4.5686732517904947</v>
      </c>
      <c r="Z33">
        <f t="shared" si="9"/>
        <v>-4.4499268450532057</v>
      </c>
      <c r="AA33">
        <f t="shared" si="9"/>
        <v>-4.3209734070230574</v>
      </c>
      <c r="AB33">
        <f t="shared" si="9"/>
        <v>-4.1837052331330797</v>
      </c>
      <c r="AC33">
        <f t="shared" si="9"/>
        <v>-4.0399654896807906</v>
      </c>
      <c r="AD33">
        <f t="shared" si="9"/>
        <v>-3.8915210767221118</v>
      </c>
      <c r="AE33">
        <f t="shared" si="9"/>
        <v>-3.7400401031717698</v>
      </c>
      <c r="AF33">
        <f t="shared" si="9"/>
        <v>-3.5870739829595961</v>
      </c>
      <c r="AG33">
        <f t="shared" si="9"/>
        <v>-3.434044023276599</v>
      </c>
      <c r="AH33">
        <f t="shared" si="9"/>
        <v>-3.2822322628710783</v>
      </c>
      <c r="AI33">
        <f t="shared" si="9"/>
        <v>-3.1327762302918587</v>
      </c>
    </row>
    <row r="34" spans="10:35" x14ac:dyDescent="0.25">
      <c r="J34" s="31">
        <f t="shared" si="3"/>
        <v>0.32000000000000012</v>
      </c>
      <c r="K34">
        <f t="shared" si="8"/>
        <v>-4.2541389179457383</v>
      </c>
      <c r="L34">
        <f t="shared" si="8"/>
        <v>-4.4085329396721358</v>
      </c>
      <c r="M34">
        <f t="shared" si="8"/>
        <v>-4.5431109560085172</v>
      </c>
      <c r="N34">
        <f t="shared" si="8"/>
        <v>-4.6566825852818088</v>
      </c>
      <c r="O34">
        <f t="shared" si="8"/>
        <v>-4.7484212434448221</v>
      </c>
      <c r="P34">
        <f t="shared" si="8"/>
        <v>-4.8178659722613411</v>
      </c>
      <c r="Q34">
        <f t="shared" si="8"/>
        <v>-4.864913638476188</v>
      </c>
      <c r="R34">
        <f t="shared" si="8"/>
        <v>-4.8898024706288723</v>
      </c>
      <c r="S34">
        <f t="shared" si="8"/>
        <v>-4.8930881227099716</v>
      </c>
      <c r="T34">
        <f t="shared" si="8"/>
        <v>-4.8756136043700025</v>
      </c>
      <c r="U34">
        <f t="shared" si="9"/>
        <v>-4.8384744978047278</v>
      </c>
      <c r="V34">
        <f t="shared" si="9"/>
        <v>-4.782980896929903</v>
      </c>
      <c r="W34">
        <f t="shared" si="9"/>
        <v>-4.710617462663552</v>
      </c>
      <c r="X34">
        <f t="shared" si="9"/>
        <v>-4.6230028983762157</v>
      </c>
      <c r="Y34">
        <f t="shared" si="9"/>
        <v>-4.5218500220970208</v>
      </c>
      <c r="Z34">
        <f t="shared" si="9"/>
        <v>-4.4089274573715489</v>
      </c>
      <c r="AA34">
        <f t="shared" si="9"/>
        <v>-4.2860237929227338</v>
      </c>
      <c r="AB34">
        <f t="shared" si="9"/>
        <v>-4.1549148818495798</v>
      </c>
      <c r="AC34">
        <f t="shared" si="9"/>
        <v>-4.0173347722716066</v>
      </c>
      <c r="AD34">
        <f t="shared" si="9"/>
        <v>-3.874950590018015</v>
      </c>
      <c r="AE34">
        <f t="shared" si="9"/>
        <v>-3.7293415356598896</v>
      </c>
      <c r="AF34">
        <f t="shared" si="9"/>
        <v>-3.5819820169333165</v>
      </c>
      <c r="AG34">
        <f t="shared" si="9"/>
        <v>-3.4342288160596395</v>
      </c>
      <c r="AH34">
        <f t="shared" si="9"/>
        <v>-3.2873120910354352</v>
      </c>
      <c r="AI34">
        <f t="shared" si="9"/>
        <v>-3.1423299309401451</v>
      </c>
    </row>
    <row r="35" spans="10:35" x14ac:dyDescent="0.25">
      <c r="J35" s="31">
        <f t="shared" si="3"/>
        <v>0.33000000000000013</v>
      </c>
      <c r="K35">
        <f t="shared" si="8"/>
        <v>-4.2066812814455767</v>
      </c>
      <c r="L35">
        <f t="shared" si="8"/>
        <v>-4.3554780907782913</v>
      </c>
      <c r="M35">
        <f t="shared" si="8"/>
        <v>-4.4852234866208693</v>
      </c>
      <c r="N35">
        <f t="shared" si="8"/>
        <v>-4.5948245048677832</v>
      </c>
      <c r="O35">
        <f t="shared" si="8"/>
        <v>-4.6835268577129483</v>
      </c>
      <c r="P35">
        <f t="shared" si="8"/>
        <v>-4.7509156611132743</v>
      </c>
      <c r="Q35">
        <f t="shared" si="8"/>
        <v>-4.7969075411938285</v>
      </c>
      <c r="R35">
        <f t="shared" si="8"/>
        <v>-4.8217350094099221</v>
      </c>
      <c r="S35">
        <f t="shared" si="8"/>
        <v>-4.8259241841629104</v>
      </c>
      <c r="T35">
        <f t="shared" si="8"/>
        <v>-4.8102670618459697</v>
      </c>
      <c r="U35">
        <f t="shared" si="9"/>
        <v>-4.7757896050764117</v>
      </c>
      <c r="V35">
        <f t="shared" si="9"/>
        <v>-4.7237169249058102</v>
      </c>
      <c r="W35">
        <f t="shared" si="9"/>
        <v>-4.655436793842008</v>
      </c>
      <c r="X35">
        <f t="shared" si="9"/>
        <v>-4.5724626456628599</v>
      </c>
      <c r="Y35">
        <f t="shared" si="9"/>
        <v>-4.4763971050620537</v>
      </c>
      <c r="Z35">
        <f t="shared" si="9"/>
        <v>-4.3688969541124436</v>
      </c>
      <c r="AA35">
        <f t="shared" si="9"/>
        <v>-4.2516402920196263</v>
      </c>
      <c r="AB35">
        <f t="shared" si="9"/>
        <v>-4.1262964876400892</v>
      </c>
      <c r="AC35">
        <f t="shared" si="9"/>
        <v>-3.9944993677716729</v>
      </c>
      <c r="AD35">
        <f t="shared" si="9"/>
        <v>-3.8578239341788656</v>
      </c>
      <c r="AE35">
        <f t="shared" si="9"/>
        <v>-3.7177667633707663</v>
      </c>
      <c r="AF35">
        <f t="shared" si="9"/>
        <v>-3.5757301187671646</v>
      </c>
      <c r="AG35">
        <f t="shared" si="9"/>
        <v>-3.4330096973673632</v>
      </c>
      <c r="AH35">
        <f t="shared" si="9"/>
        <v>-3.2907858436164887</v>
      </c>
      <c r="AI35">
        <f t="shared" si="9"/>
        <v>-3.1501179921579801</v>
      </c>
    </row>
    <row r="36" spans="10:35" x14ac:dyDescent="0.25">
      <c r="J36" s="31">
        <f t="shared" ref="J36:J55" si="10">J35+$C$5</f>
        <v>0.34000000000000014</v>
      </c>
      <c r="K36">
        <f t="shared" si="8"/>
        <v>-4.1608588917967904</v>
      </c>
      <c r="L36">
        <f t="shared" si="8"/>
        <v>-4.3044315362382841</v>
      </c>
      <c r="M36">
        <f t="shared" si="8"/>
        <v>-4.4296700698076101</v>
      </c>
      <c r="N36">
        <f t="shared" si="8"/>
        <v>-4.5355689661012786</v>
      </c>
      <c r="O36">
        <f t="shared" si="8"/>
        <v>-4.6214385883612863</v>
      </c>
      <c r="P36">
        <f t="shared" si="8"/>
        <v>-4.6869050182302452</v>
      </c>
      <c r="Q36">
        <f t="shared" si="8"/>
        <v>-4.731902143592313</v>
      </c>
      <c r="R36">
        <f t="shared" si="8"/>
        <v>-4.7566568253363526</v>
      </c>
      <c r="S36">
        <f t="shared" si="8"/>
        <v>-4.7616681219664265</v>
      </c>
      <c r="T36">
        <f t="shared" si="8"/>
        <v>-4.7476816554776518</v>
      </c>
      <c r="U36">
        <f t="shared" si="9"/>
        <v>-4.7156602539912296</v>
      </c>
      <c r="V36">
        <f t="shared" si="9"/>
        <v>-4.666752010659037</v>
      </c>
      <c r="W36">
        <f t="shared" si="9"/>
        <v>-4.6022568602895069</v>
      </c>
      <c r="X36">
        <f t="shared" si="9"/>
        <v>-4.5235927020695401</v>
      </c>
      <c r="Y36">
        <f t="shared" si="9"/>
        <v>-4.4322619962728114</v>
      </c>
      <c r="Z36">
        <f t="shared" si="9"/>
        <v>-4.3298196426558704</v>
      </c>
      <c r="AA36">
        <f t="shared" si="9"/>
        <v>-4.2178428157576553</v>
      </c>
      <c r="AB36">
        <f t="shared" si="9"/>
        <v>-4.097903294343558</v>
      </c>
      <c r="AC36">
        <f t="shared" si="9"/>
        <v>-3.9715426847604416</v>
      </c>
      <c r="AD36">
        <f t="shared" si="9"/>
        <v>-3.8402508060234442</v>
      </c>
      <c r="AE36">
        <f t="shared" si="9"/>
        <v>-3.7054473820432099</v>
      </c>
      <c r="AF36">
        <f t="shared" si="9"/>
        <v>-3.568467076498762</v>
      </c>
      <c r="AG36">
        <f t="shared" si="9"/>
        <v>-3.4305478104596441</v>
      </c>
      <c r="AH36">
        <f t="shared" si="9"/>
        <v>-3.2928222230580362</v>
      </c>
      <c r="AI36">
        <f t="shared" si="9"/>
        <v>-3.1563120716182933</v>
      </c>
    </row>
    <row r="37" spans="10:35" x14ac:dyDescent="0.25">
      <c r="J37" s="31">
        <f t="shared" si="10"/>
        <v>0.35000000000000014</v>
      </c>
      <c r="K37">
        <f t="shared" si="8"/>
        <v>-4.1165840680231813</v>
      </c>
      <c r="L37">
        <f t="shared" si="8"/>
        <v>-4.2552710382445014</v>
      </c>
      <c r="M37">
        <f t="shared" si="8"/>
        <v>-4.3762978232008001</v>
      </c>
      <c r="N37">
        <f t="shared" si="8"/>
        <v>-4.4787376016353466</v>
      </c>
      <c r="O37">
        <f t="shared" si="8"/>
        <v>-4.5619587202199234</v>
      </c>
      <c r="P37">
        <f t="shared" si="8"/>
        <v>-4.6256237894906356</v>
      </c>
      <c r="Q37">
        <f t="shared" si="8"/>
        <v>-4.6696818102087088</v>
      </c>
      <c r="R37">
        <f t="shared" si="8"/>
        <v>-4.6943540862699793</v>
      </c>
      <c r="S37">
        <f t="shared" si="8"/>
        <v>-4.7001148153536789</v>
      </c>
      <c r="T37">
        <f t="shared" si="8"/>
        <v>-4.6876673357985652</v>
      </c>
      <c r="U37">
        <f t="shared" si="9"/>
        <v>-4.6579170499126681</v>
      </c>
      <c r="V37">
        <f t="shared" si="9"/>
        <v>-4.6119420440498615</v>
      </c>
      <c r="W37">
        <f t="shared" si="9"/>
        <v>-4.5509623896363935</v>
      </c>
      <c r="X37">
        <f t="shared" si="9"/>
        <v>-4.4763090430782961</v>
      </c>
      <c r="Y37">
        <f t="shared" si="9"/>
        <v>-4.3893931727274582</v>
      </c>
      <c r="Z37">
        <f t="shared" si="9"/>
        <v>-4.2916766344743058</v>
      </c>
      <c r="AA37">
        <f t="shared" si="9"/>
        <v>-4.1846442004357609</v>
      </c>
      <c r="AB37">
        <f t="shared" si="9"/>
        <v>-4.0697780234588317</v>
      </c>
      <c r="AC37">
        <f t="shared" si="9"/>
        <v>-3.9485346988957164</v>
      </c>
      <c r="AD37">
        <f t="shared" si="9"/>
        <v>-3.8223251686389852</v>
      </c>
      <c r="AE37">
        <f t="shared" si="9"/>
        <v>-3.6924976041750268</v>
      </c>
      <c r="AF37">
        <f t="shared" si="9"/>
        <v>-3.5603233079869043</v>
      </c>
      <c r="AG37">
        <f t="shared" si="9"/>
        <v>-3.4269855877453788</v>
      </c>
      <c r="AH37">
        <f t="shared" si="9"/>
        <v>-3.2935714863396566</v>
      </c>
      <c r="AI37">
        <f t="shared" si="9"/>
        <v>-3.1610661932179163</v>
      </c>
    </row>
    <row r="38" spans="10:35" x14ac:dyDescent="0.25">
      <c r="J38" s="31">
        <f t="shared" si="10"/>
        <v>0.36000000000000015</v>
      </c>
      <c r="K38">
        <f t="shared" si="8"/>
        <v>-4.0737750470831653</v>
      </c>
      <c r="L38">
        <f t="shared" si="8"/>
        <v>-4.2078843090463405</v>
      </c>
      <c r="M38">
        <f t="shared" si="8"/>
        <v>-4.3249674513213723</v>
      </c>
      <c r="N38">
        <f t="shared" si="8"/>
        <v>-4.4241686890784155</v>
      </c>
      <c r="O38">
        <f t="shared" si="8"/>
        <v>-4.5049085157935487</v>
      </c>
      <c r="P38">
        <f t="shared" si="8"/>
        <v>-4.5668822030274443</v>
      </c>
      <c r="Q38">
        <f t="shared" si="8"/>
        <v>-4.6100520089421115</v>
      </c>
      <c r="R38">
        <f t="shared" si="8"/>
        <v>-4.6346337936641273</v>
      </c>
      <c r="S38">
        <f t="shared" si="8"/>
        <v>-4.6410788545477262</v>
      </c>
      <c r="T38">
        <f t="shared" si="8"/>
        <v>-4.6300518674100326</v>
      </c>
      <c r="U38">
        <f t="shared" si="9"/>
        <v>-4.6024058530608327</v>
      </c>
      <c r="V38">
        <f t="shared" si="9"/>
        <v>-4.5591550855758713</v>
      </c>
      <c r="W38">
        <f t="shared" si="9"/>
        <v>-4.5014468244962478</v>
      </c>
      <c r="X38">
        <f t="shared" si="9"/>
        <v>-4.4305326928985913</v>
      </c>
      <c r="Y38">
        <f t="shared" si="9"/>
        <v>-4.3477404428195632</v>
      </c>
      <c r="Z38">
        <f t="shared" si="9"/>
        <v>-4.2544467545887477</v>
      </c>
      <c r="AA38">
        <f t="shared" si="9"/>
        <v>-4.1520516127228451</v>
      </c>
      <c r="AB38">
        <f t="shared" si="9"/>
        <v>-4.0419546931922792</v>
      </c>
      <c r="AC38">
        <f t="shared" si="9"/>
        <v>-3.9255340895074888</v>
      </c>
      <c r="AD38">
        <f t="shared" si="9"/>
        <v>-3.804127601899677</v>
      </c>
      <c r="AE38">
        <f t="shared" si="9"/>
        <v>-3.6790167178561108</v>
      </c>
      <c r="AF38">
        <f t="shared" si="9"/>
        <v>-3.5514133256334408</v>
      </c>
      <c r="AG38">
        <f t="shared" si="9"/>
        <v>-3.422449126622042</v>
      </c>
      <c r="AH38">
        <f t="shared" si="9"/>
        <v>-3.2931676484282342</v>
      </c>
      <c r="AI38">
        <f t="shared" si="9"/>
        <v>-3.1645187085647284</v>
      </c>
    </row>
    <row r="39" spans="10:35" x14ac:dyDescent="0.25">
      <c r="J39" s="31">
        <f t="shared" si="10"/>
        <v>0.37000000000000016</v>
      </c>
      <c r="K39">
        <f t="shared" si="8"/>
        <v>-4.0323555571407139</v>
      </c>
      <c r="L39">
        <f t="shared" si="8"/>
        <v>-4.1621680226702118</v>
      </c>
      <c r="M39">
        <f t="shared" si="8"/>
        <v>-4.2755517416855726</v>
      </c>
      <c r="N39">
        <f t="shared" si="8"/>
        <v>-4.3717152083157655</v>
      </c>
      <c r="O39">
        <f t="shared" si="8"/>
        <v>-4.4501259357373337</v>
      </c>
      <c r="P39">
        <f t="shared" si="8"/>
        <v>-4.5105084727015594</v>
      </c>
      <c r="Q39">
        <f t="shared" si="8"/>
        <v>-4.5528367272509396</v>
      </c>
      <c r="R39">
        <f t="shared" si="8"/>
        <v>-4.5773212428842589</v>
      </c>
      <c r="S39">
        <f t="shared" si="8"/>
        <v>-4.5843921704561046</v>
      </c>
      <c r="T39">
        <f t="shared" si="8"/>
        <v>-4.574678740217772</v>
      </c>
      <c r="U39">
        <f t="shared" si="9"/>
        <v>-4.5489860647165088</v>
      </c>
      <c r="V39">
        <f t="shared" si="9"/>
        <v>-4.5082700980991426</v>
      </c>
      <c r="W39">
        <f t="shared" si="9"/>
        <v>-4.4536115449343603</v>
      </c>
      <c r="X39">
        <f t="shared" si="9"/>
        <v>-4.3861894567511852</v>
      </c>
      <c r="Y39">
        <f t="shared" si="9"/>
        <v>-4.307255182113118</v>
      </c>
      <c r="Z39">
        <f t="shared" si="9"/>
        <v>-4.2181072512129392</v>
      </c>
      <c r="AA39">
        <f t="shared" si="9"/>
        <v>-4.1200676834455052</v>
      </c>
      <c r="AB39">
        <f t="shared" si="9"/>
        <v>-4.0144601105473772</v>
      </c>
      <c r="AC39">
        <f t="shared" si="9"/>
        <v>-3.9025900125005357</v>
      </c>
      <c r="AD39">
        <f t="shared" si="9"/>
        <v>-3.7857272716924433</v>
      </c>
      <c r="AE39">
        <f t="shared" si="9"/>
        <v>-3.6650911653733398</v>
      </c>
      <c r="AF39">
        <f t="shared" si="9"/>
        <v>-3.5418378391807295</v>
      </c>
      <c r="AG39">
        <f t="shared" si="9"/>
        <v>-3.4170502367272357</v>
      </c>
      <c r="AH39">
        <f t="shared" si="9"/>
        <v>-3.2917304027303933</v>
      </c>
      <c r="AI39">
        <f t="shared" si="9"/>
        <v>-3.1667940301687629</v>
      </c>
    </row>
    <row r="40" spans="10:35" x14ac:dyDescent="0.25">
      <c r="J40" s="31">
        <f t="shared" si="10"/>
        <v>0.38000000000000017</v>
      </c>
      <c r="K40">
        <f t="shared" si="8"/>
        <v>-3.9922544133391415</v>
      </c>
      <c r="L40">
        <f t="shared" si="8"/>
        <v>-4.1180269393271223</v>
      </c>
      <c r="M40">
        <f t="shared" si="8"/>
        <v>-4.2279342579469343</v>
      </c>
      <c r="N40">
        <f t="shared" si="8"/>
        <v>-4.3212431685482349</v>
      </c>
      <c r="O40">
        <f t="shared" si="8"/>
        <v>-4.3974636852492539</v>
      </c>
      <c r="P40">
        <f t="shared" si="8"/>
        <v>-4.456346663724541</v>
      </c>
      <c r="Q40">
        <f t="shared" si="8"/>
        <v>-4.4978762648061394</v>
      </c>
      <c r="R40">
        <f t="shared" si="8"/>
        <v>-4.5222578519844978</v>
      </c>
      <c r="S40">
        <f t="shared" si="8"/>
        <v>-4.5299020036473614</v>
      </c>
      <c r="T40">
        <f t="shared" si="8"/>
        <v>-4.5214053720700988</v>
      </c>
      <c r="U40">
        <f t="shared" si="9"/>
        <v>-4.4975291417817393</v>
      </c>
      <c r="V40">
        <f t="shared" si="9"/>
        <v>-4.4591758330190876</v>
      </c>
      <c r="W40">
        <f t="shared" si="9"/>
        <v>-4.407365165319499</v>
      </c>
      <c r="X40">
        <f t="shared" si="9"/>
        <v>-4.343209646111073</v>
      </c>
      <c r="Y40">
        <f t="shared" si="9"/>
        <v>-4.2678904838435425</v>
      </c>
      <c r="Z40">
        <f t="shared" si="9"/>
        <v>-4.1826343491317957</v>
      </c>
      <c r="AA40">
        <f t="shared" si="9"/>
        <v>-4.0886914247013459</v>
      </c>
      <c r="AB40">
        <f t="shared" si="9"/>
        <v>-3.9873150994093773</v>
      </c>
      <c r="AC40">
        <f t="shared" si="9"/>
        <v>-3.8797435765782038</v>
      </c>
      <c r="AD40">
        <f t="shared" si="9"/>
        <v>-3.7671835851036302</v>
      </c>
      <c r="AE40">
        <f t="shared" si="9"/>
        <v>-3.6507963055179706</v>
      </c>
      <c r="AF40">
        <f t="shared" si="9"/>
        <v>-3.5316855540734662</v>
      </c>
      <c r="AG40">
        <f t="shared" si="9"/>
        <v>-3.4108882071187017</v>
      </c>
      <c r="AH40">
        <f t="shared" si="9"/>
        <v>-3.2893667962400555</v>
      </c>
      <c r="AI40">
        <f t="shared" si="9"/>
        <v>-3.1680041620802135</v>
      </c>
    </row>
    <row r="41" spans="10:35" x14ac:dyDescent="0.25">
      <c r="J41" s="31">
        <f t="shared" si="10"/>
        <v>0.39000000000000018</v>
      </c>
      <c r="K41">
        <f t="shared" si="8"/>
        <v>-3.95340513839029</v>
      </c>
      <c r="L41">
        <f t="shared" si="8"/>
        <v>-4.075373128515162</v>
      </c>
      <c r="M41">
        <f t="shared" si="8"/>
        <v>-4.1820082005398103</v>
      </c>
      <c r="N41">
        <f t="shared" si="8"/>
        <v>-4.2726301619501079</v>
      </c>
      <c r="O41">
        <f t="shared" si="8"/>
        <v>-4.3467875327120549</v>
      </c>
      <c r="P41">
        <f t="shared" si="8"/>
        <v>-4.4042548599367048</v>
      </c>
      <c r="Q41">
        <f t="shared" si="8"/>
        <v>-4.4450253394465316</v>
      </c>
      <c r="R41">
        <f t="shared" si="8"/>
        <v>-4.4692992973848167</v>
      </c>
      <c r="S41">
        <f t="shared" si="8"/>
        <v>-4.4774691566782439</v>
      </c>
      <c r="T41">
        <f t="shared" si="8"/>
        <v>-4.4701015559992738</v>
      </c>
      <c r="U41">
        <f t="shared" si="9"/>
        <v>-4.4479173047983389</v>
      </c>
      <c r="V41">
        <f t="shared" si="9"/>
        <v>-4.4117698497642444</v>
      </c>
      <c r="W41">
        <f t="shared" si="9"/>
        <v>-4.3626228991047205</v>
      </c>
      <c r="X41">
        <f t="shared" si="9"/>
        <v>-4.3015278050573826</v>
      </c>
      <c r="Y41">
        <f t="shared" si="9"/>
        <v>-4.2296012459216925</v>
      </c>
      <c r="Z41">
        <f t="shared" si="9"/>
        <v>-4.1480036804707181</v>
      </c>
      <c r="AA41">
        <f t="shared" si="9"/>
        <v>-4.0579189734758581</v>
      </c>
      <c r="AB41">
        <f t="shared" si="9"/>
        <v>-3.9605355145507657</v>
      </c>
      <c r="AC41">
        <f t="shared" si="9"/>
        <v>-3.8570290764748889</v>
      </c>
      <c r="AD41">
        <f t="shared" si="9"/>
        <v>-3.7485475860152713</v>
      </c>
      <c r="AE41">
        <f t="shared" si="9"/>
        <v>-3.6361979119690084</v>
      </c>
      <c r="AF41">
        <f t="shared" si="9"/>
        <v>-3.5210347131622277</v>
      </c>
      <c r="AG41">
        <f t="shared" si="9"/>
        <v>-3.4040513344748153</v>
      </c>
      <c r="AH41">
        <f t="shared" si="9"/>
        <v>-3.2861726922084831</v>
      </c>
      <c r="AI41">
        <f t="shared" si="9"/>
        <v>-3.1682500515073269</v>
      </c>
    </row>
    <row r="42" spans="10:35" x14ac:dyDescent="0.25">
      <c r="J42" s="31">
        <f t="shared" si="10"/>
        <v>0.40000000000000019</v>
      </c>
      <c r="K42">
        <f t="shared" si="8"/>
        <v>-3.9157456088039839</v>
      </c>
      <c r="L42">
        <f t="shared" si="8"/>
        <v>-4.0341252785969521</v>
      </c>
      <c r="M42">
        <f t="shared" si="8"/>
        <v>-4.1376754102317026</v>
      </c>
      <c r="N42">
        <f t="shared" si="8"/>
        <v>-4.2257641085908118</v>
      </c>
      <c r="O42">
        <f t="shared" si="8"/>
        <v>-4.2979748568609555</v>
      </c>
      <c r="P42">
        <f t="shared" si="8"/>
        <v>-4.3541035836144424</v>
      </c>
      <c r="Q42">
        <f t="shared" si="8"/>
        <v>-4.394151455200201</v>
      </c>
      <c r="R42">
        <f t="shared" si="8"/>
        <v>-4.4183139064625374</v>
      </c>
      <c r="S42">
        <f t="shared" si="8"/>
        <v>-4.4269664842145469</v>
      </c>
      <c r="T42">
        <f t="shared" si="8"/>
        <v>-4.4206481137195803</v>
      </c>
      <c r="U42">
        <f t="shared" si="9"/>
        <v>-4.4000424104978233</v>
      </c>
      <c r="V42">
        <f t="shared" si="9"/>
        <v>-4.3659576506139821</v>
      </c>
      <c r="W42">
        <f t="shared" si="9"/>
        <v>-4.3193059852508506</v>
      </c>
      <c r="X42">
        <f t="shared" si="9"/>
        <v>-4.2610824431550736</v>
      </c>
      <c r="Y42">
        <f t="shared" si="9"/>
        <v>-4.1923442108785016</v>
      </c>
      <c r="Z42">
        <f t="shared" si="9"/>
        <v>-4.1141906189928088</v>
      </c>
      <c r="AA42">
        <f t="shared" si="9"/>
        <v>-4.0277441957967675</v>
      </c>
      <c r="AB42">
        <f t="shared" si="9"/>
        <v>-3.9341330813428135</v>
      </c>
      <c r="AC42">
        <f t="shared" si="9"/>
        <v>-3.8344750264003151</v>
      </c>
      <c r="AD42">
        <f t="shared" si="9"/>
        <v>-3.7298631353622547</v>
      </c>
      <c r="AE42">
        <f t="shared" si="9"/>
        <v>-3.6213534507863212</v>
      </c>
      <c r="AF42">
        <f t="shared" si="9"/>
        <v>-3.5099544215224907</v>
      </c>
      <c r="AG42">
        <f t="shared" si="9"/>
        <v>-3.396618247104445</v>
      </c>
      <c r="AH42">
        <f t="shared" si="9"/>
        <v>-3.2822340487994959</v>
      </c>
      <c r="AI42">
        <f t="shared" si="9"/>
        <v>-3.1676227826297838</v>
      </c>
    </row>
    <row r="43" spans="10:35" x14ac:dyDescent="0.25">
      <c r="J43" s="31">
        <f t="shared" si="10"/>
        <v>0.4100000000000002</v>
      </c>
      <c r="K43">
        <f t="shared" ref="K43:T55" si="11">(-K$2*_xlfn.NORM.S.DIST((LN(K$2/$B$59)+($F$61+$F$60^2/2)*$J43)/($F$60*SQRT($J43)),0)*$F$60/(2*SQRT($J43)))-(($F$61*$B$59*EXP(-$F$61*$J43))*_xlfn.NORM.S.DIST(((LN(K$2/$B$59)+($F$61+$F$60^2/2)*$J43)/($F$60*SQRT($J43)))-($F$60*SQRT($J43)),1))</f>
        <v>-3.8792177266061416</v>
      </c>
      <c r="L43">
        <f t="shared" si="11"/>
        <v>-3.9942080822047532</v>
      </c>
      <c r="M43">
        <f t="shared" si="11"/>
        <v>-4.0948454940275818</v>
      </c>
      <c r="N43">
        <f t="shared" si="11"/>
        <v>-4.1805421634708022</v>
      </c>
      <c r="O43">
        <f t="shared" si="11"/>
        <v>-4.2509133866590014</v>
      </c>
      <c r="P43">
        <f t="shared" si="11"/>
        <v>-4.3057744276866812</v>
      </c>
      <c r="Q43">
        <f t="shared" si="11"/>
        <v>-4.3451334905670915</v>
      </c>
      <c r="R43">
        <f t="shared" si="11"/>
        <v>-4.3691812662366143</v>
      </c>
      <c r="S43">
        <f t="shared" si="11"/>
        <v>-4.3782775836349739</v>
      </c>
      <c r="T43">
        <f t="shared" si="11"/>
        <v>-4.3729357238006594</v>
      </c>
      <c r="U43">
        <f t="shared" ref="U43:AI55" si="12">(-U$2*_xlfn.NORM.S.DIST((LN(U$2/$B$59)+($F$61+$F$60^2/2)*$J43)/($F$60*SQRT($J43)),0)*$F$60/(2*SQRT($J43)))-(($F$61*$B$59*EXP(-$F$61*$J43))*_xlfn.NORM.S.DIST(((LN(U$2/$B$59)+($F$61+$F$60^2/2)*$J43)/($F$60*SQRT($J43)))-($F$60*SQRT($J43)),1))</f>
        <v>-4.3538049648044153</v>
      </c>
      <c r="V43">
        <f t="shared" si="12"/>
        <v>-4.3216519155110857</v>
      </c>
      <c r="W43">
        <f t="shared" si="12"/>
        <v>-4.2773411703414794</v>
      </c>
      <c r="X43">
        <f t="shared" si="12"/>
        <v>-4.2218157783614263</v>
      </c>
      <c r="Y43">
        <f t="shared" si="12"/>
        <v>-4.1560779711854732</v>
      </c>
      <c r="Z43">
        <f t="shared" si="12"/>
        <v>-4.0811705383107553</v>
      </c>
      <c r="AA43">
        <f t="shared" si="12"/>
        <v>-3.9981591783787698</v>
      </c>
      <c r="AB43">
        <f t="shared" si="12"/>
        <v>-3.9081160930235819</v>
      </c>
      <c r="AC43">
        <f t="shared" si="12"/>
        <v>-3.8121050286102607</v>
      </c>
      <c r="AD43">
        <f t="shared" si="12"/>
        <v>-3.7111679121494858</v>
      </c>
      <c r="AE43">
        <f t="shared" si="12"/>
        <v>-3.6063131724799251</v>
      </c>
      <c r="AF43">
        <f t="shared" si="12"/>
        <v>-3.4985057875637162</v>
      </c>
      <c r="AG43">
        <f t="shared" si="12"/>
        <v>-3.3886590542240675</v>
      </c>
      <c r="AH43">
        <f t="shared" si="12"/>
        <v>-3.2776280383356551</v>
      </c>
      <c r="AI43">
        <f t="shared" si="12"/>
        <v>-3.1662046315487102</v>
      </c>
    </row>
    <row r="44" spans="10:35" x14ac:dyDescent="0.25">
      <c r="J44" s="31">
        <f t="shared" si="10"/>
        <v>0.42000000000000021</v>
      </c>
      <c r="K44">
        <f t="shared" si="11"/>
        <v>-3.843767115770329</v>
      </c>
      <c r="L44">
        <f t="shared" si="11"/>
        <v>-3.9555516882076125</v>
      </c>
      <c r="M44">
        <f t="shared" si="11"/>
        <v>-4.0534350561787802</v>
      </c>
      <c r="N44">
        <f t="shared" si="11"/>
        <v>-4.1368697615234282</v>
      </c>
      <c r="O44">
        <f t="shared" si="11"/>
        <v>-4.2055001043861742</v>
      </c>
      <c r="P44">
        <f t="shared" si="11"/>
        <v>-4.2591588674199432</v>
      </c>
      <c r="Q44">
        <f t="shared" si="11"/>
        <v>-4.2978604727687237</v>
      </c>
      <c r="R44">
        <f t="shared" si="11"/>
        <v>-4.3217910146290128</v>
      </c>
      <c r="S44">
        <f t="shared" si="11"/>
        <v>-4.3312956554021493</v>
      </c>
      <c r="T44">
        <f t="shared" si="11"/>
        <v>-4.3268638983796928</v>
      </c>
      <c r="U44">
        <f t="shared" si="12"/>
        <v>-4.309113256166591</v>
      </c>
      <c r="V44">
        <f t="shared" si="12"/>
        <v>-4.278771823763508</v>
      </c>
      <c r="W44">
        <f t="shared" si="12"/>
        <v>-4.236660240860509</v>
      </c>
      <c r="X44">
        <f t="shared" si="12"/>
        <v>-4.1836734920834777</v>
      </c>
      <c r="Y44">
        <f t="shared" si="12"/>
        <v>-4.1207629493726889</v>
      </c>
      <c r="Z44">
        <f t="shared" si="12"/>
        <v>-4.04891900997956</v>
      </c>
      <c r="AA44">
        <f t="shared" si="12"/>
        <v>-3.9691546291990711</v>
      </c>
      <c r="AB44">
        <f t="shared" si="12"/>
        <v>-3.882489991132434</v>
      </c>
      <c r="AC44">
        <f t="shared" si="12"/>
        <v>-3.7899385054360879</v>
      </c>
      <c r="AD44">
        <f t="shared" si="12"/>
        <v>-3.6924942647856636</v>
      </c>
      <c r="AE44">
        <f t="shared" si="12"/>
        <v>-3.5911210479736839</v>
      </c>
      <c r="AF44">
        <f t="shared" si="12"/>
        <v>-3.4867429081567898</v>
      </c>
      <c r="AG44">
        <f t="shared" si="12"/>
        <v>-3.3802363454619919</v>
      </c>
      <c r="AH44">
        <f t="shared" si="12"/>
        <v>-3.2724240283677872</v>
      </c>
      <c r="AI44">
        <f t="shared" si="12"/>
        <v>-3.1640699991678227</v>
      </c>
    </row>
    <row r="45" spans="10:35" x14ac:dyDescent="0.25">
      <c r="J45" s="31">
        <f t="shared" si="10"/>
        <v>0.43000000000000022</v>
      </c>
      <c r="K45">
        <f t="shared" si="11"/>
        <v>-3.8093428422071263</v>
      </c>
      <c r="L45">
        <f t="shared" si="11"/>
        <v>-3.9180912121812201</v>
      </c>
      <c r="M45">
        <f t="shared" si="11"/>
        <v>-4.0133670197732894</v>
      </c>
      <c r="N45">
        <f t="shared" si="11"/>
        <v>-4.0946597804866069</v>
      </c>
      <c r="O45">
        <f t="shared" si="11"/>
        <v>-4.1616402875363301</v>
      </c>
      <c r="P45">
        <f t="shared" si="11"/>
        <v>-4.2141572243886545</v>
      </c>
      <c r="Q45">
        <f t="shared" si="11"/>
        <v>-4.2522305096881814</v>
      </c>
      <c r="R45">
        <f t="shared" si="11"/>
        <v>-4.2760417866459521</v>
      </c>
      <c r="S45">
        <f t="shared" si="11"/>
        <v>-4.285922507789242</v>
      </c>
      <c r="T45">
        <f t="shared" si="11"/>
        <v>-4.2823400866823178</v>
      </c>
      <c r="U45">
        <f t="shared" si="12"/>
        <v>-4.2658825923308799</v>
      </c>
      <c r="V45">
        <f t="shared" si="12"/>
        <v>-4.2372424514233549</v>
      </c>
      <c r="W45">
        <f t="shared" si="12"/>
        <v>-4.1971996005607837</v>
      </c>
      <c r="X45">
        <f t="shared" si="12"/>
        <v>-4.1466044975510687</v>
      </c>
      <c r="Y45">
        <f t="shared" si="12"/>
        <v>-4.0863613600877349</v>
      </c>
      <c r="Z45">
        <f t="shared" si="12"/>
        <v>-4.0174119540209983</v>
      </c>
      <c r="AA45">
        <f t="shared" si="12"/>
        <v>-3.9407202041310159</v>
      </c>
      <c r="AB45">
        <f t="shared" si="12"/>
        <v>-3.8572578497895282</v>
      </c>
      <c r="AC45">
        <f t="shared" si="12"/>
        <v>-3.7679913178548885</v>
      </c>
      <c r="AD45">
        <f t="shared" si="12"/>
        <v>-3.6738699370198598</v>
      </c>
      <c r="AE45">
        <f t="shared" si="12"/>
        <v>-3.5758155727721093</v>
      </c>
      <c r="AF45">
        <f t="shared" si="12"/>
        <v>-3.4747137210068462</v>
      </c>
      <c r="AG45">
        <f t="shared" si="12"/>
        <v>-3.3714060617591581</v>
      </c>
      <c r="AH45">
        <f t="shared" si="12"/>
        <v>-3.2666844428702908</v>
      </c>
      <c r="AI45">
        <f t="shared" si="12"/>
        <v>-3.1612862368239756</v>
      </c>
    </row>
    <row r="46" spans="10:35" x14ac:dyDescent="0.25">
      <c r="J46" s="31">
        <f t="shared" si="10"/>
        <v>0.44000000000000022</v>
      </c>
      <c r="K46">
        <f t="shared" si="11"/>
        <v>-3.7758971559416072</v>
      </c>
      <c r="L46">
        <f t="shared" si="11"/>
        <v>-3.881766298369782</v>
      </c>
      <c r="M46">
        <f t="shared" si="11"/>
        <v>-3.9745700266351682</v>
      </c>
      <c r="N46">
        <f t="shared" si="11"/>
        <v>-4.0538318048475075</v>
      </c>
      <c r="O46">
        <f t="shared" si="11"/>
        <v>-4.1192466692317984</v>
      </c>
      <c r="P46">
        <f t="shared" si="11"/>
        <v>-4.1706777601902276</v>
      </c>
      <c r="Q46">
        <f t="shared" si="11"/>
        <v>-4.2081498560713921</v>
      </c>
      <c r="R46">
        <f t="shared" si="11"/>
        <v>-4.2318402925460585</v>
      </c>
      <c r="S46">
        <f t="shared" si="11"/>
        <v>-4.2420676848402712</v>
      </c>
      <c r="T46">
        <f t="shared" si="11"/>
        <v>-4.2392788872058533</v>
      </c>
      <c r="U46">
        <f t="shared" si="12"/>
        <v>-4.2240346263351372</v>
      </c>
      <c r="V46">
        <f t="shared" si="12"/>
        <v>-4.1969942347289573</v>
      </c>
      <c r="W46">
        <f t="shared" si="12"/>
        <v>-4.1588998883137558</v>
      </c>
      <c r="X46">
        <f t="shared" si="12"/>
        <v>-4.1105607219993416</v>
      </c>
      <c r="Y46">
        <f t="shared" si="12"/>
        <v>-4.0528371595106076</v>
      </c>
      <c r="Z46">
        <f t="shared" si="12"/>
        <v>-3.9866257517794654</v>
      </c>
      <c r="AA46">
        <f t="shared" si="12"/>
        <v>-3.9128447733718921</v>
      </c>
      <c r="AB46">
        <f t="shared" si="12"/>
        <v>-3.8324207805836608</v>
      </c>
      <c r="AC46">
        <f t="shared" si="12"/>
        <v>-3.7462762894760444</v>
      </c>
      <c r="AD46">
        <f t="shared" si="12"/>
        <v>-3.6553186885055178</v>
      </c>
      <c r="AE46">
        <f t="shared" si="12"/>
        <v>-3.5604304595452367</v>
      </c>
      <c r="AF46">
        <f t="shared" si="12"/>
        <v>-3.4624607437722688</v>
      </c>
      <c r="AG46">
        <f t="shared" si="12"/>
        <v>-3.3622182556433371</v>
      </c>
      <c r="AH46">
        <f t="shared" si="12"/>
        <v>-3.2604655193323238</v>
      </c>
      <c r="AI46">
        <f t="shared" si="12"/>
        <v>-3.1579143776967875</v>
      </c>
    </row>
    <row r="47" spans="10:35" x14ac:dyDescent="0.25">
      <c r="J47" s="31">
        <f t="shared" si="10"/>
        <v>0.45000000000000023</v>
      </c>
      <c r="K47">
        <f t="shared" si="11"/>
        <v>-3.7433852540082588</v>
      </c>
      <c r="L47">
        <f t="shared" si="11"/>
        <v>-3.8465207270383095</v>
      </c>
      <c r="M47">
        <f t="shared" si="11"/>
        <v>-3.9369779051275509</v>
      </c>
      <c r="N47">
        <f t="shared" si="11"/>
        <v>-4.0143114767628232</v>
      </c>
      <c r="O47">
        <f t="shared" si="11"/>
        <v>-4.0782387002119735</v>
      </c>
      <c r="P47">
        <f t="shared" si="11"/>
        <v>-4.1286358811285098</v>
      </c>
      <c r="Q47">
        <f t="shared" si="11"/>
        <v>-4.1655320944877339</v>
      </c>
      <c r="R47">
        <f t="shared" si="11"/>
        <v>-4.1891005088924835</v>
      </c>
      <c r="S47">
        <f t="shared" si="11"/>
        <v>-4.1996476999293701</v>
      </c>
      <c r="T47">
        <f t="shared" si="11"/>
        <v>-4.1976013533474488</v>
      </c>
      <c r="U47">
        <f t="shared" si="12"/>
        <v>-4.1834967596982295</v>
      </c>
      <c r="V47">
        <f t="shared" si="12"/>
        <v>-4.1579624913484965</v>
      </c>
      <c r="W47">
        <f t="shared" si="12"/>
        <v>-4.1217056322760071</v>
      </c>
      <c r="X47">
        <f t="shared" si="12"/>
        <v>-4.0754969026928389</v>
      </c>
      <c r="Y47">
        <f t="shared" si="12"/>
        <v>-4.0201559862241982</v>
      </c>
      <c r="Z47">
        <f t="shared" si="12"/>
        <v>-3.9565373289419288</v>
      </c>
      <c r="AA47">
        <f t="shared" si="12"/>
        <v>-3.8855166387227809</v>
      </c>
      <c r="AB47">
        <f t="shared" si="12"/>
        <v>-3.8079782717096209</v>
      </c>
      <c r="AC47">
        <f t="shared" si="12"/>
        <v>-3.724803651436698</v>
      </c>
      <c r="AD47">
        <f t="shared" si="12"/>
        <v>-3.636860826558109</v>
      </c>
      <c r="AE47">
        <f t="shared" si="12"/>
        <v>-3.5449952359915091</v>
      </c>
      <c r="AF47">
        <f t="shared" si="12"/>
        <v>-3.4500217163400957</v>
      </c>
      <c r="AG47">
        <f t="shared" si="12"/>
        <v>-3.3527177561642856</v>
      </c>
      <c r="AH47">
        <f t="shared" si="12"/>
        <v>-3.2538179753335843</v>
      </c>
      <c r="AI47">
        <f t="shared" si="12"/>
        <v>-3.1540097854269518</v>
      </c>
    </row>
    <row r="48" spans="10:35" x14ac:dyDescent="0.25">
      <c r="J48" s="31">
        <f t="shared" si="10"/>
        <v>0.46000000000000024</v>
      </c>
      <c r="K48">
        <f t="shared" si="11"/>
        <v>-3.7117650625673408</v>
      </c>
      <c r="L48">
        <f t="shared" si="11"/>
        <v>-3.8123020619006045</v>
      </c>
      <c r="M48">
        <f t="shared" si="11"/>
        <v>-3.9005291970074669</v>
      </c>
      <c r="N48">
        <f t="shared" si="11"/>
        <v>-3.9760299220759068</v>
      </c>
      <c r="O48">
        <f t="shared" si="11"/>
        <v>-4.0385418981867875</v>
      </c>
      <c r="P48">
        <f t="shared" si="11"/>
        <v>-4.0879534381563412</v>
      </c>
      <c r="Q48">
        <f t="shared" si="11"/>
        <v>-4.1242974147452882</v>
      </c>
      <c r="R48">
        <f t="shared" si="11"/>
        <v>-4.1477429665069208</v>
      </c>
      <c r="S48">
        <f t="shared" si="11"/>
        <v>-4.158585360133003</v>
      </c>
      <c r="T48">
        <f t="shared" si="11"/>
        <v>-4.1572343796647457</v>
      </c>
      <c r="U48">
        <f t="shared" si="12"/>
        <v>-4.1442016126068513</v>
      </c>
      <c r="V48">
        <f t="shared" si="12"/>
        <v>-4.1200869923104868</v>
      </c>
      <c r="W48">
        <f t="shared" si="12"/>
        <v>-4.0855649366282396</v>
      </c>
      <c r="X48">
        <f t="shared" si="12"/>
        <v>-4.0413703965118737</v>
      </c>
      <c r="Y48">
        <f t="shared" si="12"/>
        <v>-3.9882850966364609</v>
      </c>
      <c r="Z48">
        <f t="shared" si="12"/>
        <v>-3.9271242149363577</v>
      </c>
      <c r="AA48">
        <f t="shared" si="12"/>
        <v>-3.858723710653619</v>
      </c>
      <c r="AB48">
        <f t="shared" si="12"/>
        <v>-3.7839284724959308</v>
      </c>
      <c r="AC48">
        <f t="shared" si="12"/>
        <v>-3.7035814209663838</v>
      </c>
      <c r="AD48">
        <f t="shared" si="12"/>
        <v>-3.6185136628560874</v>
      </c>
      <c r="AE48">
        <f t="shared" si="12"/>
        <v>-3.5295357620806254</v>
      </c>
      <c r="AF48">
        <f t="shared" si="12"/>
        <v>-3.4374301600996073</v>
      </c>
      <c r="AG48">
        <f t="shared" si="12"/>
        <v>-3.342944751510796</v>
      </c>
      <c r="AH48">
        <f t="shared" si="12"/>
        <v>-3.246787596318311</v>
      </c>
      <c r="AI48">
        <f t="shared" si="12"/>
        <v>-3.1496227299535362</v>
      </c>
    </row>
    <row r="49" spans="1:35" x14ac:dyDescent="0.25">
      <c r="J49" s="31">
        <f t="shared" si="10"/>
        <v>0.47000000000000025</v>
      </c>
      <c r="K49">
        <f t="shared" si="11"/>
        <v>-3.6809970367708567</v>
      </c>
      <c r="L49">
        <f t="shared" si="11"/>
        <v>-3.7790613329886771</v>
      </c>
      <c r="M49">
        <f t="shared" si="11"/>
        <v>-3.8651667357784372</v>
      </c>
      <c r="N49">
        <f t="shared" si="11"/>
        <v>-3.9389232413834621</v>
      </c>
      <c r="O49">
        <f t="shared" si="11"/>
        <v>-4.00008727259089</v>
      </c>
      <c r="P49">
        <f t="shared" si="11"/>
        <v>-4.0485581088794831</v>
      </c>
      <c r="Q49">
        <f t="shared" si="11"/>
        <v>-4.0843719780719114</v>
      </c>
      <c r="R49">
        <f t="shared" si="11"/>
        <v>-4.1076941218987733</v>
      </c>
      <c r="S49">
        <f t="shared" si="11"/>
        <v>-4.1188091689674895</v>
      </c>
      <c r="T49">
        <f t="shared" si="11"/>
        <v>-4.1181101579401407</v>
      </c>
      <c r="U49">
        <f t="shared" si="12"/>
        <v>-4.1060865524181267</v>
      </c>
      <c r="V49">
        <f t="shared" si="12"/>
        <v>-4.0833115784806715</v>
      </c>
      <c r="W49">
        <f t="shared" si="12"/>
        <v>-4.0504291975305318</v>
      </c>
      <c r="X49">
        <f t="shared" si="12"/>
        <v>-4.0081410026178954</v>
      </c>
      <c r="Y49">
        <f t="shared" si="12"/>
        <v>-3.957193297282958</v>
      </c>
      <c r="Z49">
        <f t="shared" si="12"/>
        <v>-3.8983645836512055</v>
      </c>
      <c r="AA49">
        <f t="shared" si="12"/>
        <v>-3.8324536523943351</v>
      </c>
      <c r="AB49">
        <f t="shared" si="12"/>
        <v>-3.7602684324533704</v>
      </c>
      <c r="AC49">
        <f t="shared" si="12"/>
        <v>-3.6826157241660922</v>
      </c>
      <c r="AD49">
        <f t="shared" si="12"/>
        <v>-3.6002919065330525</v>
      </c>
      <c r="AE49">
        <f t="shared" si="12"/>
        <v>-3.5140746785047314</v>
      </c>
      <c r="AF49">
        <f t="shared" si="12"/>
        <v>-3.4247158659166543</v>
      </c>
      <c r="AG49">
        <f t="shared" si="12"/>
        <v>-3.3329353004185331</v>
      </c>
      <c r="AH49">
        <f t="shared" si="12"/>
        <v>-3.2394157546716116</v>
      </c>
      <c r="AI49">
        <f t="shared" si="12"/>
        <v>-3.1447988993291425</v>
      </c>
    </row>
    <row r="50" spans="1:35" x14ac:dyDescent="0.25">
      <c r="J50" s="31">
        <f t="shared" si="10"/>
        <v>0.48000000000000026</v>
      </c>
      <c r="K50">
        <f t="shared" si="11"/>
        <v>-3.6510439769619718</v>
      </c>
      <c r="L50">
        <f t="shared" si="11"/>
        <v>-3.7467527509177145</v>
      </c>
      <c r="M50">
        <f t="shared" si="11"/>
        <v>-3.8308372700744151</v>
      </c>
      <c r="N50">
        <f t="shared" si="11"/>
        <v>-3.9029320576228028</v>
      </c>
      <c r="O50">
        <f t="shared" si="11"/>
        <v>-3.9628108146256729</v>
      </c>
      <c r="P50">
        <f t="shared" si="11"/>
        <v>-4.0103828504899619</v>
      </c>
      <c r="Q50">
        <f t="shared" si="11"/>
        <v>-4.0456873545235235</v>
      </c>
      <c r="R50">
        <f t="shared" si="11"/>
        <v>-4.0688858008446367</v>
      </c>
      <c r="S50">
        <f t="shared" si="11"/>
        <v>-4.080252796971978</v>
      </c>
      <c r="T50">
        <f t="shared" si="11"/>
        <v>-4.0801656938625213</v>
      </c>
      <c r="U50">
        <f t="shared" si="12"/>
        <v>-4.0690932730645137</v>
      </c>
      <c r="V50">
        <f t="shared" si="12"/>
        <v>-4.0475838162738702</v>
      </c>
      <c r="W50">
        <f t="shared" si="12"/>
        <v>-4.0162528452920547</v>
      </c>
      <c r="X50">
        <f t="shared" si="12"/>
        <v>-3.9757707975877743</v>
      </c>
      <c r="Y50">
        <f t="shared" si="12"/>
        <v>-3.9268508757508163</v>
      </c>
      <c r="Z50">
        <f t="shared" si="12"/>
        <v>-3.8702372794152535</v>
      </c>
      <c r="AA50">
        <f t="shared" si="12"/>
        <v>-3.8066939969394817</v>
      </c>
      <c r="AB50">
        <f t="shared" si="12"/>
        <v>-3.7369943023517087</v>
      </c>
      <c r="AC50">
        <f t="shared" si="12"/>
        <v>-3.661911071744703</v>
      </c>
      <c r="AD50">
        <f t="shared" si="12"/>
        <v>-3.5822080032214716</v>
      </c>
      <c r="AE50">
        <f t="shared" si="12"/>
        <v>-3.4986317962864781</v>
      </c>
      <c r="AF50">
        <f t="shared" si="12"/>
        <v>-3.4119053207258196</v>
      </c>
      <c r="AG50">
        <f t="shared" si="12"/>
        <v>-3.3227217818628239</v>
      </c>
      <c r="AH50">
        <f t="shared" si="12"/>
        <v>-3.2317398688215246</v>
      </c>
      <c r="AI50">
        <f t="shared" si="12"/>
        <v>-3.1395798551730967</v>
      </c>
    </row>
    <row r="51" spans="1:35" x14ac:dyDescent="0.25">
      <c r="J51" s="31">
        <f t="shared" si="10"/>
        <v>0.49000000000000027</v>
      </c>
      <c r="K51">
        <f t="shared" si="11"/>
        <v>-3.6218708598661116</v>
      </c>
      <c r="L51">
        <f t="shared" si="11"/>
        <v>-3.7153334490095871</v>
      </c>
      <c r="M51">
        <f>(-M$2*_xlfn.NORM.S.DIST((LN(M$2/$B$59)+($F$61+$F$60^2/2)*$J51)/($F$60*SQRT($J51)),0)*$F$60/(2*SQRT($J51)))-(($F$61*$B$59*EXP(-$F$61*$J51))*_xlfn.NORM.S.DIST(((LN(M$2/$B$59)+($F$61+$F$60^2/2)*$J51)/($F$60*SQRT($J51)))-($F$60*SQRT($J51)),1))</f>
        <v>-3.7974911265231945</v>
      </c>
      <c r="N51">
        <f t="shared" si="11"/>
        <v>-3.8680011129143081</v>
      </c>
      <c r="O51">
        <f t="shared" si="11"/>
        <v>-3.9266530440095382</v>
      </c>
      <c r="P51">
        <f t="shared" si="11"/>
        <v>-3.973365414203831</v>
      </c>
      <c r="Q51">
        <f t="shared" si="11"/>
        <v>-4.0081800238562408</v>
      </c>
      <c r="R51">
        <f t="shared" si="11"/>
        <v>-4.031254704529907</v>
      </c>
      <c r="S51">
        <f t="shared" si="11"/>
        <v>-4.0428546112134729</v>
      </c>
      <c r="T51">
        <f t="shared" si="11"/>
        <v>-4.0433423765065921</v>
      </c>
      <c r="U51">
        <f t="shared" si="12"/>
        <v>-4.0331674190105193</v>
      </c>
      <c r="V51">
        <f t="shared" si="12"/>
        <v>-4.0128546879963292</v>
      </c>
      <c r="W51">
        <f t="shared" si="12"/>
        <v>-3.9829931100744993</v>
      </c>
      <c r="X51">
        <f t="shared" si="12"/>
        <v>-3.9442239823346528</v>
      </c>
      <c r="Y51">
        <f t="shared" si="12"/>
        <v>-3.8972295315147609</v>
      </c>
      <c r="Z51">
        <f t="shared" si="12"/>
        <v>-3.8427218313831779</v>
      </c>
      <c r="AA51">
        <f t="shared" si="12"/>
        <v>-3.7814322417675124</v>
      </c>
      <c r="AB51">
        <f t="shared" si="12"/>
        <v>-3.7141015035171092</v>
      </c>
      <c r="AC51">
        <f t="shared" si="12"/>
        <v>-3.6414705949840447</v>
      </c>
      <c r="AD51">
        <f t="shared" si="12"/>
        <v>-3.5642724280556073</v>
      </c>
      <c r="AE51">
        <f t="shared" si="12"/>
        <v>-3.4832244359337974</v>
      </c>
      <c r="AF51">
        <f t="shared" si="12"/>
        <v>-3.3990220811637082</v>
      </c>
      <c r="AG51">
        <f t="shared" si="12"/>
        <v>-3.3123332911650336</v>
      </c>
      <c r="AH51">
        <f t="shared" si="12"/>
        <v>-3.2237938099060175</v>
      </c>
      <c r="AI51">
        <f t="shared" si="12"/>
        <v>-3.1340034384612538</v>
      </c>
    </row>
    <row r="52" spans="1:35" x14ac:dyDescent="0.25">
      <c r="J52" s="31">
        <f t="shared" si="10"/>
        <v>0.50000000000000022</v>
      </c>
      <c r="K52">
        <f t="shared" si="11"/>
        <v>-3.593444683516561</v>
      </c>
      <c r="L52">
        <f t="shared" si="11"/>
        <v>-3.6847632501781633</v>
      </c>
      <c r="M52">
        <f t="shared" si="11"/>
        <v>-3.7650819073088524</v>
      </c>
      <c r="N52">
        <f t="shared" si="11"/>
        <v>-3.8340789084494471</v>
      </c>
      <c r="O52">
        <f t="shared" si="11"/>
        <v>-3.8915586051318334</v>
      </c>
      <c r="P52">
        <f t="shared" si="11"/>
        <v>-3.9374479131944882</v>
      </c>
      <c r="Q52">
        <f t="shared" si="11"/>
        <v>-3.9717909315708804</v>
      </c>
      <c r="R52">
        <f t="shared" si="11"/>
        <v>-3.9947419701051414</v>
      </c>
      <c r="S52">
        <f t="shared" si="11"/>
        <v>-4.006557256117711</v>
      </c>
      <c r="T52">
        <f t="shared" si="11"/>
        <v>-4.0075855939303793</v>
      </c>
      <c r="U52">
        <f t="shared" si="12"/>
        <v>-3.9982582483047131</v>
      </c>
      <c r="V52">
        <f t="shared" si="12"/>
        <v>-3.9790783128182188</v>
      </c>
      <c r="W52">
        <f t="shared" si="12"/>
        <v>-3.95060980873706</v>
      </c>
      <c r="X52">
        <f t="shared" si="12"/>
        <v>-3.9134667400993495</v>
      </c>
      <c r="Y52">
        <f t="shared" si="12"/>
        <v>-3.8683023076304357</v>
      </c>
      <c r="Z52">
        <f t="shared" si="12"/>
        <v>-3.8157984588417961</v>
      </c>
      <c r="AA52">
        <f t="shared" si="12"/>
        <v>-3.7566559252006351</v>
      </c>
      <c r="AB52">
        <f t="shared" si="12"/>
        <v>-3.6915848704733136</v>
      </c>
      <c r="AC52">
        <f t="shared" si="12"/>
        <v>-3.6212962479978694</v>
      </c>
      <c r="AD52">
        <f t="shared" si="12"/>
        <v>-3.5464939393597192</v>
      </c>
      <c r="AE52">
        <f t="shared" si="12"/>
        <v>-3.4678677232352495</v>
      </c>
      <c r="AF52">
        <f t="shared" si="12"/>
        <v>-3.3860871014142804</v>
      </c>
      <c r="AG52">
        <f t="shared" si="12"/>
        <v>-3.301795989484722</v>
      </c>
      <c r="AH52">
        <f t="shared" si="12"/>
        <v>-3.2156082625283586</v>
      </c>
      <c r="AI52">
        <f t="shared" si="12"/>
        <v>-3.1281041315112286</v>
      </c>
    </row>
    <row r="53" spans="1:35" x14ac:dyDescent="0.25">
      <c r="J53" s="31">
        <f t="shared" si="10"/>
        <v>0.51000000000000023</v>
      </c>
      <c r="K53">
        <f t="shared" si="11"/>
        <v>-3.5657343247462117</v>
      </c>
      <c r="L53">
        <f t="shared" si="11"/>
        <v>-3.6550044558611026</v>
      </c>
      <c r="M53">
        <f t="shared" si="11"/>
        <v>-3.7335662183056053</v>
      </c>
      <c r="N53">
        <f t="shared" si="11"/>
        <v>-3.8011173821001396</v>
      </c>
      <c r="O53">
        <f t="shared" si="11"/>
        <v>-3.8574759063703397</v>
      </c>
      <c r="P53">
        <f t="shared" si="11"/>
        <v>-3.9025764371924296</v>
      </c>
      <c r="Q53">
        <f t="shared" si="11"/>
        <v>-3.9364650930637648</v>
      </c>
      <c r="R53">
        <f t="shared" si="11"/>
        <v>-3.9592927787100911</v>
      </c>
      <c r="S53">
        <f t="shared" si="11"/>
        <v>-3.9713072791376662</v>
      </c>
      <c r="T53">
        <f t="shared" si="11"/>
        <v>-3.9728443891673502</v>
      </c>
      <c r="U53">
        <f t="shared" si="12"/>
        <v>-3.9643183300251166</v>
      </c>
      <c r="V53">
        <f t="shared" si="12"/>
        <v>-3.9462116948932429</v>
      </c>
      <c r="W53">
        <f t="shared" si="12"/>
        <v>-3.9190651506894469</v>
      </c>
      <c r="X53">
        <f t="shared" si="12"/>
        <v>-3.8834671047893634</v>
      </c>
      <c r="Y53">
        <f t="shared" si="12"/>
        <v>-3.8400435239655226</v>
      </c>
      <c r="Z53">
        <f t="shared" si="12"/>
        <v>-3.7894480694500858</v>
      </c>
      <c r="AA53">
        <f t="shared" si="12"/>
        <v>-3.7323526876238473</v>
      </c>
      <c r="AB53">
        <f t="shared" si="12"/>
        <v>-3.669438771177234</v>
      </c>
      <c r="AC53">
        <f t="shared" si="12"/>
        <v>-3.6013889813586357</v>
      </c>
      <c r="AD53">
        <f t="shared" si="12"/>
        <v>-3.5288797986867135</v>
      </c>
      <c r="AE53">
        <f t="shared" si="12"/>
        <v>-3.45257484770916</v>
      </c>
      <c r="AF53">
        <f t="shared" si="12"/>
        <v>-3.3731190213845799</v>
      </c>
      <c r="AG53">
        <f t="shared" si="12"/>
        <v>-3.2911334126888296</v>
      </c>
      <c r="AH53">
        <f t="shared" si="12"/>
        <v>-3.2072110452524702</v>
      </c>
      <c r="AI53">
        <f t="shared" si="12"/>
        <v>-3.1219133812894673</v>
      </c>
    </row>
    <row r="54" spans="1:35" x14ac:dyDescent="0.25">
      <c r="J54" s="31">
        <f t="shared" si="10"/>
        <v>0.52000000000000024</v>
      </c>
      <c r="K54">
        <f t="shared" si="11"/>
        <v>-3.5387104081662479</v>
      </c>
      <c r="L54">
        <f t="shared" si="11"/>
        <v>-3.6260216546134276</v>
      </c>
      <c r="M54">
        <f t="shared" si="11"/>
        <v>-3.7029034242095258</v>
      </c>
      <c r="N54">
        <f t="shared" si="11"/>
        <v>-3.7690716191702691</v>
      </c>
      <c r="O54">
        <f t="shared" si="11"/>
        <v>-3.8243567972242927</v>
      </c>
      <c r="P54">
        <f t="shared" si="11"/>
        <v>-3.8687007079089657</v>
      </c>
      <c r="Q54">
        <f t="shared" si="11"/>
        <v>-3.9021512398418108</v>
      </c>
      <c r="R54">
        <f t="shared" si="11"/>
        <v>-3.9248560050220203</v>
      </c>
      <c r="S54">
        <f t="shared" si="11"/>
        <v>-3.9370547956996975</v>
      </c>
      <c r="T54">
        <f t="shared" si="11"/>
        <v>-3.9390711516932737</v>
      </c>
      <c r="U54">
        <f t="shared" si="12"/>
        <v>-3.9313032720548042</v>
      </c>
      <c r="V54">
        <f t="shared" si="12"/>
        <v>-3.9142144955862284</v>
      </c>
      <c r="W54">
        <f t="shared" si="12"/>
        <v>-3.8883235608501256</v>
      </c>
      <c r="X54">
        <f t="shared" si="12"/>
        <v>-3.8541948389539105</v>
      </c>
      <c r="Y54">
        <f t="shared" si="12"/>
        <v>-3.8124287124464962</v>
      </c>
      <c r="Z54">
        <f t="shared" si="12"/>
        <v>-3.7636522520253539</v>
      </c>
      <c r="AA54">
        <f t="shared" si="12"/>
        <v>-3.7085103202081346</v>
      </c>
      <c r="AB54">
        <f t="shared" si="12"/>
        <v>-3.6476572083852701</v>
      </c>
      <c r="AC54">
        <f t="shared" si="12"/>
        <v>-3.5817488913483446</v>
      </c>
      <c r="AD54">
        <f t="shared" si="12"/>
        <v>-3.5114359619915327</v>
      </c>
      <c r="AE54">
        <f t="shared" si="12"/>
        <v>-3.4373572888164201</v>
      </c>
      <c r="AF54">
        <f t="shared" si="12"/>
        <v>-3.3601344204426997</v>
      </c>
      <c r="AG54">
        <f t="shared" si="12"/>
        <v>-3.2803667447556997</v>
      </c>
      <c r="AH54">
        <f t="shared" si="12"/>
        <v>-3.1986273957411089</v>
      </c>
      <c r="AI54">
        <f t="shared" si="12"/>
        <v>-3.1154598885284246</v>
      </c>
    </row>
    <row r="55" spans="1:35" x14ac:dyDescent="0.25">
      <c r="J55" s="31">
        <f t="shared" si="10"/>
        <v>0.53000000000000025</v>
      </c>
      <c r="K55">
        <f t="shared" si="11"/>
        <v>-3.5123451856394214</v>
      </c>
      <c r="L55">
        <f>(-L$2*_xlfn.NORM.S.DIST((LN(L$2/$B$59)+($F$61+$F$60^2/2)*$J55)/($F$60*SQRT($J55)),0)*$F$60/(2*SQRT($J55)))-(($F$61*$B$59*EXP(-$F$61*$J55))*_xlfn.NORM.S.DIST(((LN(L$2/$B$59)+($F$61+$F$60^2/2)*$J55)/($F$60*SQRT($J55)))-($F$60*SQRT($J55)),1))</f>
        <v>-3.5977815482651661</v>
      </c>
      <c r="M55">
        <f t="shared" si="11"/>
        <v>-3.6730554275661911</v>
      </c>
      <c r="N55">
        <f t="shared" si="11"/>
        <v>-3.7378995923393612</v>
      </c>
      <c r="O55">
        <f t="shared" si="11"/>
        <v>-3.7921562786650602</v>
      </c>
      <c r="P55">
        <f t="shared" si="11"/>
        <v>-3.8357737702694221</v>
      </c>
      <c r="Q55">
        <f t="shared" si="11"/>
        <v>-3.8688015026189411</v>
      </c>
      <c r="R55">
        <f t="shared" si="11"/>
        <v>-3.8913839032274047</v>
      </c>
      <c r="S55">
        <f t="shared" si="11"/>
        <v>-3.9037531886479426</v>
      </c>
      <c r="T55">
        <f t="shared" si="11"/>
        <v>-3.9062213401262733</v>
      </c>
      <c r="U55">
        <f t="shared" si="12"/>
        <v>-3.8991714756670732</v>
      </c>
      <c r="V55">
        <f t="shared" si="12"/>
        <v>-3.8830488271513293</v>
      </c>
      <c r="W55">
        <f t="shared" si="12"/>
        <v>-3.8583515180124963</v>
      </c>
      <c r="X55">
        <f t="shared" si="12"/>
        <v>-3.8256213207069054</v>
      </c>
      <c r="Y55">
        <f t="shared" si="12"/>
        <v>-3.7854345546440715</v>
      </c>
      <c r="Z55">
        <f t="shared" si="12"/>
        <v>-3.7383932651672871</v>
      </c>
      <c r="AA55">
        <f t="shared" si="12"/>
        <v>-3.6851168033161903</v>
      </c>
      <c r="AB55">
        <f t="shared" si="12"/>
        <v>-3.6262339051000363</v>
      </c>
      <c r="AC55">
        <f t="shared" si="12"/>
        <v>-3.5623753484132035</v>
      </c>
      <c r="AD55">
        <f t="shared" si="12"/>
        <v>-3.4941672459899702</v>
      </c>
      <c r="AE55">
        <f t="shared" si="12"/>
        <v>-3.4222250142895039</v>
      </c>
      <c r="AF55">
        <f t="shared" si="12"/>
        <v>-3.3471480412014118</v>
      </c>
      <c r="AG55">
        <f t="shared" si="12"/>
        <v>-3.2695150601623792</v>
      </c>
      <c r="AH55">
        <f t="shared" si="12"/>
        <v>-3.1898802247960765</v>
      </c>
      <c r="AI55">
        <f t="shared" si="12"/>
        <v>-3.1087698665863375</v>
      </c>
    </row>
    <row r="58" spans="1:35" x14ac:dyDescent="0.25">
      <c r="A58" s="3" t="s">
        <v>0</v>
      </c>
      <c r="B58">
        <v>47</v>
      </c>
    </row>
    <row r="59" spans="1:35" x14ac:dyDescent="0.25">
      <c r="A59" s="3" t="s">
        <v>1</v>
      </c>
      <c r="B59">
        <v>50</v>
      </c>
    </row>
    <row r="60" spans="1:35" x14ac:dyDescent="0.25">
      <c r="A60" s="3" t="s">
        <v>2</v>
      </c>
      <c r="E60">
        <v>25</v>
      </c>
      <c r="F60">
        <f>E60/100</f>
        <v>0.25</v>
      </c>
    </row>
    <row r="61" spans="1:35" x14ac:dyDescent="0.25">
      <c r="A61" s="3" t="s">
        <v>5</v>
      </c>
      <c r="E61">
        <v>2</v>
      </c>
      <c r="F61">
        <f>E61/100</f>
        <v>0.02</v>
      </c>
    </row>
    <row r="62" spans="1:35" x14ac:dyDescent="0.25">
      <c r="A62" s="3" t="s">
        <v>6</v>
      </c>
      <c r="B62">
        <v>0.01</v>
      </c>
    </row>
    <row r="96" spans="17:23" x14ac:dyDescent="0.25">
      <c r="Q96" t="s">
        <v>311</v>
      </c>
      <c r="R96">
        <v>0.02</v>
      </c>
      <c r="T96" s="35"/>
      <c r="U96" s="35">
        <v>47</v>
      </c>
      <c r="V96" s="35">
        <v>51</v>
      </c>
      <c r="W96" s="35">
        <v>54</v>
      </c>
    </row>
    <row r="97" spans="17:23" x14ac:dyDescent="0.25">
      <c r="Q97" t="s">
        <v>309</v>
      </c>
      <c r="R97">
        <v>0.2</v>
      </c>
      <c r="T97" s="35">
        <v>0.01</v>
      </c>
      <c r="U97" s="4">
        <f>(-U$96*_xlfn.NORM.S.DIST((LN(U$96/$B$59)+($F$61+$T97^2/2)*$R$97)/($T97*SQRT($R$97)),0)*$T97/(2*SQRT($R$97)))-(($F$61*$B$59*EXP(-$F$61*$R$97))*_xlfn.NORM.S.DIST(((LN(U$96/$B$59)+($F$61+$T97^2/2)*$R$97)/($T97*SQRT($R$97)))-($T97*SQRT($R$97)),1))</f>
        <v>-1.0532437363883587E-37</v>
      </c>
      <c r="V97" s="4">
        <f t="shared" ref="V97:W112" si="13">(-V$96*_xlfn.NORM.S.DIST((LN(V$96/$B$59)+($F$61+$T97^2/2)*$R$97)/($T97*SQRT($R$97)),0)*$T97/(2*SQRT($R$97)))-(($F$61*$B$59*EXP(-$F$61*$R$97))*_xlfn.NORM.S.DIST(((LN(V$96/$B$59)+($F$61+$T97^2/2)*$R$97)/($T97*SQRT($R$97)))-($T97*SQRT($R$97)),1))</f>
        <v>-0.9960080963443414</v>
      </c>
      <c r="W97" s="4">
        <f t="shared" si="13"/>
        <v>-0.99600798934399148</v>
      </c>
    </row>
    <row r="98" spans="17:23" x14ac:dyDescent="0.25">
      <c r="T98" s="35">
        <f>T97+$R$96</f>
        <v>0.03</v>
      </c>
      <c r="U98" s="4">
        <f t="shared" ref="U98:W129" si="14">(-U$96*_xlfn.NORM.S.DIST((LN(U$96/$B$59)+($F$61+$T98^2/2)*$R$97)/($T98*SQRT($R$97)),0)*$T98/(2*SQRT($R$97)))-(($F$61*$B$59*EXP(-$F$61*$R$97))*_xlfn.NORM.S.DIST(((LN(U$96/$B$59)+($F$61+$T98^2/2)*$R$97)/($T98*SQRT($R$97)))-($T98*SQRT($R$97)),1))</f>
        <v>-6.6680774424176674E-5</v>
      </c>
      <c r="V98" s="4">
        <f t="shared" si="13"/>
        <v>-1.0973462259423299</v>
      </c>
      <c r="W98" s="4">
        <f t="shared" si="13"/>
        <v>-0.99600799710398968</v>
      </c>
    </row>
    <row r="99" spans="17:23" x14ac:dyDescent="0.25">
      <c r="T99" s="35">
        <f t="shared" ref="T99:T149" si="15">T98+$R$96</f>
        <v>0.05</v>
      </c>
      <c r="U99" s="4">
        <f t="shared" si="14"/>
        <v>-4.2518455040147209E-2</v>
      </c>
      <c r="V99" s="4">
        <f t="shared" si="13"/>
        <v>-1.4882449647729241</v>
      </c>
      <c r="W99" s="4">
        <f t="shared" si="13"/>
        <v>-0.99750130931841086</v>
      </c>
    </row>
    <row r="100" spans="17:23" x14ac:dyDescent="0.25">
      <c r="T100" s="35">
        <f t="shared" si="15"/>
        <v>7.0000000000000007E-2</v>
      </c>
      <c r="U100" s="4">
        <f t="shared" si="14"/>
        <v>-0.3044607977911552</v>
      </c>
      <c r="V100" s="4">
        <f>(-V$96*_xlfn.NORM.S.DIST((LN(V$96/$B$59)+($F$61+$T100^2/2)*$R$97)/($T100*SQRT($R$97)),0)*$T100/(2*SQRT($R$97)))-(($F$61*$B$59*EXP(-$F$61*$R$97))*_xlfn.NORM.S.DIST(((LN(V$96/$B$59)+($F$61+$T100^2/2)*$R$97)/($T100*SQRT($R$97)))-($T100*SQRT($R$97)),1))</f>
        <v>-1.9470362430222419</v>
      </c>
      <c r="W100" s="4">
        <f t="shared" si="13"/>
        <v>-1.0480786127670498</v>
      </c>
    </row>
    <row r="101" spans="17:23" x14ac:dyDescent="0.25">
      <c r="T101" s="35">
        <f t="shared" si="15"/>
        <v>9.0000000000000011E-2</v>
      </c>
      <c r="U101" s="4">
        <f t="shared" si="14"/>
        <v>-0.76268927587840207</v>
      </c>
      <c r="V101" s="4">
        <f t="shared" si="13"/>
        <v>-2.4113857014848752</v>
      </c>
      <c r="W101" s="4">
        <f t="shared" si="13"/>
        <v>-1.2481337000846446</v>
      </c>
    </row>
    <row r="102" spans="17:23" x14ac:dyDescent="0.25">
      <c r="T102" s="35">
        <f t="shared" si="15"/>
        <v>0.11000000000000001</v>
      </c>
      <c r="U102" s="4">
        <f t="shared" si="14"/>
        <v>-1.302177418785488</v>
      </c>
      <c r="V102" s="4">
        <f t="shared" si="13"/>
        <v>-2.8730948072985885</v>
      </c>
      <c r="W102" s="4">
        <f t="shared" si="13"/>
        <v>-1.6003038746819389</v>
      </c>
    </row>
    <row r="103" spans="17:23" x14ac:dyDescent="0.25">
      <c r="T103" s="35">
        <f t="shared" si="15"/>
        <v>0.13</v>
      </c>
      <c r="U103" s="4">
        <f t="shared" si="14"/>
        <v>-1.8606115592832604</v>
      </c>
      <c r="V103" s="4">
        <f t="shared" si="13"/>
        <v>-3.3317028664439401</v>
      </c>
      <c r="W103" s="4">
        <f t="shared" si="13"/>
        <v>-2.049804354858801</v>
      </c>
    </row>
    <row r="104" spans="17:23" x14ac:dyDescent="0.25">
      <c r="T104" s="35">
        <f t="shared" si="15"/>
        <v>0.15</v>
      </c>
      <c r="U104" s="4">
        <f t="shared" si="14"/>
        <v>-2.4139982624430911</v>
      </c>
      <c r="V104" s="4">
        <f t="shared" si="13"/>
        <v>-3.7877779911313354</v>
      </c>
      <c r="W104" s="4">
        <f t="shared" si="13"/>
        <v>-2.5500601449694988</v>
      </c>
    </row>
    <row r="105" spans="17:23" x14ac:dyDescent="0.25">
      <c r="T105" s="35">
        <f t="shared" si="15"/>
        <v>0.16999999999999998</v>
      </c>
      <c r="U105" s="4">
        <f t="shared" si="14"/>
        <v>-2.9548586367854757</v>
      </c>
      <c r="V105" s="4">
        <f t="shared" si="13"/>
        <v>-4.2418795117402173</v>
      </c>
      <c r="W105" s="4">
        <f t="shared" si="13"/>
        <v>-3.0731348099343849</v>
      </c>
    </row>
    <row r="106" spans="17:23" x14ac:dyDescent="0.25">
      <c r="T106" s="35">
        <f t="shared" si="15"/>
        <v>0.18999999999999997</v>
      </c>
      <c r="U106" s="4">
        <f t="shared" si="14"/>
        <v>-3.4819803991782505</v>
      </c>
      <c r="V106" s="4">
        <f t="shared" si="13"/>
        <v>-4.6944253020586251</v>
      </c>
      <c r="W106" s="4">
        <f t="shared" si="13"/>
        <v>-3.6041113701766685</v>
      </c>
    </row>
    <row r="107" spans="17:23" x14ac:dyDescent="0.25">
      <c r="T107" s="35">
        <f t="shared" si="15"/>
        <v>0.20999999999999996</v>
      </c>
      <c r="U107" s="4">
        <f t="shared" si="14"/>
        <v>-3.9963203456147287</v>
      </c>
      <c r="V107" s="4">
        <f t="shared" si="13"/>
        <v>-5.1457094413435156</v>
      </c>
      <c r="W107" s="4">
        <f t="shared" si="13"/>
        <v>-4.1354653031960709</v>
      </c>
    </row>
    <row r="108" spans="17:23" x14ac:dyDescent="0.25">
      <c r="T108" s="35">
        <f t="shared" si="15"/>
        <v>0.22999999999999995</v>
      </c>
      <c r="U108" s="4">
        <f t="shared" si="14"/>
        <v>-4.4994354315846437</v>
      </c>
      <c r="V108" s="4">
        <f t="shared" si="13"/>
        <v>-5.5959359609137644</v>
      </c>
      <c r="W108" s="4">
        <f t="shared" si="13"/>
        <v>-4.6636026496644112</v>
      </c>
    </row>
    <row r="109" spans="17:23" x14ac:dyDescent="0.25">
      <c r="T109" s="35">
        <f t="shared" si="15"/>
        <v>0.24999999999999994</v>
      </c>
      <c r="U109" s="4">
        <f t="shared" si="14"/>
        <v>-4.9929052209677645</v>
      </c>
      <c r="V109" s="4">
        <f t="shared" si="13"/>
        <v>-6.0452459895595378</v>
      </c>
      <c r="W109" s="4">
        <f t="shared" si="13"/>
        <v>-5.186967226750915</v>
      </c>
    </row>
    <row r="110" spans="17:23" x14ac:dyDescent="0.25">
      <c r="T110" s="35">
        <f t="shared" si="15"/>
        <v>0.26999999999999996</v>
      </c>
      <c r="U110" s="4">
        <f t="shared" si="14"/>
        <v>-5.4781400306848616</v>
      </c>
      <c r="V110" s="4">
        <f t="shared" si="13"/>
        <v>-6.4937368281528114</v>
      </c>
      <c r="W110" s="4">
        <f t="shared" si="13"/>
        <v>-5.7050415236934144</v>
      </c>
    </row>
    <row r="111" spans="17:23" x14ac:dyDescent="0.25">
      <c r="T111" s="35">
        <f t="shared" si="15"/>
        <v>0.28999999999999998</v>
      </c>
      <c r="U111" s="4">
        <f t="shared" si="14"/>
        <v>-5.9563371289399987</v>
      </c>
      <c r="V111" s="4">
        <f t="shared" si="13"/>
        <v>-6.9414749270204243</v>
      </c>
      <c r="W111" s="4">
        <f t="shared" si="13"/>
        <v>-6.2178238439138305</v>
      </c>
    </row>
    <row r="112" spans="17:23" x14ac:dyDescent="0.25">
      <c r="T112" s="35">
        <f t="shared" si="15"/>
        <v>0.31</v>
      </c>
      <c r="U112" s="4">
        <f t="shared" si="14"/>
        <v>-6.4284909317587466</v>
      </c>
      <c r="V112" s="4">
        <f t="shared" si="13"/>
        <v>-7.3885047016992242</v>
      </c>
      <c r="W112" s="4">
        <f t="shared" si="13"/>
        <v>-6.7255550583793973</v>
      </c>
    </row>
    <row r="113" spans="20:23" x14ac:dyDescent="0.25">
      <c r="T113" s="35">
        <f t="shared" si="15"/>
        <v>0.33</v>
      </c>
      <c r="U113" s="4">
        <f t="shared" si="14"/>
        <v>-6.8954199574115407</v>
      </c>
      <c r="V113" s="4">
        <f t="shared" si="14"/>
        <v>-7.8348545803971934</v>
      </c>
      <c r="W113" s="4">
        <f t="shared" si="14"/>
        <v>-7.2285763091412898</v>
      </c>
    </row>
    <row r="114" spans="20:23" x14ac:dyDescent="0.25">
      <c r="T114" s="35">
        <f t="shared" si="15"/>
        <v>0.35000000000000003</v>
      </c>
      <c r="U114" s="4">
        <f t="shared" si="14"/>
        <v>-7.3577961555731228</v>
      </c>
      <c r="V114" s="4">
        <f t="shared" si="14"/>
        <v>-8.2805412110600916</v>
      </c>
      <c r="W114" s="4">
        <f t="shared" si="14"/>
        <v>-7.727255848042117</v>
      </c>
    </row>
    <row r="115" spans="20:23" x14ac:dyDescent="0.25">
      <c r="T115" s="35">
        <f t="shared" si="15"/>
        <v>0.37000000000000005</v>
      </c>
      <c r="U115" s="4">
        <f t="shared" si="14"/>
        <v>-7.8161714991871349</v>
      </c>
      <c r="V115" s="4">
        <f t="shared" si="14"/>
        <v>-8.7255724335044249</v>
      </c>
      <c r="W115" s="4">
        <f t="shared" si="14"/>
        <v>-8.2219525913538067</v>
      </c>
    </row>
    <row r="116" spans="20:23" x14ac:dyDescent="0.25">
      <c r="T116" s="35">
        <f t="shared" si="15"/>
        <v>0.39000000000000007</v>
      </c>
      <c r="U116" s="4">
        <f t="shared" si="14"/>
        <v>-8.271000450009458</v>
      </c>
      <c r="V116" s="4">
        <f t="shared" si="14"/>
        <v>-9.1699494118206637</v>
      </c>
      <c r="W116" s="4">
        <f t="shared" si="14"/>
        <v>-8.7129992070604647</v>
      </c>
    </row>
    <row r="117" spans="20:23" x14ac:dyDescent="0.25">
      <c r="T117" s="35">
        <f t="shared" si="15"/>
        <v>0.41000000000000009</v>
      </c>
      <c r="U117" s="4">
        <f t="shared" si="14"/>
        <v>-8.7226583372974567</v>
      </c>
      <c r="V117" s="4">
        <f t="shared" si="14"/>
        <v>-9.6136681873332748</v>
      </c>
      <c r="W117" s="4">
        <f t="shared" si="14"/>
        <v>-9.200695530442637</v>
      </c>
    </row>
    <row r="118" spans="20:23" x14ac:dyDescent="0.25">
      <c r="T118" s="35">
        <f t="shared" si="15"/>
        <v>0.4300000000000001</v>
      </c>
      <c r="U118" s="4">
        <f t="shared" si="14"/>
        <v>-9.1714561697059107</v>
      </c>
      <c r="V118" s="4">
        <f t="shared" si="14"/>
        <v>-10.056720825727883</v>
      </c>
      <c r="W118" s="4">
        <f t="shared" si="14"/>
        <v>-9.6853073369357858</v>
      </c>
    </row>
    <row r="119" spans="20:23" x14ac:dyDescent="0.25">
      <c r="T119" s="35">
        <f t="shared" si="15"/>
        <v>0.45000000000000012</v>
      </c>
      <c r="U119" s="4">
        <f t="shared" si="14"/>
        <v>-9.6176524990573462</v>
      </c>
      <c r="V119" s="4">
        <f t="shared" si="14"/>
        <v>-10.499096275782657</v>
      </c>
      <c r="W119" s="4">
        <f t="shared" si="14"/>
        <v>-10.167067776747354</v>
      </c>
    </row>
    <row r="120" spans="20:23" x14ac:dyDescent="0.25">
      <c r="T120" s="35">
        <f t="shared" si="15"/>
        <v>0.47000000000000014</v>
      </c>
      <c r="U120" s="4">
        <f t="shared" si="14"/>
        <v>-10.061462910171381</v>
      </c>
      <c r="V120" s="4">
        <f t="shared" si="14"/>
        <v>-10.940781020293528</v>
      </c>
      <c r="W120" s="4">
        <f t="shared" si="14"/>
        <v>-10.646180012990737</v>
      </c>
    </row>
    <row r="121" spans="20:23" x14ac:dyDescent="0.25">
      <c r="T121" s="35">
        <f t="shared" si="15"/>
        <v>0.49000000000000016</v>
      </c>
      <c r="U121" s="4">
        <f t="shared" si="14"/>
        <v>-10.503067622968111</v>
      </c>
      <c r="V121" s="4">
        <f t="shared" si="14"/>
        <v>-11.381759575283523</v>
      </c>
      <c r="W121" s="4">
        <f t="shared" si="14"/>
        <v>-11.122820283797367</v>
      </c>
    </row>
    <row r="122" spans="20:23" x14ac:dyDescent="0.25">
      <c r="T122" s="35">
        <f t="shared" si="15"/>
        <v>0.51000000000000012</v>
      </c>
      <c r="U122" s="4">
        <f t="shared" si="14"/>
        <v>-10.942617601392712</v>
      </c>
      <c r="V122" s="4">
        <f t="shared" si="14"/>
        <v>-11.822014877070304</v>
      </c>
      <c r="W122" s="4">
        <f t="shared" si="14"/>
        <v>-11.597140983056851</v>
      </c>
    </row>
    <row r="123" spans="20:23" x14ac:dyDescent="0.25">
      <c r="T123" s="35">
        <f t="shared" si="15"/>
        <v>0.53000000000000014</v>
      </c>
      <c r="U123" s="4">
        <f t="shared" si="14"/>
        <v>-11.380239482563201</v>
      </c>
      <c r="V123" s="4">
        <f t="shared" si="14"/>
        <v>-12.261528585477526</v>
      </c>
      <c r="W123" s="4">
        <f t="shared" si="14"/>
        <v>-12.069273560724286</v>
      </c>
    </row>
    <row r="124" spans="20:23" x14ac:dyDescent="0.25">
      <c r="T124" s="35">
        <f t="shared" si="15"/>
        <v>0.55000000000000016</v>
      </c>
      <c r="U124" s="4">
        <f t="shared" si="14"/>
        <v>-11.816039572483716</v>
      </c>
      <c r="V124" s="4">
        <f t="shared" si="14"/>
        <v>-12.700281323656936</v>
      </c>
      <c r="W124" s="4">
        <f t="shared" si="14"/>
        <v>-12.539331156531309</v>
      </c>
    </row>
    <row r="125" spans="20:23" x14ac:dyDescent="0.25">
      <c r="T125" s="35">
        <f t="shared" si="15"/>
        <v>0.57000000000000017</v>
      </c>
      <c r="U125" s="4">
        <f t="shared" si="14"/>
        <v>-12.25010710109413</v>
      </c>
      <c r="V125" s="4">
        <f t="shared" si="14"/>
        <v>-13.138252869503344</v>
      </c>
      <c r="W125" s="4">
        <f t="shared" si="14"/>
        <v>-13.007410941600043</v>
      </c>
    </row>
    <row r="126" spans="20:23" x14ac:dyDescent="0.25">
      <c r="T126" s="35">
        <f t="shared" si="15"/>
        <v>0.59000000000000019</v>
      </c>
      <c r="U126" s="4">
        <f t="shared" si="14"/>
        <v>-12.682516887374744</v>
      </c>
      <c r="V126" s="4">
        <f t="shared" si="14"/>
        <v>-13.57542230974971</v>
      </c>
      <c r="W126" s="4">
        <f t="shared" si="14"/>
        <v>-13.473596173864845</v>
      </c>
    </row>
    <row r="127" spans="20:23" x14ac:dyDescent="0.25">
      <c r="T127" s="35">
        <f t="shared" si="15"/>
        <v>0.61000000000000021</v>
      </c>
      <c r="U127" s="4">
        <f t="shared" si="14"/>
        <v>-13.113331532504057</v>
      </c>
      <c r="V127" s="4">
        <f t="shared" si="14"/>
        <v>-14.011768165032183</v>
      </c>
      <c r="W127" s="4">
        <f t="shared" si="14"/>
        <v>-13.937957988296526</v>
      </c>
    </row>
    <row r="128" spans="20:23" x14ac:dyDescent="0.25">
      <c r="T128" s="35">
        <f t="shared" si="15"/>
        <v>0.63000000000000023</v>
      </c>
      <c r="U128" s="4">
        <f t="shared" si="14"/>
        <v>-13.542603233701836</v>
      </c>
      <c r="V128" s="4">
        <f t="shared" si="14"/>
        <v>-14.447268492183165</v>
      </c>
      <c r="W128" s="4">
        <f t="shared" si="14"/>
        <v>-14.400556949025257</v>
      </c>
    </row>
    <row r="129" spans="20:23" x14ac:dyDescent="0.25">
      <c r="T129" s="35">
        <f t="shared" si="15"/>
        <v>0.65000000000000024</v>
      </c>
      <c r="U129" s="4">
        <f t="shared" si="14"/>
        <v>-13.970375291737836</v>
      </c>
      <c r="V129" s="4">
        <f t="shared" si="14"/>
        <v>-14.881900968520169</v>
      </c>
      <c r="W129" s="4">
        <f t="shared" si="14"/>
        <v>-14.861444391732258</v>
      </c>
    </row>
    <row r="130" spans="20:23" x14ac:dyDescent="0.25">
      <c r="T130" s="35">
        <f t="shared" si="15"/>
        <v>0.67000000000000026</v>
      </c>
      <c r="U130" s="4">
        <f t="shared" ref="U130:W149" si="16">(-U$96*_xlfn.NORM.S.DIST((LN(U$96/$B$59)+($F$61+$T130^2/2)*$R$97)/($T130*SQRT($R$97)),0)*$T130/(2*SQRT($R$97)))-(($F$61*$B$59*EXP(-$F$61*$R$97))*_xlfn.NORM.S.DIST(((LN(U$96/$B$59)+($F$61+$T130^2/2)*$R$97)/($T130*SQRT($R$97)))-($T130*SQRT($R$97)),1))</f>
        <v>-14.396683369840886</v>
      </c>
      <c r="V130" s="4">
        <f t="shared" si="16"/>
        <v>-15.31564296179382</v>
      </c>
      <c r="W130" s="4">
        <f t="shared" si="16"/>
        <v>-15.320663583482659</v>
      </c>
    </row>
    <row r="131" spans="20:23" x14ac:dyDescent="0.25">
      <c r="T131" s="35">
        <f t="shared" si="15"/>
        <v>0.69000000000000028</v>
      </c>
      <c r="U131" s="4">
        <f t="shared" si="16"/>
        <v>-14.821556549884974</v>
      </c>
      <c r="V131" s="4">
        <f t="shared" si="16"/>
        <v>-15.748471588632647</v>
      </c>
      <c r="W131" s="4">
        <f t="shared" si="16"/>
        <v>-15.778250724826535</v>
      </c>
    </row>
    <row r="132" spans="20:23" x14ac:dyDescent="0.25">
      <c r="T132" s="35">
        <f t="shared" si="15"/>
        <v>0.7100000000000003</v>
      </c>
      <c r="U132" s="4">
        <f t="shared" si="16"/>
        <v>-15.245018222474547</v>
      </c>
      <c r="V132" s="4">
        <f t="shared" si="16"/>
        <v>-16.180363763699706</v>
      </c>
      <c r="W132" s="4">
        <f t="shared" si="16"/>
        <v>-16.234235816232331</v>
      </c>
    </row>
    <row r="133" spans="20:23" x14ac:dyDescent="0.25">
      <c r="T133" s="35">
        <f t="shared" si="15"/>
        <v>0.73000000000000032</v>
      </c>
      <c r="U133" s="4">
        <f t="shared" si="16"/>
        <v>-15.667086840300387</v>
      </c>
      <c r="V133" s="4">
        <f t="shared" si="16"/>
        <v>-16.61129624130227</v>
      </c>
      <c r="W133" s="4">
        <f t="shared" si="16"/>
        <v>-16.688643408127572</v>
      </c>
    </row>
    <row r="134" spans="20:23" x14ac:dyDescent="0.25">
      <c r="T134" s="35">
        <f>T133+$R$96</f>
        <v>0.75000000000000033</v>
      </c>
      <c r="U134" s="4">
        <f t="shared" si="16"/>
        <v>-16.087776558432299</v>
      </c>
      <c r="V134" s="4">
        <f t="shared" si="16"/>
        <v>-17.04124565083298</v>
      </c>
      <c r="W134" s="4">
        <f t="shared" si="16"/>
        <v>-17.141493251201556</v>
      </c>
    </row>
    <row r="135" spans="20:23" x14ac:dyDescent="0.25">
      <c r="T135" s="35">
        <f t="shared" si="15"/>
        <v>0.77000000000000035</v>
      </c>
      <c r="U135" s="4">
        <f t="shared" si="16"/>
        <v>-16.507097780706296</v>
      </c>
      <c r="V135" s="4">
        <f t="shared" si="16"/>
        <v>-17.470188527140589</v>
      </c>
      <c r="W135" s="4">
        <f t="shared" si="16"/>
        <v>-17.592800861260514</v>
      </c>
    </row>
    <row r="136" spans="20:23" x14ac:dyDescent="0.25">
      <c r="T136" s="35">
        <f t="shared" si="15"/>
        <v>0.79000000000000037</v>
      </c>
      <c r="U136" s="4">
        <f t="shared" si="16"/>
        <v>-16.925057627784881</v>
      </c>
      <c r="V136" s="4">
        <f t="shared" si="16"/>
        <v>-17.8981013367104</v>
      </c>
      <c r="W136" s="4">
        <f t="shared" si="16"/>
        <v>-18.042578010843847</v>
      </c>
    </row>
    <row r="137" spans="20:23" x14ac:dyDescent="0.25">
      <c r="T137" s="35">
        <f t="shared" si="15"/>
        <v>0.81000000000000039</v>
      </c>
      <c r="U137" s="4">
        <f t="shared" si="16"/>
        <v>-17.341660339614961</v>
      </c>
      <c r="V137" s="4">
        <f t="shared" si="16"/>
        <v>-18.324960500364107</v>
      </c>
      <c r="W137" s="4">
        <f t="shared" si="16"/>
        <v>-18.490833158005017</v>
      </c>
    </row>
    <row r="138" spans="20:23" x14ac:dyDescent="0.25">
      <c r="T138" s="35">
        <f t="shared" si="15"/>
        <v>0.8300000000000004</v>
      </c>
      <c r="U138" s="4">
        <f t="shared" si="16"/>
        <v>-17.756907622721947</v>
      </c>
      <c r="V138" s="4">
        <f t="shared" si="16"/>
        <v>-18.750742413054166</v>
      </c>
      <c r="W138" s="4">
        <f t="shared" si="16"/>
        <v>-18.937571821110996</v>
      </c>
    </row>
    <row r="139" spans="20:23" x14ac:dyDescent="0.25">
      <c r="T139" s="35">
        <f t="shared" si="15"/>
        <v>0.85000000000000042</v>
      </c>
      <c r="U139" s="4">
        <f t="shared" si="16"/>
        <v>-18.170798950939481</v>
      </c>
      <c r="V139" s="4">
        <f t="shared" si="16"/>
        <v>-19.175423461221719</v>
      </c>
      <c r="W139" s="4">
        <f t="shared" si="16"/>
        <v>-19.38279690719305</v>
      </c>
    </row>
    <row r="140" spans="20:23" x14ac:dyDescent="0.25">
      <c r="T140" s="35">
        <f t="shared" si="15"/>
        <v>0.87000000000000044</v>
      </c>
      <c r="U140" s="4">
        <f t="shared" si="16"/>
        <v>-18.583331826687619</v>
      </c>
      <c r="V140" s="4">
        <f t="shared" si="16"/>
        <v>-19.598980038101782</v>
      </c>
      <c r="W140" s="4">
        <f t="shared" si="16"/>
        <v>-19.826509000259254</v>
      </c>
    </row>
    <row r="141" spans="20:23" x14ac:dyDescent="0.25">
      <c r="T141" s="35">
        <f t="shared" si="15"/>
        <v>0.89000000000000046</v>
      </c>
      <c r="U141" s="4">
        <f t="shared" si="16"/>
        <v>-18.994502008706988</v>
      </c>
      <c r="V141" s="4">
        <f t="shared" si="16"/>
        <v>-20.02138855729174</v>
      </c>
      <c r="W141" s="4">
        <f t="shared" si="16"/>
        <v>-20.268706615028545</v>
      </c>
    </row>
    <row r="142" spans="20:23" x14ac:dyDescent="0.25">
      <c r="T142" s="35">
        <f t="shared" si="15"/>
        <v>0.91000000000000048</v>
      </c>
      <c r="U142" s="4">
        <f t="shared" si="16"/>
        <v>-19.404303711172986</v>
      </c>
      <c r="V142" s="4">
        <f t="shared" si="16"/>
        <v>-20.44262546484439</v>
      </c>
      <c r="W142" s="4">
        <f t="shared" si="16"/>
        <v>-20.709386420741936</v>
      </c>
    </row>
    <row r="143" spans="20:23" x14ac:dyDescent="0.25">
      <c r="T143" s="35">
        <f t="shared" si="15"/>
        <v>0.93000000000000049</v>
      </c>
      <c r="U143" s="4">
        <f t="shared" si="16"/>
        <v>-19.812729778310725</v>
      </c>
      <c r="V143" s="4">
        <f t="shared" si="16"/>
        <v>-20.862667250102163</v>
      </c>
      <c r="W143" s="4">
        <f t="shared" si="16"/>
        <v>-21.14854343902628</v>
      </c>
    </row>
    <row r="144" spans="20:23" x14ac:dyDescent="0.25">
      <c r="T144" s="35">
        <f t="shared" si="15"/>
        <v>0.95000000000000051</v>
      </c>
      <c r="U144" s="4">
        <f t="shared" si="16"/>
        <v>-20.219771837970558</v>
      </c>
      <c r="V144" s="4">
        <f t="shared" si="16"/>
        <v>-21.28149045545349</v>
      </c>
      <c r="W144" s="4">
        <f t="shared" si="16"/>
        <v>-21.586171219210847</v>
      </c>
    </row>
    <row r="145" spans="20:23" x14ac:dyDescent="0.25">
      <c r="T145" s="35">
        <f t="shared" si="15"/>
        <v>0.97000000000000053</v>
      </c>
      <c r="U145" s="4">
        <f t="shared" si="16"/>
        <v>-20.625420437079899</v>
      </c>
      <c r="V145" s="4">
        <f t="shared" si="16"/>
        <v>-21.699071685162394</v>
      </c>
      <c r="W145" s="4">
        <f t="shared" si="16"/>
        <v>-22.02226199400997</v>
      </c>
    </row>
    <row r="146" spans="20:23" x14ac:dyDescent="0.25">
      <c r="T146" s="35">
        <f>T145+$R$96</f>
        <v>0.99000000000000055</v>
      </c>
      <c r="U146" s="4">
        <f t="shared" si="16"/>
        <v>-21.029665161436299</v>
      </c>
      <c r="V146" s="4">
        <f t="shared" si="16"/>
        <v>-22.115387613398525</v>
      </c>
      <c r="W146" s="4">
        <f t="shared" si="16"/>
        <v>-22.45680681807255</v>
      </c>
    </row>
    <row r="147" spans="20:23" x14ac:dyDescent="0.25">
      <c r="T147" s="35">
        <f t="shared" si="15"/>
        <v>1.0100000000000005</v>
      </c>
      <c r="U147" s="4">
        <f t="shared" si="16"/>
        <v>-21.432494741932572</v>
      </c>
      <c r="V147" s="4">
        <f t="shared" si="16"/>
        <v>-22.530414991574638</v>
      </c>
      <c r="W147" s="4">
        <f t="shared" si="16"/>
        <v>-22.889795691549299</v>
      </c>
    </row>
    <row r="148" spans="20:23" x14ac:dyDescent="0.25">
      <c r="T148" s="35">
        <f t="shared" si="15"/>
        <v>1.0300000000000005</v>
      </c>
      <c r="U148" s="4">
        <f t="shared" si="16"/>
        <v>-21.833897148993</v>
      </c>
      <c r="V148" s="4">
        <f t="shared" si="16"/>
        <v>-22.944130655082322</v>
      </c>
      <c r="W148" s="4">
        <f t="shared" si="16"/>
        <v>-23.321217670531272</v>
      </c>
    </row>
    <row r="149" spans="20:23" x14ac:dyDescent="0.25">
      <c r="T149" s="35">
        <f t="shared" si="15"/>
        <v>1.0500000000000005</v>
      </c>
      <c r="U149" s="4">
        <f t="shared" si="16"/>
        <v>-22.233859676738739</v>
      </c>
      <c r="V149" s="4">
        <f t="shared" si="16"/>
        <v>-23.356511529502786</v>
      </c>
      <c r="W149" s="4">
        <f t="shared" si="16"/>
        <v>-23.751060965959997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>
                  <from>
                    <xdr:col>0</xdr:col>
                    <xdr:colOff>600075</xdr:colOff>
                    <xdr:row>59</xdr:row>
                    <xdr:rowOff>9525</xdr:rowOff>
                  </from>
                  <to>
                    <xdr:col>4</xdr:col>
                    <xdr:colOff>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>
                  <from>
                    <xdr:col>0</xdr:col>
                    <xdr:colOff>600075</xdr:colOff>
                    <xdr:row>60</xdr:row>
                    <xdr:rowOff>19050</xdr:rowOff>
                  </from>
                  <to>
                    <xdr:col>3</xdr:col>
                    <xdr:colOff>600075</xdr:colOff>
                    <xdr:row>60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2:AS62"/>
  <sheetViews>
    <sheetView topLeftCell="A70" workbookViewId="0">
      <selection activeCell="D87" sqref="D87"/>
    </sheetView>
  </sheetViews>
  <sheetFormatPr defaultRowHeight="15" x14ac:dyDescent="0.25"/>
  <cols>
    <col min="11" max="11" width="12" bestFit="1" customWidth="1"/>
  </cols>
  <sheetData>
    <row r="2" spans="2:45" x14ac:dyDescent="0.25">
      <c r="J2" s="31"/>
      <c r="K2" s="31">
        <f>$B$58</f>
        <v>37</v>
      </c>
      <c r="L2" s="31">
        <f t="shared" ref="L2:AB2" si="0">K2+$C$3</f>
        <v>37.5</v>
      </c>
      <c r="M2" s="31">
        <f t="shared" si="0"/>
        <v>38</v>
      </c>
      <c r="N2" s="31">
        <f t="shared" si="0"/>
        <v>38.5</v>
      </c>
      <c r="O2" s="31">
        <f t="shared" si="0"/>
        <v>39</v>
      </c>
      <c r="P2" s="31">
        <f t="shared" si="0"/>
        <v>39.5</v>
      </c>
      <c r="Q2" s="31">
        <f t="shared" si="0"/>
        <v>40</v>
      </c>
      <c r="R2" s="31">
        <f t="shared" si="0"/>
        <v>40.5</v>
      </c>
      <c r="S2" s="31">
        <f t="shared" si="0"/>
        <v>41</v>
      </c>
      <c r="T2" s="31">
        <f t="shared" si="0"/>
        <v>41.5</v>
      </c>
      <c r="U2" s="31">
        <f t="shared" si="0"/>
        <v>42</v>
      </c>
      <c r="V2" s="31">
        <f t="shared" si="0"/>
        <v>42.5</v>
      </c>
      <c r="W2" s="31">
        <f t="shared" si="0"/>
        <v>43</v>
      </c>
      <c r="X2" s="31">
        <f t="shared" si="0"/>
        <v>43.5</v>
      </c>
      <c r="Y2" s="31">
        <f t="shared" si="0"/>
        <v>44</v>
      </c>
      <c r="Z2" s="31">
        <f t="shared" si="0"/>
        <v>44.5</v>
      </c>
      <c r="AA2" s="31">
        <f t="shared" si="0"/>
        <v>45</v>
      </c>
      <c r="AB2" s="31">
        <f t="shared" si="0"/>
        <v>45.5</v>
      </c>
      <c r="AC2" s="31">
        <f t="shared" ref="AC2" si="1">AB2+$C$3</f>
        <v>46</v>
      </c>
      <c r="AD2" s="31">
        <f t="shared" ref="AD2" si="2">AC2+$C$3</f>
        <v>46.5</v>
      </c>
      <c r="AE2" s="31">
        <f t="shared" ref="AE2" si="3">AD2+$C$3</f>
        <v>47</v>
      </c>
      <c r="AF2" s="31">
        <f t="shared" ref="AF2" si="4">AE2+$C$3</f>
        <v>47.5</v>
      </c>
      <c r="AG2" s="31">
        <f t="shared" ref="AG2" si="5">AF2+$C$3</f>
        <v>48</v>
      </c>
      <c r="AH2" s="31">
        <f t="shared" ref="AH2" si="6">AG2+$C$3</f>
        <v>48.5</v>
      </c>
      <c r="AI2" s="31">
        <f t="shared" ref="AI2" si="7">AH2+$C$3</f>
        <v>49</v>
      </c>
      <c r="AJ2" s="31">
        <f t="shared" ref="AJ2" si="8">AI2+$C$3</f>
        <v>49.5</v>
      </c>
      <c r="AK2" s="31">
        <f t="shared" ref="AK2" si="9">AJ2+$C$3</f>
        <v>50</v>
      </c>
      <c r="AL2" s="33"/>
      <c r="AM2" s="33"/>
      <c r="AN2" s="33"/>
      <c r="AO2" s="33"/>
      <c r="AP2" s="33"/>
      <c r="AQ2" s="33"/>
      <c r="AR2" s="33"/>
      <c r="AS2" s="33"/>
    </row>
    <row r="3" spans="2:45" x14ac:dyDescent="0.25">
      <c r="B3" s="1" t="s">
        <v>4</v>
      </c>
      <c r="C3">
        <v>0.5</v>
      </c>
      <c r="J3" s="31">
        <v>1E-4</v>
      </c>
      <c r="K3">
        <f t="shared" ref="K3:T12" si="10">_xlfn.NORM.S.DIST((LN(K$2/$B$59)+($F$61+$F$60^2/2)*$J3)/($F$60*SQRT($J3)),0)*K$2*SQRT($J3)</f>
        <v>0</v>
      </c>
      <c r="L3">
        <f t="shared" si="10"/>
        <v>0</v>
      </c>
      <c r="M3">
        <f t="shared" si="10"/>
        <v>0</v>
      </c>
      <c r="N3">
        <f t="shared" si="10"/>
        <v>0</v>
      </c>
      <c r="O3">
        <f t="shared" si="10"/>
        <v>0</v>
      </c>
      <c r="P3">
        <f t="shared" si="10"/>
        <v>0</v>
      </c>
      <c r="Q3">
        <f t="shared" si="10"/>
        <v>0</v>
      </c>
      <c r="R3">
        <f t="shared" si="10"/>
        <v>0</v>
      </c>
      <c r="S3">
        <f t="shared" si="10"/>
        <v>0</v>
      </c>
      <c r="T3">
        <f t="shared" si="10"/>
        <v>0</v>
      </c>
      <c r="U3">
        <f t="shared" ref="U3:AJ18" si="11">_xlfn.NORM.S.DIST((LN(U$2/$B$59)+($F$61+$F$60^2/2)*$J3)/($F$60*SQRT($J3)),0)*U$2*SQRT($J3)</f>
        <v>1.5578914029160286E-279</v>
      </c>
      <c r="V3">
        <f t="shared" si="11"/>
        <v>4.6827372539959358E-156</v>
      </c>
      <c r="W3">
        <f t="shared" si="11"/>
        <v>2.1987847974247206E-69</v>
      </c>
      <c r="X3">
        <f t="shared" si="11"/>
        <v>2.9180153261235143E-18</v>
      </c>
      <c r="Y3">
        <f t="shared" si="11"/>
        <v>0.17553418302758694</v>
      </c>
      <c r="Z3">
        <f t="shared" si="11"/>
        <v>6.8466185997103664E-18</v>
      </c>
      <c r="AA3">
        <f t="shared" si="11"/>
        <v>2.2219786361132552E-66</v>
      </c>
      <c r="AB3">
        <f t="shared" si="11"/>
        <v>6.9448435800618513E-146</v>
      </c>
      <c r="AC3">
        <f t="shared" si="11"/>
        <v>2.1936902140998242E-255</v>
      </c>
      <c r="AD3">
        <f t="shared" si="11"/>
        <v>0</v>
      </c>
      <c r="AE3">
        <f t="shared" si="11"/>
        <v>0</v>
      </c>
      <c r="AF3">
        <f t="shared" si="11"/>
        <v>0</v>
      </c>
      <c r="AG3">
        <f t="shared" si="11"/>
        <v>0</v>
      </c>
      <c r="AH3">
        <f t="shared" si="11"/>
        <v>0</v>
      </c>
      <c r="AI3">
        <f t="shared" si="11"/>
        <v>0</v>
      </c>
      <c r="AJ3">
        <f t="shared" si="11"/>
        <v>0</v>
      </c>
      <c r="AK3">
        <f t="shared" ref="AK3:AK55" si="12">_xlfn.NORM.S.DIST((LN(AK$2/$B$59)+($F$61+$F$60^2/2)*$J3)/($F$60*SQRT($J3)),0)*AK$2*SQRT($J3)</f>
        <v>0</v>
      </c>
    </row>
    <row r="4" spans="2:45" x14ac:dyDescent="0.25">
      <c r="B4" s="1" t="s">
        <v>3</v>
      </c>
      <c r="J4" s="31">
        <f t="shared" ref="J4:J35" si="13">J3+$C$5</f>
        <v>1.01E-2</v>
      </c>
      <c r="K4">
        <f t="shared" si="10"/>
        <v>1.2684636817825181E-38</v>
      </c>
      <c r="L4">
        <f t="shared" si="10"/>
        <v>6.1347051394395894E-33</v>
      </c>
      <c r="M4">
        <f t="shared" si="10"/>
        <v>8.8644060959681936E-28</v>
      </c>
      <c r="N4">
        <f t="shared" si="10"/>
        <v>4.0031235878726067E-23</v>
      </c>
      <c r="O4">
        <f t="shared" si="10"/>
        <v>5.8977761715056116E-19</v>
      </c>
      <c r="P4">
        <f t="shared" si="10"/>
        <v>2.9533120577022453E-15</v>
      </c>
      <c r="Q4">
        <f t="shared" si="10"/>
        <v>5.2269412529198719E-12</v>
      </c>
      <c r="R4">
        <f t="shared" si="10"/>
        <v>3.3941208016533911E-9</v>
      </c>
      <c r="S4">
        <f t="shared" si="10"/>
        <v>8.3801790558212859E-7</v>
      </c>
      <c r="T4">
        <f t="shared" si="10"/>
        <v>8.1404910653842341E-5</v>
      </c>
      <c r="U4">
        <f t="shared" si="11"/>
        <v>3.2144076884882541E-3</v>
      </c>
      <c r="V4">
        <f t="shared" si="11"/>
        <v>5.3232544721691435E-2</v>
      </c>
      <c r="W4">
        <f t="shared" si="11"/>
        <v>0.38095665396827388</v>
      </c>
      <c r="X4">
        <f t="shared" si="11"/>
        <v>1.2123989070343775</v>
      </c>
      <c r="Y4">
        <f t="shared" si="11"/>
        <v>1.763674312204734</v>
      </c>
      <c r="Z4">
        <f t="shared" si="11"/>
        <v>1.2040195894998269</v>
      </c>
      <c r="AA4">
        <f t="shared" si="11"/>
        <v>0.39560660611639181</v>
      </c>
      <c r="AB4">
        <f t="shared" si="11"/>
        <v>6.4096942455977204E-2</v>
      </c>
      <c r="AC4">
        <f t="shared" si="11"/>
        <v>5.2415812977792218E-3</v>
      </c>
      <c r="AD4">
        <f t="shared" si="11"/>
        <v>2.2123058341352303E-4</v>
      </c>
      <c r="AE4">
        <f t="shared" si="11"/>
        <v>4.9239207278314584E-6</v>
      </c>
      <c r="AF4">
        <f t="shared" si="11"/>
        <v>5.899594975558882E-8</v>
      </c>
      <c r="AG4">
        <f t="shared" si="11"/>
        <v>3.8814597612043569E-10</v>
      </c>
      <c r="AH4">
        <f t="shared" si="11"/>
        <v>1.4292783438038483E-12</v>
      </c>
      <c r="AI4">
        <f t="shared" si="11"/>
        <v>3.0002708046781735E-15</v>
      </c>
      <c r="AJ4">
        <f t="shared" si="11"/>
        <v>3.6542616077883149E-18</v>
      </c>
      <c r="AK4">
        <f t="shared" si="12"/>
        <v>2.6267711899149447E-21</v>
      </c>
    </row>
    <row r="5" spans="2:45" x14ac:dyDescent="0.25">
      <c r="B5" s="1" t="s">
        <v>7</v>
      </c>
      <c r="C5">
        <v>0.01</v>
      </c>
      <c r="J5" s="31">
        <f t="shared" si="13"/>
        <v>2.01E-2</v>
      </c>
      <c r="K5">
        <f t="shared" si="10"/>
        <v>1.7983931587286957E-19</v>
      </c>
      <c r="L5">
        <f t="shared" si="10"/>
        <v>1.2861775318338398E-16</v>
      </c>
      <c r="M5">
        <f t="shared" si="10"/>
        <v>5.0131243002510863E-14</v>
      </c>
      <c r="N5">
        <f t="shared" si="10"/>
        <v>1.0892606463106822E-11</v>
      </c>
      <c r="O5">
        <f t="shared" si="10"/>
        <v>1.3481553170471506E-9</v>
      </c>
      <c r="P5">
        <f t="shared" si="10"/>
        <v>9.7022477053249841E-8</v>
      </c>
      <c r="Q5">
        <f t="shared" si="10"/>
        <v>4.1406018857322394E-6</v>
      </c>
      <c r="R5">
        <f t="shared" si="10"/>
        <v>1.0677390721442304E-4</v>
      </c>
      <c r="S5">
        <f t="shared" si="10"/>
        <v>1.6938221420426899E-3</v>
      </c>
      <c r="T5">
        <f t="shared" si="10"/>
        <v>1.6815907424775688E-2</v>
      </c>
      <c r="U5">
        <f t="shared" si="11"/>
        <v>0.10620580765065124</v>
      </c>
      <c r="V5">
        <f t="shared" si="11"/>
        <v>0.4334823004687855</v>
      </c>
      <c r="W5">
        <f t="shared" si="11"/>
        <v>1.1606987942403073</v>
      </c>
      <c r="X5">
        <f t="shared" si="11"/>
        <v>2.0684643436118946</v>
      </c>
      <c r="Y5">
        <f t="shared" si="11"/>
        <v>2.4874349468350987</v>
      </c>
      <c r="Z5">
        <f t="shared" si="11"/>
        <v>2.0454004233871128</v>
      </c>
      <c r="AA5">
        <f t="shared" si="11"/>
        <v>1.1647721862473661</v>
      </c>
      <c r="AB5">
        <f t="shared" si="11"/>
        <v>0.46497537116835141</v>
      </c>
      <c r="AC5">
        <f t="shared" si="11"/>
        <v>0.13165085377468652</v>
      </c>
      <c r="AD5">
        <f t="shared" si="11"/>
        <v>2.6736172686230311E-2</v>
      </c>
      <c r="AE5">
        <f t="shared" si="11"/>
        <v>3.9367882753190836E-3</v>
      </c>
      <c r="AF5">
        <f t="shared" si="11"/>
        <v>4.2467351739128127E-4</v>
      </c>
      <c r="AG5">
        <f t="shared" si="11"/>
        <v>3.3897520221981796E-5</v>
      </c>
      <c r="AH5">
        <f t="shared" si="11"/>
        <v>2.0213621326326367E-6</v>
      </c>
      <c r="AI5">
        <f t="shared" si="11"/>
        <v>9.0884498880713057E-8</v>
      </c>
      <c r="AJ5">
        <f t="shared" si="11"/>
        <v>3.1085695049075732E-9</v>
      </c>
      <c r="AK5">
        <f t="shared" si="12"/>
        <v>8.1577132767415149E-11</v>
      </c>
    </row>
    <row r="6" spans="2:45" x14ac:dyDescent="0.25">
      <c r="J6" s="31">
        <f t="shared" si="13"/>
        <v>3.0100000000000002E-2</v>
      </c>
      <c r="K6">
        <f t="shared" si="10"/>
        <v>5.2317132540420489E-13</v>
      </c>
      <c r="L6">
        <f t="shared" si="10"/>
        <v>4.2017047725596018E-11</v>
      </c>
      <c r="M6">
        <f t="shared" si="10"/>
        <v>2.2500573801113421E-9</v>
      </c>
      <c r="N6">
        <f t="shared" si="10"/>
        <v>8.1565819653731197E-8</v>
      </c>
      <c r="O6">
        <f t="shared" si="10"/>
        <v>2.0306042720630166E-6</v>
      </c>
      <c r="P6">
        <f t="shared" si="10"/>
        <v>3.5197679650829901E-5</v>
      </c>
      <c r="Q6">
        <f t="shared" si="10"/>
        <v>4.3040077730250123E-4</v>
      </c>
      <c r="R6">
        <f t="shared" si="10"/>
        <v>3.7596337390086139E-3</v>
      </c>
      <c r="S6">
        <f t="shared" si="10"/>
        <v>2.3742880296243368E-2</v>
      </c>
      <c r="T6">
        <f t="shared" si="10"/>
        <v>0.10965044689149886</v>
      </c>
      <c r="U6">
        <f t="shared" si="11"/>
        <v>0.37439884789362893</v>
      </c>
      <c r="V6">
        <f t="shared" si="11"/>
        <v>0.95512314414458899</v>
      </c>
      <c r="W6">
        <f t="shared" si="11"/>
        <v>1.8388452511228994</v>
      </c>
      <c r="X6">
        <f t="shared" si="11"/>
        <v>2.6975452844476111</v>
      </c>
      <c r="Y6">
        <f t="shared" si="11"/>
        <v>3.0432172077112103</v>
      </c>
      <c r="Z6">
        <f t="shared" si="11"/>
        <v>2.6636410179673189</v>
      </c>
      <c r="AA6">
        <f t="shared" si="11"/>
        <v>1.8242241858117578</v>
      </c>
      <c r="AB6">
        <f t="shared" si="11"/>
        <v>0.9855369820209251</v>
      </c>
      <c r="AC6">
        <f t="shared" si="11"/>
        <v>0.42330250973921513</v>
      </c>
      <c r="AD6">
        <f t="shared" si="11"/>
        <v>0.14563591084023916</v>
      </c>
      <c r="AE6">
        <f t="shared" si="11"/>
        <v>4.0425405770333843E-2</v>
      </c>
      <c r="AF6">
        <f t="shared" si="11"/>
        <v>9.1162315502568338E-3</v>
      </c>
      <c r="AG6">
        <f t="shared" si="11"/>
        <v>1.6812880865451094E-3</v>
      </c>
      <c r="AH6">
        <f t="shared" si="11"/>
        <v>2.5522018311408641E-4</v>
      </c>
      <c r="AI6">
        <f t="shared" si="11"/>
        <v>3.2085506772764407E-5</v>
      </c>
      <c r="AJ6">
        <f t="shared" si="11"/>
        <v>3.3604562101124369E-6</v>
      </c>
      <c r="AK6">
        <f t="shared" si="12"/>
        <v>2.9489106191959762E-7</v>
      </c>
    </row>
    <row r="7" spans="2:45" x14ac:dyDescent="0.25">
      <c r="J7" s="31">
        <f t="shared" si="13"/>
        <v>4.0100000000000004E-2</v>
      </c>
      <c r="K7">
        <f t="shared" si="10"/>
        <v>9.4813079792810029E-10</v>
      </c>
      <c r="L7">
        <f t="shared" si="10"/>
        <v>2.544769402806455E-8</v>
      </c>
      <c r="M7">
        <f t="shared" si="10"/>
        <v>5.0387392447108406E-7</v>
      </c>
      <c r="N7">
        <f t="shared" si="10"/>
        <v>7.4441037835744165E-6</v>
      </c>
      <c r="O7">
        <f t="shared" si="10"/>
        <v>8.2949840454067271E-5</v>
      </c>
      <c r="P7">
        <f t="shared" si="10"/>
        <v>7.0438738746410529E-4</v>
      </c>
      <c r="Q7">
        <f t="shared" si="10"/>
        <v>4.6033890830482925E-3</v>
      </c>
      <c r="R7">
        <f t="shared" si="10"/>
        <v>2.3372189269330799E-2</v>
      </c>
      <c r="S7">
        <f t="shared" si="10"/>
        <v>9.3021017296667716E-2</v>
      </c>
      <c r="T7">
        <f t="shared" si="10"/>
        <v>0.29272236483015374</v>
      </c>
      <c r="U7">
        <f t="shared" si="11"/>
        <v>0.73433634779303791</v>
      </c>
      <c r="V7">
        <f t="shared" si="11"/>
        <v>1.4801859741418171</v>
      </c>
      <c r="W7">
        <f t="shared" si="11"/>
        <v>2.4154179638812132</v>
      </c>
      <c r="X7">
        <f t="shared" si="11"/>
        <v>3.2140898522202539</v>
      </c>
      <c r="Y7">
        <f t="shared" si="11"/>
        <v>3.5117038987048876</v>
      </c>
      <c r="Z7">
        <f t="shared" si="11"/>
        <v>3.1714108677494472</v>
      </c>
      <c r="AA7">
        <f t="shared" si="11"/>
        <v>2.3824559691228164</v>
      </c>
      <c r="AB7">
        <f t="shared" si="11"/>
        <v>1.4979120898116023</v>
      </c>
      <c r="AC7">
        <f t="shared" si="11"/>
        <v>0.79283352047846645</v>
      </c>
      <c r="AD7">
        <f t="shared" si="11"/>
        <v>0.35526803838533716</v>
      </c>
      <c r="AE7">
        <f t="shared" si="11"/>
        <v>0.13550549760571354</v>
      </c>
      <c r="AF7">
        <f t="shared" si="11"/>
        <v>4.4222277576227979E-2</v>
      </c>
      <c r="AG7">
        <f t="shared" si="11"/>
        <v>1.2410189765438409E-2</v>
      </c>
      <c r="AH7">
        <f t="shared" si="11"/>
        <v>3.0092316798707693E-3</v>
      </c>
      <c r="AI7">
        <f t="shared" si="11"/>
        <v>6.3340341943424249E-4</v>
      </c>
      <c r="AJ7">
        <f t="shared" si="11"/>
        <v>1.1624787832774013E-4</v>
      </c>
      <c r="AK7">
        <f t="shared" si="12"/>
        <v>1.8682278693153135E-5</v>
      </c>
    </row>
    <row r="8" spans="2:45" x14ac:dyDescent="0.25">
      <c r="J8" s="31">
        <f t="shared" si="13"/>
        <v>5.0100000000000006E-2</v>
      </c>
      <c r="K8">
        <f t="shared" si="10"/>
        <v>8.8162985475973587E-8</v>
      </c>
      <c r="L8">
        <f t="shared" si="10"/>
        <v>1.2248575265666862E-6</v>
      </c>
      <c r="M8">
        <f t="shared" si="10"/>
        <v>1.3340044351334494E-5</v>
      </c>
      <c r="N8">
        <f t="shared" si="10"/>
        <v>1.1493230750644212E-4</v>
      </c>
      <c r="O8">
        <f t="shared" si="10"/>
        <v>7.9012927876426372E-4</v>
      </c>
      <c r="P8">
        <f t="shared" si="10"/>
        <v>4.370298671184639E-3</v>
      </c>
      <c r="Q8">
        <f t="shared" si="10"/>
        <v>1.9602174480548341E-2</v>
      </c>
      <c r="R8">
        <f t="shared" si="10"/>
        <v>7.1836861368850924E-2</v>
      </c>
      <c r="S8">
        <f t="shared" si="10"/>
        <v>0.21665327080526836</v>
      </c>
      <c r="T8">
        <f t="shared" si="10"/>
        <v>0.54143427495735408</v>
      </c>
      <c r="U8">
        <f t="shared" si="11"/>
        <v>1.1286180310942409</v>
      </c>
      <c r="V8">
        <f t="shared" si="11"/>
        <v>1.9747148895833921</v>
      </c>
      <c r="W8">
        <f t="shared" si="11"/>
        <v>2.9176768602029552</v>
      </c>
      <c r="X8">
        <f t="shared" si="11"/>
        <v>3.6614608114558838</v>
      </c>
      <c r="Y8">
        <f t="shared" si="11"/>
        <v>3.9242852377117603</v>
      </c>
      <c r="Z8">
        <f t="shared" si="11"/>
        <v>3.6112800204110922</v>
      </c>
      <c r="AA8">
        <f t="shared" si="11"/>
        <v>2.8679232478707903</v>
      </c>
      <c r="AB8">
        <f t="shared" si="11"/>
        <v>1.9751568605569878</v>
      </c>
      <c r="AC8">
        <f t="shared" si="11"/>
        <v>1.1852237742954503</v>
      </c>
      <c r="AD8">
        <f t="shared" si="11"/>
        <v>0.6224722736766507</v>
      </c>
      <c r="AE8">
        <f t="shared" si="11"/>
        <v>0.28736898900028673</v>
      </c>
      <c r="AF8">
        <f t="shared" si="11"/>
        <v>0.11710250674858719</v>
      </c>
      <c r="AG8">
        <f t="shared" si="11"/>
        <v>4.2289775749394201E-2</v>
      </c>
      <c r="AH8">
        <f t="shared" si="11"/>
        <v>1.3586812347300515E-2</v>
      </c>
      <c r="AI8">
        <f t="shared" si="11"/>
        <v>3.8978004156388513E-3</v>
      </c>
      <c r="AJ8">
        <f t="shared" si="11"/>
        <v>1.0020465773439762E-3</v>
      </c>
      <c r="AK8">
        <f t="shared" si="12"/>
        <v>2.3163884515646705E-4</v>
      </c>
    </row>
    <row r="9" spans="2:45" x14ac:dyDescent="0.25">
      <c r="J9" s="31">
        <f t="shared" si="13"/>
        <v>6.0100000000000008E-2</v>
      </c>
      <c r="K9">
        <f t="shared" si="10"/>
        <v>1.8445165478934604E-6</v>
      </c>
      <c r="L9">
        <f t="shared" si="10"/>
        <v>1.6514647175437797E-5</v>
      </c>
      <c r="M9">
        <f t="shared" si="10"/>
        <v>1.2070608950819009E-4</v>
      </c>
      <c r="N9">
        <f t="shared" si="10"/>
        <v>7.2568310750526334E-4</v>
      </c>
      <c r="O9">
        <f t="shared" si="10"/>
        <v>3.6145588987058241E-3</v>
      </c>
      <c r="P9">
        <f t="shared" si="10"/>
        <v>1.5019067552319845E-2</v>
      </c>
      <c r="Q9">
        <f t="shared" si="10"/>
        <v>5.2403880686660319E-2</v>
      </c>
      <c r="R9">
        <f t="shared" si="10"/>
        <v>0.15450490891222601</v>
      </c>
      <c r="S9">
        <f t="shared" si="10"/>
        <v>0.38724353596068101</v>
      </c>
      <c r="T9">
        <f t="shared" si="10"/>
        <v>0.82981180013137579</v>
      </c>
      <c r="U9">
        <f t="shared" si="11"/>
        <v>1.5286602710954493</v>
      </c>
      <c r="V9">
        <f t="shared" si="11"/>
        <v>2.433651627997707</v>
      </c>
      <c r="W9">
        <f t="shared" si="11"/>
        <v>3.3651554203734007</v>
      </c>
      <c r="X9">
        <f t="shared" si="11"/>
        <v>4.0610892121695139</v>
      </c>
      <c r="Y9">
        <f t="shared" si="11"/>
        <v>4.2970948502175643</v>
      </c>
      <c r="Z9">
        <f t="shared" si="11"/>
        <v>4.0042764505210116</v>
      </c>
      <c r="AA9">
        <f t="shared" si="11"/>
        <v>3.3001457593025587</v>
      </c>
      <c r="AB9">
        <f t="shared" si="11"/>
        <v>2.4152989181096229</v>
      </c>
      <c r="AC9">
        <f t="shared" si="11"/>
        <v>1.5759239977108705</v>
      </c>
      <c r="AD9">
        <f t="shared" si="11"/>
        <v>0.92014622244501265</v>
      </c>
      <c r="AE9">
        <f t="shared" si="11"/>
        <v>0.48250534952065982</v>
      </c>
      <c r="AF9">
        <f t="shared" si="11"/>
        <v>0.22802194626658004</v>
      </c>
      <c r="AG9">
        <f t="shared" si="11"/>
        <v>9.7437882601144568E-2</v>
      </c>
      <c r="AH9">
        <f t="shared" si="11"/>
        <v>3.7770071446739634E-2</v>
      </c>
      <c r="AI9">
        <f t="shared" si="11"/>
        <v>1.3322198693139361E-2</v>
      </c>
      <c r="AJ9">
        <f t="shared" si="11"/>
        <v>4.2884582104836897E-3</v>
      </c>
      <c r="AK9">
        <f t="shared" si="12"/>
        <v>1.2634692487685315E-3</v>
      </c>
    </row>
    <row r="10" spans="2:45" x14ac:dyDescent="0.25">
      <c r="J10" s="31">
        <f t="shared" si="13"/>
        <v>7.010000000000001E-2</v>
      </c>
      <c r="K10">
        <f t="shared" si="10"/>
        <v>1.6400324412694217E-5</v>
      </c>
      <c r="L10">
        <f t="shared" si="10"/>
        <v>1.0726714893951965E-4</v>
      </c>
      <c r="M10">
        <f t="shared" si="10"/>
        <v>5.8956717239281014E-4</v>
      </c>
      <c r="N10">
        <f t="shared" si="10"/>
        <v>2.740741878437486E-3</v>
      </c>
      <c r="O10">
        <f t="shared" si="10"/>
        <v>1.0843181290344525E-2</v>
      </c>
      <c r="P10">
        <f t="shared" si="10"/>
        <v>3.6724965452247266E-2</v>
      </c>
      <c r="Q10">
        <f t="shared" si="10"/>
        <v>0.10708493563932939</v>
      </c>
      <c r="R10">
        <f t="shared" si="10"/>
        <v>0.27026775610964165</v>
      </c>
      <c r="S10">
        <f t="shared" si="10"/>
        <v>0.59346066392028451</v>
      </c>
      <c r="T10">
        <f t="shared" si="10"/>
        <v>1.1393483525305841</v>
      </c>
      <c r="U10">
        <f t="shared" si="11"/>
        <v>1.9214558362637846</v>
      </c>
      <c r="V10">
        <f t="shared" si="11"/>
        <v>2.8593563086727873</v>
      </c>
      <c r="W10">
        <f t="shared" si="11"/>
        <v>3.7708719083979036</v>
      </c>
      <c r="X10">
        <f t="shared" si="11"/>
        <v>4.4253114019448976</v>
      </c>
      <c r="Y10">
        <f t="shared" si="11"/>
        <v>4.6397300524478231</v>
      </c>
      <c r="Z10">
        <f t="shared" si="11"/>
        <v>4.3625040493967058</v>
      </c>
      <c r="AA10">
        <f t="shared" si="11"/>
        <v>3.6919295974750912</v>
      </c>
      <c r="AB10">
        <f t="shared" si="11"/>
        <v>2.8220306170878775</v>
      </c>
      <c r="AC10">
        <f t="shared" si="11"/>
        <v>1.954863183844185</v>
      </c>
      <c r="AD10">
        <f t="shared" si="11"/>
        <v>1.231162023907687</v>
      </c>
      <c r="AE10">
        <f t="shared" si="11"/>
        <v>0.70713313224673313</v>
      </c>
      <c r="AF10">
        <f t="shared" si="11"/>
        <v>0.37150524181904909</v>
      </c>
      <c r="AG10">
        <f t="shared" si="11"/>
        <v>0.17903887915939029</v>
      </c>
      <c r="AH10">
        <f t="shared" si="11"/>
        <v>7.9367338857428638E-2</v>
      </c>
      <c r="AI10">
        <f t="shared" si="11"/>
        <v>3.2448643565334445E-2</v>
      </c>
      <c r="AJ10">
        <f t="shared" si="11"/>
        <v>1.2266385247496415E-2</v>
      </c>
      <c r="AK10">
        <f t="shared" si="12"/>
        <v>4.2979948846755493E-3</v>
      </c>
    </row>
    <row r="11" spans="2:45" x14ac:dyDescent="0.25">
      <c r="J11" s="31">
        <f t="shared" si="13"/>
        <v>8.0100000000000005E-2</v>
      </c>
      <c r="K11">
        <f>_xlfn.NORM.S.DIST((LN(K$2/$B$59)+($F$61+$F$60^2/2)*$J11)/($F$60*SQRT($J11)),0)*K$2*SQRT($J11)</f>
        <v>8.525709969556112E-5</v>
      </c>
      <c r="L11">
        <f t="shared" si="10"/>
        <v>4.4057815137914691E-4</v>
      </c>
      <c r="M11">
        <f t="shared" si="10"/>
        <v>1.955266149867151E-3</v>
      </c>
      <c r="N11">
        <f t="shared" si="10"/>
        <v>7.4945165549484098E-3</v>
      </c>
      <c r="O11">
        <f t="shared" si="10"/>
        <v>2.4945155029644981E-2</v>
      </c>
      <c r="P11">
        <f t="shared" si="10"/>
        <v>7.2472948980744981E-2</v>
      </c>
      <c r="Q11">
        <f t="shared" si="10"/>
        <v>0.18469428899456938</v>
      </c>
      <c r="R11">
        <f t="shared" si="10"/>
        <v>0.41482365928119846</v>
      </c>
      <c r="S11">
        <f t="shared" si="10"/>
        <v>0.82482183087685002</v>
      </c>
      <c r="T11">
        <f t="shared" si="10"/>
        <v>1.4581819276239909</v>
      </c>
      <c r="U11">
        <f t="shared" si="11"/>
        <v>2.3014709485053109</v>
      </c>
      <c r="V11">
        <f t="shared" si="11"/>
        <v>3.2557574894495076</v>
      </c>
      <c r="W11">
        <f t="shared" si="11"/>
        <v>4.1437087308097906</v>
      </c>
      <c r="X11">
        <f t="shared" si="11"/>
        <v>4.7619625919415016</v>
      </c>
      <c r="Y11">
        <f t="shared" si="11"/>
        <v>4.9584502782536326</v>
      </c>
      <c r="Z11">
        <f t="shared" si="11"/>
        <v>4.6936512835176751</v>
      </c>
      <c r="AA11">
        <f t="shared" si="11"/>
        <v>4.0519432480058146</v>
      </c>
      <c r="AB11">
        <f t="shared" si="11"/>
        <v>3.1998562120074485</v>
      </c>
      <c r="AC11">
        <f t="shared" si="11"/>
        <v>2.3183869298977009</v>
      </c>
      <c r="AD11">
        <f t="shared" si="11"/>
        <v>1.5454429329428487</v>
      </c>
      <c r="AE11">
        <f t="shared" si="11"/>
        <v>0.95040083021503008</v>
      </c>
      <c r="AF11">
        <f t="shared" si="11"/>
        <v>0.5406010107546767</v>
      </c>
      <c r="AG11">
        <f t="shared" si="11"/>
        <v>0.28513397652886979</v>
      </c>
      <c r="AH11">
        <f t="shared" si="11"/>
        <v>0.13978723109263727</v>
      </c>
      <c r="AI11">
        <f t="shared" si="11"/>
        <v>6.3846517812793269E-2</v>
      </c>
      <c r="AJ11">
        <f t="shared" si="11"/>
        <v>2.7228588975765525E-2</v>
      </c>
      <c r="AK11">
        <f t="shared" si="12"/>
        <v>1.0865814276571807E-2</v>
      </c>
    </row>
    <row r="12" spans="2:45" x14ac:dyDescent="0.25">
      <c r="J12" s="31">
        <f t="shared" si="13"/>
        <v>9.01E-2</v>
      </c>
      <c r="K12">
        <f t="shared" si="10"/>
        <v>3.0952434530980304E-4</v>
      </c>
      <c r="L12">
        <f t="shared" si="10"/>
        <v>1.3316137811474683E-3</v>
      </c>
      <c r="M12">
        <f t="shared" si="10"/>
        <v>5.0037485110091262E-3</v>
      </c>
      <c r="N12">
        <f t="shared" si="10"/>
        <v>1.6505816971694124E-2</v>
      </c>
      <c r="O12">
        <f t="shared" si="10"/>
        <v>4.8027722146841395E-2</v>
      </c>
      <c r="P12">
        <f t="shared" si="10"/>
        <v>0.12383792237009343</v>
      </c>
      <c r="Q12">
        <f t="shared" si="10"/>
        <v>0.28420058627469225</v>
      </c>
      <c r="R12">
        <f t="shared" si="10"/>
        <v>0.58293961306974584</v>
      </c>
      <c r="S12">
        <f t="shared" si="10"/>
        <v>1.072967357454641</v>
      </c>
      <c r="T12">
        <f t="shared" si="10"/>
        <v>1.7789947448836745</v>
      </c>
      <c r="U12">
        <f t="shared" si="11"/>
        <v>2.6667164279611297</v>
      </c>
      <c r="V12">
        <f t="shared" si="11"/>
        <v>3.6267164688196929</v>
      </c>
      <c r="W12">
        <f t="shared" si="11"/>
        <v>4.4899440988022992</v>
      </c>
      <c r="X12">
        <f t="shared" si="11"/>
        <v>5.0763732767410596</v>
      </c>
      <c r="Y12">
        <f t="shared" si="11"/>
        <v>5.2576067624845955</v>
      </c>
      <c r="Z12">
        <f t="shared" si="11"/>
        <v>5.0029496694596718</v>
      </c>
      <c r="AA12">
        <f t="shared" si="11"/>
        <v>4.3862853539129523</v>
      </c>
      <c r="AB12">
        <f t="shared" si="11"/>
        <v>3.5528746267786633</v>
      </c>
      <c r="AC12">
        <f t="shared" si="11"/>
        <v>2.6656765111248082</v>
      </c>
      <c r="AD12">
        <f t="shared" si="11"/>
        <v>1.8572354638925979</v>
      </c>
      <c r="AE12">
        <f t="shared" si="11"/>
        <v>1.2044897829866494</v>
      </c>
      <c r="AF12">
        <f t="shared" si="11"/>
        <v>0.7288193599263546</v>
      </c>
      <c r="AG12">
        <f t="shared" si="11"/>
        <v>0.41236573561692413</v>
      </c>
      <c r="AH12">
        <f t="shared" si="11"/>
        <v>0.218634901857542</v>
      </c>
      <c r="AI12">
        <f t="shared" si="11"/>
        <v>0.10884884841833563</v>
      </c>
      <c r="AJ12">
        <f t="shared" si="11"/>
        <v>5.0986504414320719E-2</v>
      </c>
      <c r="AK12">
        <f t="shared" si="12"/>
        <v>2.2513411230848619E-2</v>
      </c>
    </row>
    <row r="13" spans="2:45" x14ac:dyDescent="0.25">
      <c r="J13" s="31">
        <f t="shared" si="13"/>
        <v>0.10009999999999999</v>
      </c>
      <c r="K13">
        <f t="shared" ref="K13:T22" si="14">_xlfn.NORM.S.DIST((LN(K$2/$B$59)+($F$61+$F$60^2/2)*$J13)/($F$60*SQRT($J13)),0)*K$2*SQRT($J13)</f>
        <v>8.7331305403175207E-4</v>
      </c>
      <c r="L13">
        <f t="shared" si="14"/>
        <v>3.2445193308058449E-3</v>
      </c>
      <c r="M13">
        <f t="shared" si="14"/>
        <v>1.0671870191181243E-2</v>
      </c>
      <c r="N13">
        <f t="shared" si="14"/>
        <v>3.1218505359518714E-2</v>
      </c>
      <c r="O13">
        <f t="shared" si="14"/>
        <v>8.1572788669140167E-2</v>
      </c>
      <c r="P13">
        <f t="shared" si="14"/>
        <v>0.1911763542525351</v>
      </c>
      <c r="Q13">
        <f t="shared" si="14"/>
        <v>0.40345157821691396</v>
      </c>
      <c r="R13">
        <f t="shared" si="14"/>
        <v>0.76957859714408228</v>
      </c>
      <c r="S13">
        <f t="shared" si="14"/>
        <v>1.3316260190357996</v>
      </c>
      <c r="T13">
        <f t="shared" si="14"/>
        <v>2.0973655658904504</v>
      </c>
      <c r="U13">
        <f t="shared" ref="U13:AJ28" si="15">_xlfn.NORM.S.DIST((LN(U$2/$B$59)+($F$61+$F$60^2/2)*$J13)/($F$60*SQRT($J13)),0)*U$2*SQRT($J13)</f>
        <v>3.0168834958339552</v>
      </c>
      <c r="V13">
        <f t="shared" si="15"/>
        <v>3.9756126361705606</v>
      </c>
      <c r="W13">
        <f t="shared" si="15"/>
        <v>4.8141666293867296</v>
      </c>
      <c r="X13">
        <f t="shared" si="15"/>
        <v>5.3723587147886107</v>
      </c>
      <c r="Y13">
        <f t="shared" si="15"/>
        <v>5.5403696798543942</v>
      </c>
      <c r="Z13">
        <f t="shared" si="15"/>
        <v>5.294144270909598</v>
      </c>
      <c r="AA13">
        <f t="shared" si="15"/>
        <v>4.6994002291242056</v>
      </c>
      <c r="AB13">
        <f t="shared" si="11"/>
        <v>3.884546714284919</v>
      </c>
      <c r="AC13">
        <f t="shared" si="11"/>
        <v>2.9971510271016619</v>
      </c>
      <c r="AD13">
        <f t="shared" si="11"/>
        <v>2.1633458796332223</v>
      </c>
      <c r="AE13">
        <f t="shared" si="11"/>
        <v>1.4639713577927007</v>
      </c>
      <c r="AF13">
        <f t="shared" si="11"/>
        <v>0.93074799819420617</v>
      </c>
      <c r="AG13">
        <f t="shared" si="11"/>
        <v>0.55704889481939146</v>
      </c>
      <c r="AH13">
        <f t="shared" si="11"/>
        <v>0.31445010569139825</v>
      </c>
      <c r="AI13">
        <f t="shared" si="11"/>
        <v>0.16773020511378381</v>
      </c>
      <c r="AJ13">
        <f t="shared" si="11"/>
        <v>8.4692626480558197E-2</v>
      </c>
      <c r="AK13">
        <f t="shared" si="12"/>
        <v>4.0550815093251383E-2</v>
      </c>
    </row>
    <row r="14" spans="2:45" x14ac:dyDescent="0.25">
      <c r="J14" s="31">
        <f t="shared" si="13"/>
        <v>0.11009999999999999</v>
      </c>
      <c r="K14">
        <f t="shared" si="14"/>
        <v>2.0500743493829759E-3</v>
      </c>
      <c r="L14">
        <f t="shared" si="14"/>
        <v>6.7548984745063783E-3</v>
      </c>
      <c r="M14">
        <f t="shared" si="14"/>
        <v>1.9924453777774943E-2</v>
      </c>
      <c r="N14">
        <f t="shared" si="14"/>
        <v>5.2828083256042623E-2</v>
      </c>
      <c r="O14">
        <f t="shared" si="14"/>
        <v>0.12640476484161883</v>
      </c>
      <c r="P14">
        <f t="shared" si="14"/>
        <v>0.27397640933497092</v>
      </c>
      <c r="Q14">
        <f t="shared" si="14"/>
        <v>0.53984747011603851</v>
      </c>
      <c r="R14">
        <f t="shared" si="14"/>
        <v>0.97034102853151127</v>
      </c>
      <c r="S14">
        <f t="shared" si="14"/>
        <v>1.5962262570423458</v>
      </c>
      <c r="T14">
        <f t="shared" si="14"/>
        <v>2.4106835651457561</v>
      </c>
      <c r="U14">
        <f t="shared" si="15"/>
        <v>3.3524450170332063</v>
      </c>
      <c r="V14">
        <f t="shared" si="15"/>
        <v>4.305295827389787</v>
      </c>
      <c r="W14">
        <f t="shared" si="15"/>
        <v>5.1198297058461897</v>
      </c>
      <c r="X14">
        <f t="shared" si="15"/>
        <v>5.6527582492209483</v>
      </c>
      <c r="Y14">
        <f t="shared" si="15"/>
        <v>5.8091336041596584</v>
      </c>
      <c r="Z14">
        <f t="shared" si="15"/>
        <v>5.5700226595380329</v>
      </c>
      <c r="AA14">
        <f t="shared" si="15"/>
        <v>4.9946261452030383</v>
      </c>
      <c r="AB14">
        <f t="shared" si="11"/>
        <v>4.1977305601543646</v>
      </c>
      <c r="AC14">
        <f t="shared" si="11"/>
        <v>3.3137379131059435</v>
      </c>
      <c r="AD14">
        <f t="shared" si="11"/>
        <v>2.4620876351945205</v>
      </c>
      <c r="AE14">
        <f t="shared" si="11"/>
        <v>1.7251440968503826</v>
      </c>
      <c r="AF14">
        <f t="shared" si="11"/>
        <v>1.1421029443186976</v>
      </c>
      <c r="AG14">
        <f t="shared" si="11"/>
        <v>0.71570314242058275</v>
      </c>
      <c r="AH14">
        <f t="shared" si="11"/>
        <v>0.42527317572286916</v>
      </c>
      <c r="AI14">
        <f t="shared" si="11"/>
        <v>0.24001658862712094</v>
      </c>
      <c r="AJ14">
        <f t="shared" si="11"/>
        <v>0.12887126324077014</v>
      </c>
      <c r="AK14">
        <f t="shared" si="12"/>
        <v>6.5930995517305149E-2</v>
      </c>
    </row>
    <row r="15" spans="2:45" x14ac:dyDescent="0.25">
      <c r="J15" s="31">
        <f t="shared" si="13"/>
        <v>0.12009999999999998</v>
      </c>
      <c r="K15">
        <f t="shared" si="14"/>
        <v>4.1906484490022737E-3</v>
      </c>
      <c r="L15">
        <f t="shared" si="14"/>
        <v>1.2493397064794274E-2</v>
      </c>
      <c r="M15">
        <f t="shared" si="14"/>
        <v>3.3651629534766588E-2</v>
      </c>
      <c r="N15">
        <f t="shared" si="14"/>
        <v>8.2205520709404345E-2</v>
      </c>
      <c r="O15">
        <f t="shared" si="14"/>
        <v>0.18278143975364858</v>
      </c>
      <c r="P15">
        <f t="shared" si="14"/>
        <v>0.37118848144601968</v>
      </c>
      <c r="Q15">
        <f t="shared" si="14"/>
        <v>0.69074137540898639</v>
      </c>
      <c r="R15">
        <f t="shared" si="14"/>
        <v>1.181566988916122</v>
      </c>
      <c r="S15">
        <f t="shared" si="14"/>
        <v>1.8634853978876591</v>
      </c>
      <c r="T15">
        <f t="shared" si="14"/>
        <v>2.7174660777267885</v>
      </c>
      <c r="U15">
        <f t="shared" si="15"/>
        <v>3.6742138443036336</v>
      </c>
      <c r="V15">
        <f t="shared" si="15"/>
        <v>4.6181430887606245</v>
      </c>
      <c r="W15">
        <f t="shared" si="15"/>
        <v>5.40959845453024</v>
      </c>
      <c r="X15">
        <f t="shared" si="15"/>
        <v>5.9197512595891899</v>
      </c>
      <c r="Y15">
        <f t="shared" si="15"/>
        <v>6.0657598122283218</v>
      </c>
      <c r="Z15">
        <f t="shared" si="15"/>
        <v>5.8327248136878769</v>
      </c>
      <c r="AA15">
        <f t="shared" si="15"/>
        <v>5.274535957877398</v>
      </c>
      <c r="AB15">
        <f t="shared" si="11"/>
        <v>4.494777653182779</v>
      </c>
      <c r="AC15">
        <f t="shared" si="11"/>
        <v>3.6165345742515758</v>
      </c>
      <c r="AD15">
        <f t="shared" si="11"/>
        <v>2.7526631162717647</v>
      </c>
      <c r="AE15">
        <f t="shared" si="11"/>
        <v>1.9855145428926135</v>
      </c>
      <c r="AF15">
        <f t="shared" si="11"/>
        <v>1.3595828363321329</v>
      </c>
      <c r="AG15">
        <f t="shared" si="11"/>
        <v>0.88526814974051149</v>
      </c>
      <c r="AH15">
        <f t="shared" si="11"/>
        <v>0.54900571089973593</v>
      </c>
      <c r="AI15">
        <f t="shared" si="11"/>
        <v>0.32477429252195722</v>
      </c>
      <c r="AJ15">
        <f t="shared" si="11"/>
        <v>0.18354135252944084</v>
      </c>
      <c r="AK15">
        <f t="shared" si="12"/>
        <v>9.9232615134505528E-2</v>
      </c>
    </row>
    <row r="16" spans="2:45" x14ac:dyDescent="0.25">
      <c r="J16" s="31">
        <f t="shared" si="13"/>
        <v>0.13009999999999999</v>
      </c>
      <c r="K16">
        <f t="shared" si="14"/>
        <v>7.6989927771377604E-3</v>
      </c>
      <c r="L16">
        <f t="shared" si="14"/>
        <v>2.1089330194677954E-2</v>
      </c>
      <c r="M16">
        <f t="shared" si="14"/>
        <v>5.2602894644889486E-2</v>
      </c>
      <c r="N16">
        <f t="shared" si="14"/>
        <v>0.11989226590892164</v>
      </c>
      <c r="O16">
        <f t="shared" si="14"/>
        <v>0.25052652622516847</v>
      </c>
      <c r="P16">
        <f t="shared" si="14"/>
        <v>0.48147898633235298</v>
      </c>
      <c r="Q16">
        <f t="shared" si="14"/>
        <v>0.85364937083747672</v>
      </c>
      <c r="R16">
        <f t="shared" si="14"/>
        <v>1.4002923361282262</v>
      </c>
      <c r="S16">
        <f t="shared" si="14"/>
        <v>2.1310691274364131</v>
      </c>
      <c r="T16">
        <f t="shared" si="14"/>
        <v>3.0169345681004911</v>
      </c>
      <c r="U16">
        <f t="shared" si="15"/>
        <v>3.9831234165475577</v>
      </c>
      <c r="V16">
        <f t="shared" si="15"/>
        <v>4.91613623616308</v>
      </c>
      <c r="W16">
        <f t="shared" si="15"/>
        <v>5.6855744080706012</v>
      </c>
      <c r="X16">
        <f t="shared" si="15"/>
        <v>6.1750530563130823</v>
      </c>
      <c r="Y16">
        <f t="shared" si="15"/>
        <v>6.3117291529536876</v>
      </c>
      <c r="Z16">
        <f t="shared" si="15"/>
        <v>6.0839352771925972</v>
      </c>
      <c r="AA16">
        <f t="shared" si="15"/>
        <v>5.5411565546557799</v>
      </c>
      <c r="AB16">
        <f t="shared" si="11"/>
        <v>4.7776297228481441</v>
      </c>
      <c r="AC16">
        <f t="shared" si="11"/>
        <v>3.9066518994421067</v>
      </c>
      <c r="AD16">
        <f t="shared" si="11"/>
        <v>3.0347990235724907</v>
      </c>
      <c r="AE16">
        <f t="shared" si="11"/>
        <v>2.2434241892750886</v>
      </c>
      <c r="AF16">
        <f t="shared" si="11"/>
        <v>1.5806808525354257</v>
      </c>
      <c r="AG16">
        <f t="shared" si="11"/>
        <v>1.0631550096985363</v>
      </c>
      <c r="AH16">
        <f t="shared" si="11"/>
        <v>0.68361456930531372</v>
      </c>
      <c r="AI16">
        <f t="shared" si="11"/>
        <v>0.42083002126097702</v>
      </c>
      <c r="AJ16">
        <f t="shared" si="11"/>
        <v>0.24835787455279654</v>
      </c>
      <c r="AK16">
        <f t="shared" si="12"/>
        <v>0.14070124474438392</v>
      </c>
    </row>
    <row r="17" spans="10:37" x14ac:dyDescent="0.25">
      <c r="J17" s="31">
        <f t="shared" si="13"/>
        <v>0.1401</v>
      </c>
      <c r="K17">
        <f t="shared" si="14"/>
        <v>1.3003345752804341E-2</v>
      </c>
      <c r="L17">
        <f t="shared" si="14"/>
        <v>3.3125520904417317E-2</v>
      </c>
      <c r="M17">
        <f t="shared" si="14"/>
        <v>7.7356329664515583E-2</v>
      </c>
      <c r="N17">
        <f t="shared" si="14"/>
        <v>0.16613565884937004</v>
      </c>
      <c r="O17">
        <f t="shared" si="14"/>
        <v>0.32915976764546157</v>
      </c>
      <c r="P17">
        <f t="shared" si="14"/>
        <v>0.60340509947908094</v>
      </c>
      <c r="Q17">
        <f t="shared" si="14"/>
        <v>1.0263439145764237</v>
      </c>
      <c r="R17">
        <f t="shared" si="14"/>
        <v>1.6241535262141789</v>
      </c>
      <c r="S17">
        <f t="shared" si="14"/>
        <v>2.397332067821432</v>
      </c>
      <c r="T17">
        <f t="shared" si="14"/>
        <v>3.308750293568266</v>
      </c>
      <c r="U17">
        <f t="shared" si="15"/>
        <v>4.2801192951809313</v>
      </c>
      <c r="V17">
        <f t="shared" si="15"/>
        <v>5.2009344212457407</v>
      </c>
      <c r="W17">
        <f t="shared" si="15"/>
        <v>5.9494456556095026</v>
      </c>
      <c r="X17">
        <f t="shared" si="15"/>
        <v>6.4200420279073596</v>
      </c>
      <c r="Y17">
        <f t="shared" si="15"/>
        <v>6.5482427975931525</v>
      </c>
      <c r="Z17">
        <f t="shared" si="15"/>
        <v>6.3250078954644771</v>
      </c>
      <c r="AA17">
        <f t="shared" si="15"/>
        <v>5.7961149981703732</v>
      </c>
      <c r="AB17">
        <f t="shared" si="11"/>
        <v>5.0479008788438433</v>
      </c>
      <c r="AC17">
        <f t="shared" si="11"/>
        <v>4.1851445491622705</v>
      </c>
      <c r="AD17">
        <f t="shared" si="11"/>
        <v>3.3085291694700922</v>
      </c>
      <c r="AE17">
        <f t="shared" si="11"/>
        <v>2.4977899086635853</v>
      </c>
      <c r="AF17">
        <f t="shared" si="11"/>
        <v>1.8035106138606247</v>
      </c>
      <c r="AG17">
        <f t="shared" si="11"/>
        <v>1.2472223282737585</v>
      </c>
      <c r="AH17">
        <f t="shared" si="11"/>
        <v>0.8272337133460278</v>
      </c>
      <c r="AI17">
        <f t="shared" si="11"/>
        <v>0.52692150657181014</v>
      </c>
      <c r="AJ17">
        <f t="shared" si="11"/>
        <v>0.32273761304914389</v>
      </c>
      <c r="AK17">
        <f t="shared" si="12"/>
        <v>0.19031421398876788</v>
      </c>
    </row>
    <row r="18" spans="10:37" x14ac:dyDescent="0.25">
      <c r="J18" s="31">
        <f t="shared" si="13"/>
        <v>0.15010000000000001</v>
      </c>
      <c r="K18">
        <f t="shared" si="14"/>
        <v>2.0528946562047779E-2</v>
      </c>
      <c r="L18">
        <f t="shared" si="14"/>
        <v>4.9108089369365969E-2</v>
      </c>
      <c r="M18">
        <f t="shared" si="14"/>
        <v>0.10831412104041448</v>
      </c>
      <c r="N18">
        <f t="shared" si="14"/>
        <v>0.22094145167543625</v>
      </c>
      <c r="O18">
        <f t="shared" si="14"/>
        <v>0.41800633831021083</v>
      </c>
      <c r="P18">
        <f t="shared" si="14"/>
        <v>0.73552606405158616</v>
      </c>
      <c r="Q18">
        <f t="shared" si="14"/>
        <v>1.2068813713756179</v>
      </c>
      <c r="R18">
        <f t="shared" si="14"/>
        <v>1.8512838610067726</v>
      </c>
      <c r="S18">
        <f t="shared" si="14"/>
        <v>2.6611270046139603</v>
      </c>
      <c r="T18">
        <f t="shared" si="14"/>
        <v>3.5928482302727112</v>
      </c>
      <c r="U18">
        <f t="shared" si="15"/>
        <v>4.5661072340033684</v>
      </c>
      <c r="V18">
        <f t="shared" si="15"/>
        <v>5.4739352004186479</v>
      </c>
      <c r="W18">
        <f t="shared" si="15"/>
        <v>6.2025900997168364</v>
      </c>
      <c r="X18">
        <f t="shared" si="15"/>
        <v>6.6558453426574813</v>
      </c>
      <c r="Y18">
        <f t="shared" si="15"/>
        <v>6.7762910732719996</v>
      </c>
      <c r="Z18">
        <f t="shared" si="15"/>
        <v>6.5570499017146346</v>
      </c>
      <c r="AA18">
        <f t="shared" si="15"/>
        <v>6.0407387647860391</v>
      </c>
      <c r="AB18">
        <f t="shared" si="11"/>
        <v>5.3069434154333379</v>
      </c>
      <c r="AC18">
        <f t="shared" si="11"/>
        <v>4.4529832600624148</v>
      </c>
      <c r="AD18">
        <f t="shared" si="11"/>
        <v>3.5740637116009792</v>
      </c>
      <c r="AE18">
        <f t="shared" si="11"/>
        <v>2.7479252830747893</v>
      </c>
      <c r="AF18">
        <f t="shared" si="11"/>
        <v>2.0266620166609179</v>
      </c>
      <c r="AG18">
        <f t="shared" si="11"/>
        <v>1.4357229701439735</v>
      </c>
      <c r="AH18">
        <f t="shared" si="11"/>
        <v>0.97820498453869176</v>
      </c>
      <c r="AI18">
        <f t="shared" si="11"/>
        <v>0.64179285341417491</v>
      </c>
      <c r="AJ18">
        <f t="shared" si="11"/>
        <v>0.40595828885099267</v>
      </c>
      <c r="AK18">
        <f t="shared" si="12"/>
        <v>0.24784834402261069</v>
      </c>
    </row>
    <row r="19" spans="10:37" x14ac:dyDescent="0.25">
      <c r="J19" s="31">
        <f t="shared" si="13"/>
        <v>0.16010000000000002</v>
      </c>
      <c r="K19">
        <f>_xlfn.NORM.S.DIST((LN(K$2/$B$59)+($F$61+$F$60^2/2)*$J19)/($F$60*SQRT($J19)),0)*K$2*SQRT($J19)</f>
        <v>3.067581060049902E-2</v>
      </c>
      <c r="L19">
        <f t="shared" si="14"/>
        <v>6.9450313300614561E-2</v>
      </c>
      <c r="M19">
        <f t="shared" si="14"/>
        <v>0.14571469625990396</v>
      </c>
      <c r="N19">
        <f t="shared" si="14"/>
        <v>0.28412909792058377</v>
      </c>
      <c r="O19">
        <f t="shared" si="14"/>
        <v>0.51628126442245481</v>
      </c>
      <c r="P19">
        <f t="shared" si="14"/>
        <v>0.87646893036993312</v>
      </c>
      <c r="Q19">
        <f t="shared" si="14"/>
        <v>1.3935950075476897</v>
      </c>
      <c r="R19">
        <f t="shared" si="14"/>
        <v>2.0802184196348552</v>
      </c>
      <c r="S19">
        <f t="shared" si="14"/>
        <v>2.9216666537172156</v>
      </c>
      <c r="T19">
        <f t="shared" si="14"/>
        <v>3.8693318208100043</v>
      </c>
      <c r="U19">
        <f t="shared" si="15"/>
        <v>4.8419304161624792</v>
      </c>
      <c r="V19">
        <f t="shared" si="15"/>
        <v>5.7363239185562511</v>
      </c>
      <c r="W19">
        <f t="shared" si="15"/>
        <v>6.4461482934339251</v>
      </c>
      <c r="X19">
        <f t="shared" si="15"/>
        <v>6.8833985739447909</v>
      </c>
      <c r="Y19">
        <f t="shared" si="15"/>
        <v>6.9967019317271628</v>
      </c>
      <c r="Z19">
        <f t="shared" si="15"/>
        <v>6.7809804252182637</v>
      </c>
      <c r="AA19">
        <f t="shared" si="15"/>
        <v>6.2761263128597848</v>
      </c>
      <c r="AB19">
        <f t="shared" si="15"/>
        <v>5.5558994600470681</v>
      </c>
      <c r="AC19">
        <f t="shared" si="15"/>
        <v>4.7110474806982099</v>
      </c>
      <c r="AD19">
        <f t="shared" si="15"/>
        <v>3.8317097576976993</v>
      </c>
      <c r="AE19">
        <f t="shared" si="15"/>
        <v>2.9934177748809589</v>
      </c>
      <c r="AF19">
        <f t="shared" si="15"/>
        <v>2.249087601490348</v>
      </c>
      <c r="AG19">
        <f t="shared" si="15"/>
        <v>1.6272438423350346</v>
      </c>
      <c r="AH19">
        <f t="shared" si="15"/>
        <v>1.1350847429712876</v>
      </c>
      <c r="AI19">
        <f t="shared" si="15"/>
        <v>0.76425042204579807</v>
      </c>
      <c r="AJ19">
        <f t="shared" si="15"/>
        <v>0.49723115719652111</v>
      </c>
      <c r="AK19">
        <f t="shared" si="12"/>
        <v>0.3129404587671894</v>
      </c>
    </row>
    <row r="20" spans="10:37" x14ac:dyDescent="0.25">
      <c r="J20" s="31">
        <f t="shared" si="13"/>
        <v>0.17010000000000003</v>
      </c>
      <c r="K20">
        <f t="shared" si="14"/>
        <v>4.3802817908804449E-2</v>
      </c>
      <c r="L20">
        <f t="shared" si="14"/>
        <v>9.4467642492087084E-2</v>
      </c>
      <c r="M20">
        <f t="shared" si="14"/>
        <v>0.18965360754432053</v>
      </c>
      <c r="N20">
        <f t="shared" si="14"/>
        <v>0.35538234338998104</v>
      </c>
      <c r="O20">
        <f t="shared" si="14"/>
        <v>0.62315088709307331</v>
      </c>
      <c r="P20">
        <f t="shared" si="14"/>
        <v>1.0249636024323896</v>
      </c>
      <c r="Q20">
        <f t="shared" si="14"/>
        <v>1.5850717023165306</v>
      </c>
      <c r="R20">
        <f t="shared" si="14"/>
        <v>2.3098131732067504</v>
      </c>
      <c r="S20">
        <f t="shared" si="14"/>
        <v>3.1784239887165042</v>
      </c>
      <c r="T20">
        <f t="shared" si="14"/>
        <v>4.1384057537712042</v>
      </c>
      <c r="U20">
        <f t="shared" si="15"/>
        <v>5.1083617522488236</v>
      </c>
      <c r="V20">
        <f t="shared" si="15"/>
        <v>5.9891130440524813</v>
      </c>
      <c r="W20">
        <f t="shared" si="15"/>
        <v>6.6810759926350576</v>
      </c>
      <c r="X20">
        <f t="shared" si="15"/>
        <v>7.1034883173899219</v>
      </c>
      <c r="Y20">
        <f t="shared" si="15"/>
        <v>7.2101759667041856</v>
      </c>
      <c r="Z20">
        <f t="shared" si="15"/>
        <v>6.9975723148715714</v>
      </c>
      <c r="AA20">
        <f t="shared" si="15"/>
        <v>6.5031979206872554</v>
      </c>
      <c r="AB20">
        <f t="shared" si="15"/>
        <v>5.7957412942200737</v>
      </c>
      <c r="AC20">
        <f t="shared" si="15"/>
        <v>4.9601276020418688</v>
      </c>
      <c r="AD20">
        <f t="shared" si="15"/>
        <v>4.0818229394520538</v>
      </c>
      <c r="AE20">
        <f t="shared" si="15"/>
        <v>3.2340440202828957</v>
      </c>
      <c r="AF20">
        <f t="shared" si="15"/>
        <v>2.4700151005324495</v>
      </c>
      <c r="AG20">
        <f t="shared" si="15"/>
        <v>1.8206487368151545</v>
      </c>
      <c r="AH20">
        <f t="shared" si="15"/>
        <v>1.2966328323887244</v>
      </c>
      <c r="AI20">
        <f t="shared" si="15"/>
        <v>0.8931922657037773</v>
      </c>
      <c r="AJ20">
        <f t="shared" si="15"/>
        <v>0.59575132283756604</v>
      </c>
      <c r="AK20">
        <f t="shared" si="12"/>
        <v>0.38513703651249481</v>
      </c>
    </row>
    <row r="21" spans="10:37" x14ac:dyDescent="0.25">
      <c r="J21" s="31">
        <f t="shared" si="13"/>
        <v>0.18010000000000004</v>
      </c>
      <c r="K21">
        <f t="shared" si="14"/>
        <v>6.0217916038987657E-2</v>
      </c>
      <c r="L21">
        <f t="shared" si="14"/>
        <v>0.12438054025115482</v>
      </c>
      <c r="M21">
        <f t="shared" si="14"/>
        <v>0.24010769274988036</v>
      </c>
      <c r="N21">
        <f t="shared" si="14"/>
        <v>0.43429203468795147</v>
      </c>
      <c r="O21">
        <f t="shared" si="14"/>
        <v>0.73777553911847416</v>
      </c>
      <c r="P21">
        <f t="shared" si="14"/>
        <v>1.1798581577755332</v>
      </c>
      <c r="Q21">
        <f t="shared" si="14"/>
        <v>1.7801225109379346</v>
      </c>
      <c r="R21">
        <f t="shared" si="14"/>
        <v>2.539178691237058</v>
      </c>
      <c r="S21">
        <f t="shared" si="14"/>
        <v>3.4310603653905001</v>
      </c>
      <c r="T21">
        <f t="shared" si="14"/>
        <v>4.4003327977674456</v>
      </c>
      <c r="U21">
        <f t="shared" si="15"/>
        <v>5.366103830916626</v>
      </c>
      <c r="V21">
        <f t="shared" si="15"/>
        <v>6.2331733755012388</v>
      </c>
      <c r="W21">
        <f t="shared" si="15"/>
        <v>6.9081828423558154</v>
      </c>
      <c r="X21">
        <f t="shared" si="15"/>
        <v>7.3167833675080667</v>
      </c>
      <c r="Y21">
        <f t="shared" si="15"/>
        <v>7.4173122797950555</v>
      </c>
      <c r="Z21">
        <f t="shared" si="15"/>
        <v>7.207482738721593</v>
      </c>
      <c r="AA21">
        <f t="shared" si="15"/>
        <v>6.7227330662578355</v>
      </c>
      <c r="AB21">
        <f t="shared" si="15"/>
        <v>6.0273028831807167</v>
      </c>
      <c r="AC21">
        <f t="shared" si="15"/>
        <v>5.2009314014014372</v>
      </c>
      <c r="AD21">
        <f t="shared" si="15"/>
        <v>4.3247779044545904</v>
      </c>
      <c r="AE21">
        <f t="shared" si="15"/>
        <v>3.4697111194999097</v>
      </c>
      <c r="AF21">
        <f t="shared" si="15"/>
        <v>2.6888808943016906</v>
      </c>
      <c r="AG21">
        <f t="shared" si="15"/>
        <v>2.0150280682556874</v>
      </c>
      <c r="AH21">
        <f t="shared" si="15"/>
        <v>1.4617934719486421</v>
      </c>
      <c r="AI21">
        <f t="shared" si="15"/>
        <v>1.0276206576790403</v>
      </c>
      <c r="AJ21">
        <f t="shared" si="15"/>
        <v>0.70073087836434278</v>
      </c>
      <c r="AK21">
        <f t="shared" si="12"/>
        <v>0.46393275147295604</v>
      </c>
    </row>
    <row r="22" spans="10:37" x14ac:dyDescent="0.25">
      <c r="J22" s="31">
        <f t="shared" si="13"/>
        <v>0.19010000000000005</v>
      </c>
      <c r="K22">
        <f t="shared" si="14"/>
        <v>8.0173495476232995E-2</v>
      </c>
      <c r="L22">
        <f t="shared" si="14"/>
        <v>0.15932221118404355</v>
      </c>
      <c r="M22">
        <f t="shared" si="14"/>
        <v>0.29695911802791919</v>
      </c>
      <c r="N22">
        <f t="shared" si="14"/>
        <v>0.52039053174350725</v>
      </c>
      <c r="O22">
        <f t="shared" si="14"/>
        <v>0.85933781396658271</v>
      </c>
      <c r="P22">
        <f t="shared" si="14"/>
        <v>1.340122026024634</v>
      </c>
      <c r="Q22">
        <f t="shared" si="14"/>
        <v>1.9777524356231404</v>
      </c>
      <c r="R22">
        <f t="shared" si="14"/>
        <v>2.7676268871673519</v>
      </c>
      <c r="S22">
        <f t="shared" si="14"/>
        <v>3.6793735544489303</v>
      </c>
      <c r="T22">
        <f t="shared" si="14"/>
        <v>4.6554060202139658</v>
      </c>
      <c r="U22">
        <f t="shared" si="15"/>
        <v>5.6157925839538914</v>
      </c>
      <c r="V22">
        <f t="shared" si="15"/>
        <v>6.46925883705189</v>
      </c>
      <c r="W22">
        <f t="shared" si="15"/>
        <v>7.1281613710409406</v>
      </c>
      <c r="X22">
        <f t="shared" si="15"/>
        <v>7.5238579911732195</v>
      </c>
      <c r="Y22">
        <f t="shared" si="15"/>
        <v>7.6186279587373553</v>
      </c>
      <c r="Z22">
        <f t="shared" si="15"/>
        <v>7.4112760290571531</v>
      </c>
      <c r="AA22">
        <f t="shared" si="15"/>
        <v>6.9353984159334203</v>
      </c>
      <c r="AB22">
        <f t="shared" si="15"/>
        <v>6.2513046561231986</v>
      </c>
      <c r="AC22">
        <f t="shared" si="15"/>
        <v>5.4340920017402592</v>
      </c>
      <c r="AD22">
        <f t="shared" si="15"/>
        <v>4.5609504952354794</v>
      </c>
      <c r="AE22">
        <f t="shared" si="15"/>
        <v>3.7004157199331735</v>
      </c>
      <c r="AF22">
        <f t="shared" si="15"/>
        <v>2.9052796167685284</v>
      </c>
      <c r="AG22">
        <f t="shared" si="15"/>
        <v>2.2096563948671823</v>
      </c>
      <c r="AH22">
        <f t="shared" si="15"/>
        <v>1.6296734457562292</v>
      </c>
      <c r="AI22">
        <f t="shared" si="15"/>
        <v>1.1666442689447334</v>
      </c>
      <c r="AJ22">
        <f t="shared" si="15"/>
        <v>0.81141947349708066</v>
      </c>
      <c r="AK22">
        <f t="shared" si="12"/>
        <v>0.54879916519254723</v>
      </c>
    </row>
    <row r="23" spans="10:37" x14ac:dyDescent="0.25">
      <c r="J23" s="31">
        <f t="shared" si="13"/>
        <v>0.20010000000000006</v>
      </c>
      <c r="K23">
        <f t="shared" ref="K23:T32" si="16">_xlfn.NORM.S.DIST((LN(K$2/$B$59)+($F$61+$F$60^2/2)*$J23)/($F$60*SQRT($J23)),0)*K$2*SQRT($J23)</f>
        <v>0.10386574512727555</v>
      </c>
      <c r="L23">
        <f t="shared" si="16"/>
        <v>0.19934893476787785</v>
      </c>
      <c r="M23">
        <f t="shared" si="16"/>
        <v>0.36001743295372401</v>
      </c>
      <c r="N23">
        <f t="shared" si="16"/>
        <v>0.61317833857201864</v>
      </c>
      <c r="O23">
        <f t="shared" si="16"/>
        <v>0.98706024258747227</v>
      </c>
      <c r="P23">
        <f t="shared" si="16"/>
        <v>1.5048420680434793</v>
      </c>
      <c r="Q23">
        <f t="shared" si="16"/>
        <v>2.1771320345576992</v>
      </c>
      <c r="R23">
        <f t="shared" si="16"/>
        <v>2.9946286990892852</v>
      </c>
      <c r="S23">
        <f t="shared" si="16"/>
        <v>3.9232600243338518</v>
      </c>
      <c r="T23">
        <f t="shared" si="16"/>
        <v>4.9039309458024141</v>
      </c>
      <c r="U23">
        <f t="shared" ref="U23:AJ38" si="17">_xlfn.NORM.S.DIST((LN(U$2/$B$59)+($F$61+$F$60^2/2)*$J23)/($F$60*SQRT($J23)),0)*U$2*SQRT($J23)</f>
        <v>5.8580025649537664</v>
      </c>
      <c r="V23">
        <f t="shared" si="17"/>
        <v>6.6980262648813831</v>
      </c>
      <c r="W23">
        <f t="shared" si="17"/>
        <v>7.3416090730059302</v>
      </c>
      <c r="X23">
        <f t="shared" si="17"/>
        <v>7.7252096128929404</v>
      </c>
      <c r="Y23">
        <f t="shared" si="17"/>
        <v>7.8145729966011217</v>
      </c>
      <c r="Z23">
        <f t="shared" si="17"/>
        <v>7.6094410439444662</v>
      </c>
      <c r="AA23">
        <f t="shared" si="17"/>
        <v>7.1417691250899971</v>
      </c>
      <c r="AB23">
        <f t="shared" si="15"/>
        <v>6.4683731132242492</v>
      </c>
      <c r="AC23">
        <f t="shared" si="15"/>
        <v>5.6601760171298769</v>
      </c>
      <c r="AD23">
        <f t="shared" si="15"/>
        <v>4.7907072107197388</v>
      </c>
      <c r="AE23">
        <f t="shared" si="15"/>
        <v>3.9262153503038624</v>
      </c>
      <c r="AF23">
        <f t="shared" si="15"/>
        <v>3.11892602783049</v>
      </c>
      <c r="AG23">
        <f t="shared" si="15"/>
        <v>2.4039573060569022</v>
      </c>
      <c r="AH23">
        <f t="shared" si="15"/>
        <v>1.799520446147441</v>
      </c>
      <c r="AI23">
        <f t="shared" si="15"/>
        <v>1.3094743383626961</v>
      </c>
      <c r="AJ23">
        <f t="shared" si="15"/>
        <v>0.92711602092348899</v>
      </c>
      <c r="AK23">
        <f t="shared" si="12"/>
        <v>0.63920531786216539</v>
      </c>
    </row>
    <row r="24" spans="10:37" x14ac:dyDescent="0.25">
      <c r="J24" s="31">
        <f t="shared" si="13"/>
        <v>0.21010000000000006</v>
      </c>
      <c r="K24">
        <f t="shared" si="16"/>
        <v>0.13143682872245416</v>
      </c>
      <c r="L24">
        <f t="shared" si="16"/>
        <v>0.24445138757049031</v>
      </c>
      <c r="M24">
        <f t="shared" si="16"/>
        <v>0.42903878353054997</v>
      </c>
      <c r="N24">
        <f t="shared" si="16"/>
        <v>0.7121440661701387</v>
      </c>
      <c r="O24">
        <f t="shared" si="16"/>
        <v>1.1202154257685273</v>
      </c>
      <c r="P24">
        <f t="shared" si="16"/>
        <v>1.673214809293746</v>
      </c>
      <c r="Q24">
        <f t="shared" si="16"/>
        <v>2.3775719898004599</v>
      </c>
      <c r="R24">
        <f t="shared" si="16"/>
        <v>3.2197806449217068</v>
      </c>
      <c r="S24">
        <f t="shared" si="16"/>
        <v>4.1626874507321645</v>
      </c>
      <c r="T24">
        <f t="shared" si="16"/>
        <v>5.1462141918737494</v>
      </c>
      <c r="U24">
        <f t="shared" si="17"/>
        <v>6.0932527296303887</v>
      </c>
      <c r="V24">
        <f t="shared" si="17"/>
        <v>6.9200512876381417</v>
      </c>
      <c r="W24">
        <f t="shared" si="17"/>
        <v>7.5490454718942361</v>
      </c>
      <c r="X24">
        <f t="shared" si="17"/>
        <v>7.9212724668700574</v>
      </c>
      <c r="Y24">
        <f t="shared" si="17"/>
        <v>8.0055418921344348</v>
      </c>
      <c r="Z24">
        <f t="shared" si="17"/>
        <v>7.8024045706838203</v>
      </c>
      <c r="AA24">
        <f t="shared" si="17"/>
        <v>7.3423452875739574</v>
      </c>
      <c r="AB24">
        <f t="shared" si="15"/>
        <v>6.6790564553683369</v>
      </c>
      <c r="AC24">
        <f t="shared" si="15"/>
        <v>5.8796912604662817</v>
      </c>
      <c r="AD24">
        <f t="shared" si="15"/>
        <v>5.0143992299121818</v>
      </c>
      <c r="AE24">
        <f t="shared" si="15"/>
        <v>4.1472082486773747</v>
      </c>
      <c r="AF24">
        <f t="shared" si="15"/>
        <v>3.3296261344960589</v>
      </c>
      <c r="AG24">
        <f t="shared" si="15"/>
        <v>2.5974747672443477</v>
      </c>
      <c r="AH24">
        <f t="shared" si="15"/>
        <v>1.9707029718936495</v>
      </c>
      <c r="AI24">
        <f t="shared" si="15"/>
        <v>1.4554176255445508</v>
      </c>
      <c r="AJ24">
        <f t="shared" si="15"/>
        <v>1.0471743409054872</v>
      </c>
      <c r="AK24">
        <f t="shared" si="12"/>
        <v>0.73463196214963988</v>
      </c>
    </row>
    <row r="25" spans="10:37" x14ac:dyDescent="0.25">
      <c r="J25" s="31">
        <f t="shared" si="13"/>
        <v>0.22010000000000007</v>
      </c>
      <c r="K25">
        <f t="shared" si="16"/>
        <v>0.16297889021982795</v>
      </c>
      <c r="L25">
        <f t="shared" si="16"/>
        <v>0.29456589307619535</v>
      </c>
      <c r="M25">
        <f t="shared" si="16"/>
        <v>0.5037420509953856</v>
      </c>
      <c r="N25">
        <f t="shared" si="16"/>
        <v>0.81677894989858124</v>
      </c>
      <c r="O25">
        <f t="shared" si="16"/>
        <v>1.2581309380723842</v>
      </c>
      <c r="P25">
        <f t="shared" si="16"/>
        <v>1.8445368715360251</v>
      </c>
      <c r="Q25">
        <f t="shared" si="16"/>
        <v>2.5785009479999776</v>
      </c>
      <c r="R25">
        <f t="shared" si="16"/>
        <v>3.4427784518767401</v>
      </c>
      <c r="S25">
        <f t="shared" si="16"/>
        <v>4.3976745970469606</v>
      </c>
      <c r="T25">
        <f t="shared" si="16"/>
        <v>5.3825563522762856</v>
      </c>
      <c r="U25">
        <f t="shared" si="17"/>
        <v>6.3220121441489008</v>
      </c>
      <c r="V25">
        <f t="shared" si="17"/>
        <v>7.1358411541101869</v>
      </c>
      <c r="W25">
        <f t="shared" si="17"/>
        <v>7.7509254794526754</v>
      </c>
      <c r="X25">
        <f t="shared" si="17"/>
        <v>8.1124282846056062</v>
      </c>
      <c r="Y25">
        <f t="shared" si="17"/>
        <v>8.1918827914536649</v>
      </c>
      <c r="Z25">
        <f t="shared" si="17"/>
        <v>7.9905418197583682</v>
      </c>
      <c r="AA25">
        <f t="shared" si="17"/>
        <v>7.5375648075696411</v>
      </c>
      <c r="AB25">
        <f t="shared" si="15"/>
        <v>6.8838371393762028</v>
      </c>
      <c r="AC25">
        <f t="shared" si="15"/>
        <v>6.0930937534271381</v>
      </c>
      <c r="AD25">
        <f t="shared" si="15"/>
        <v>5.2323592975863988</v>
      </c>
      <c r="AE25">
        <f t="shared" si="15"/>
        <v>4.3635191218019598</v>
      </c>
      <c r="AF25">
        <f t="shared" si="15"/>
        <v>3.5372552671177933</v>
      </c>
      <c r="AG25">
        <f t="shared" si="15"/>
        <v>2.7898499023114161</v>
      </c>
      <c r="AH25">
        <f t="shared" si="15"/>
        <v>2.1426923639102382</v>
      </c>
      <c r="AI25">
        <f t="shared" si="15"/>
        <v>1.603867891313121</v>
      </c>
      <c r="AJ25">
        <f t="shared" si="15"/>
        <v>1.1710047846818656</v>
      </c>
      <c r="AK25">
        <f t="shared" si="12"/>
        <v>0.83458096652455627</v>
      </c>
    </row>
    <row r="26" spans="10:37" x14ac:dyDescent="0.25">
      <c r="J26" s="31">
        <f t="shared" si="13"/>
        <v>0.23010000000000008</v>
      </c>
      <c r="K26">
        <f t="shared" si="16"/>
        <v>0.1985391054908566</v>
      </c>
      <c r="L26">
        <f t="shared" si="16"/>
        <v>0.34958496020406737</v>
      </c>
      <c r="M26">
        <f t="shared" si="16"/>
        <v>0.58382203523469001</v>
      </c>
      <c r="N26">
        <f t="shared" si="16"/>
        <v>0.9265870628558035</v>
      </c>
      <c r="O26">
        <f t="shared" si="16"/>
        <v>1.4001907075995634</v>
      </c>
      <c r="P26">
        <f t="shared" si="16"/>
        <v>2.0181948494923985</v>
      </c>
      <c r="Q26">
        <f t="shared" si="16"/>
        <v>2.7794465391868854</v>
      </c>
      <c r="R26">
        <f t="shared" si="16"/>
        <v>3.6633962707873096</v>
      </c>
      <c r="S26">
        <f t="shared" si="16"/>
        <v>4.6282765348652326</v>
      </c>
      <c r="T26">
        <f t="shared" si="16"/>
        <v>5.6132476799960189</v>
      </c>
      <c r="U26">
        <f t="shared" si="17"/>
        <v>6.544705342360178</v>
      </c>
      <c r="V26">
        <f t="shared" si="17"/>
        <v>7.3458451644206422</v>
      </c>
      <c r="W26">
        <f t="shared" si="17"/>
        <v>7.9476499788406967</v>
      </c>
      <c r="X26">
        <f t="shared" si="17"/>
        <v>8.2990147677979476</v>
      </c>
      <c r="Y26">
        <f t="shared" si="17"/>
        <v>8.373904779562551</v>
      </c>
      <c r="Z26">
        <f t="shared" si="17"/>
        <v>8.1741847449352179</v>
      </c>
      <c r="AA26">
        <f t="shared" si="17"/>
        <v>7.7278135932000964</v>
      </c>
      <c r="AB26">
        <f t="shared" si="15"/>
        <v>7.0831420407301566</v>
      </c>
      <c r="AC26">
        <f t="shared" si="15"/>
        <v>6.300793963999733</v>
      </c>
      <c r="AD26">
        <f t="shared" si="15"/>
        <v>5.4449003985138305</v>
      </c>
      <c r="AE26">
        <f t="shared" si="15"/>
        <v>4.5752890751112139</v>
      </c>
      <c r="AF26">
        <f t="shared" si="15"/>
        <v>3.7417413877490118</v>
      </c>
      <c r="AG26">
        <f t="shared" si="15"/>
        <v>2.9808022529331422</v>
      </c>
      <c r="AH26">
        <f t="shared" si="15"/>
        <v>2.315047116504914</v>
      </c>
      <c r="AI26">
        <f t="shared" si="15"/>
        <v>1.754296964187493</v>
      </c>
      <c r="AJ26">
        <f t="shared" si="15"/>
        <v>1.2980732831169339</v>
      </c>
      <c r="AK26">
        <f t="shared" si="12"/>
        <v>0.93858113936386922</v>
      </c>
    </row>
    <row r="27" spans="10:37" x14ac:dyDescent="0.25">
      <c r="J27" s="31">
        <f t="shared" si="13"/>
        <v>0.24010000000000009</v>
      </c>
      <c r="K27">
        <f t="shared" si="16"/>
        <v>0.23812519964901221</v>
      </c>
      <c r="L27">
        <f t="shared" si="16"/>
        <v>0.40936677094625545</v>
      </c>
      <c r="M27">
        <f t="shared" si="16"/>
        <v>0.66895997692856801</v>
      </c>
      <c r="N27">
        <f t="shared" si="16"/>
        <v>1.041092209563272</v>
      </c>
      <c r="O27">
        <f t="shared" si="16"/>
        <v>1.545834096994994</v>
      </c>
      <c r="P27">
        <f t="shared" si="16"/>
        <v>2.1936553631874465</v>
      </c>
      <c r="Q27">
        <f t="shared" si="16"/>
        <v>2.9800192913734143</v>
      </c>
      <c r="R27">
        <f t="shared" si="16"/>
        <v>3.8814702780678632</v>
      </c>
      <c r="S27">
        <f t="shared" si="16"/>
        <v>4.8545737541798255</v>
      </c>
      <c r="T27">
        <f t="shared" si="16"/>
        <v>5.8385656162996913</v>
      </c>
      <c r="U27">
        <f t="shared" si="17"/>
        <v>6.7617172134596135</v>
      </c>
      <c r="V27">
        <f t="shared" si="17"/>
        <v>7.5504632094115207</v>
      </c>
      <c r="W27">
        <f t="shared" si="17"/>
        <v>8.1395743002870073</v>
      </c>
      <c r="X27">
        <f t="shared" si="17"/>
        <v>8.4813323822429627</v>
      </c>
      <c r="Y27">
        <f t="shared" si="17"/>
        <v>8.5518837598255377</v>
      </c>
      <c r="Z27">
        <f t="shared" si="17"/>
        <v>8.3536287151979103</v>
      </c>
      <c r="AA27">
        <f t="shared" si="17"/>
        <v>7.913433717532512</v>
      </c>
      <c r="AB27">
        <f t="shared" si="15"/>
        <v>7.2773507410207943</v>
      </c>
      <c r="AC27">
        <f t="shared" si="15"/>
        <v>6.5031622881534403</v>
      </c>
      <c r="AD27">
        <f t="shared" si="15"/>
        <v>5.6523155371329361</v>
      </c>
      <c r="AE27">
        <f t="shared" si="15"/>
        <v>4.7826684942621984</v>
      </c>
      <c r="AF27">
        <f t="shared" si="15"/>
        <v>3.9430523427606712</v>
      </c>
      <c r="AG27">
        <f t="shared" si="15"/>
        <v>3.1701146759154111</v>
      </c>
      <c r="AH27">
        <f t="shared" si="15"/>
        <v>2.4873993737970119</v>
      </c>
      <c r="AI27">
        <f t="shared" si="15"/>
        <v>1.9062460088426725</v>
      </c>
      <c r="AJ27">
        <f t="shared" si="15"/>
        <v>1.427898825178131</v>
      </c>
      <c r="AK27">
        <f t="shared" si="12"/>
        <v>1.046191458240767</v>
      </c>
    </row>
    <row r="28" spans="10:37" x14ac:dyDescent="0.25">
      <c r="J28" s="31">
        <f t="shared" si="13"/>
        <v>0.2501000000000001</v>
      </c>
      <c r="K28">
        <f t="shared" si="16"/>
        <v>0.28171102257968267</v>
      </c>
      <c r="L28">
        <f t="shared" si="16"/>
        <v>0.47374347817845314</v>
      </c>
      <c r="M28">
        <f t="shared" si="16"/>
        <v>0.75883178084487801</v>
      </c>
      <c r="N28">
        <f t="shared" si="16"/>
        <v>1.1598423097974317</v>
      </c>
      <c r="O28">
        <f t="shared" si="16"/>
        <v>1.6945535506565839</v>
      </c>
      <c r="P28">
        <f t="shared" si="16"/>
        <v>2.3704556886259502</v>
      </c>
      <c r="Q28">
        <f t="shared" si="16"/>
        <v>3.1798990907950673</v>
      </c>
      <c r="R28">
        <f t="shared" si="16"/>
        <v>4.0968857182497294</v>
      </c>
      <c r="S28">
        <f t="shared" si="16"/>
        <v>5.0766641224127262</v>
      </c>
      <c r="T28">
        <f t="shared" si="16"/>
        <v>6.0587735356965</v>
      </c>
      <c r="U28">
        <f t="shared" si="17"/>
        <v>6.9733973879049049</v>
      </c>
      <c r="V28">
        <f t="shared" si="17"/>
        <v>7.7500528073448356</v>
      </c>
      <c r="W28">
        <f t="shared" si="17"/>
        <v>8.3270150762948685</v>
      </c>
      <c r="X28">
        <f t="shared" si="17"/>
        <v>8.659649861880073</v>
      </c>
      <c r="Y28">
        <f t="shared" si="17"/>
        <v>8.7260672419361924</v>
      </c>
      <c r="Z28">
        <f t="shared" si="17"/>
        <v>8.529137920404029</v>
      </c>
      <c r="AA28">
        <f t="shared" si="17"/>
        <v>8.0947300176342054</v>
      </c>
      <c r="AB28">
        <f t="shared" si="15"/>
        <v>7.4668023346048393</v>
      </c>
      <c r="AC28">
        <f t="shared" si="15"/>
        <v>6.7005338337934468</v>
      </c>
      <c r="AD28">
        <f t="shared" si="15"/>
        <v>5.8548781856286087</v>
      </c>
      <c r="AE28">
        <f t="shared" si="15"/>
        <v>4.9858120274252595</v>
      </c>
      <c r="AF28">
        <f t="shared" si="15"/>
        <v>4.1411860980930175</v>
      </c>
      <c r="AG28">
        <f t="shared" si="15"/>
        <v>3.3576211748734699</v>
      </c>
      <c r="AH28">
        <f t="shared" si="15"/>
        <v>2.6594434150796964</v>
      </c>
      <c r="AI28">
        <f t="shared" si="15"/>
        <v>2.0593173322096834</v>
      </c>
      <c r="AJ28">
        <f t="shared" si="15"/>
        <v>1.560050051085258</v>
      </c>
      <c r="AK28">
        <f t="shared" si="12"/>
        <v>1.1570024579648006</v>
      </c>
    </row>
    <row r="29" spans="10:37" x14ac:dyDescent="0.25">
      <c r="J29" s="31">
        <f t="shared" si="13"/>
        <v>0.26010000000000011</v>
      </c>
      <c r="K29">
        <f t="shared" si="16"/>
        <v>0.32924191328101943</v>
      </c>
      <c r="L29">
        <f t="shared" si="16"/>
        <v>0.54252830176181421</v>
      </c>
      <c r="M29">
        <f t="shared" si="16"/>
        <v>0.85311430975366664</v>
      </c>
      <c r="N29">
        <f t="shared" si="16"/>
        <v>1.2824119187199694</v>
      </c>
      <c r="O29">
        <f t="shared" si="16"/>
        <v>1.8458914084827742</v>
      </c>
      <c r="P29">
        <f t="shared" si="16"/>
        <v>2.5481951646669168</v>
      </c>
      <c r="Q29">
        <f t="shared" si="16"/>
        <v>3.3788238318482868</v>
      </c>
      <c r="R29">
        <f t="shared" si="16"/>
        <v>4.3095666444638328</v>
      </c>
      <c r="S29">
        <f t="shared" si="16"/>
        <v>5.2946569407551758</v>
      </c>
      <c r="T29">
        <f t="shared" si="16"/>
        <v>6.2741202861749255</v>
      </c>
      <c r="U29">
        <f t="shared" si="17"/>
        <v>7.1800641342602551</v>
      </c>
      <c r="V29">
        <f t="shared" si="17"/>
        <v>7.9449349393163065</v>
      </c>
      <c r="W29">
        <f t="shared" si="17"/>
        <v>8.5102558367559418</v>
      </c>
      <c r="X29">
        <f t="shared" si="17"/>
        <v>8.8342087099312216</v>
      </c>
      <c r="Y29">
        <f t="shared" si="17"/>
        <v>8.8966782763137893</v>
      </c>
      <c r="Z29">
        <f t="shared" si="17"/>
        <v>8.7009497922910786</v>
      </c>
      <c r="AA29">
        <f t="shared" si="17"/>
        <v>8.2719754795433467</v>
      </c>
      <c r="AB29">
        <f t="shared" si="17"/>
        <v>7.6518010573344624</v>
      </c>
      <c r="AC29">
        <f t="shared" si="17"/>
        <v>6.893212580701678</v>
      </c>
      <c r="AD29">
        <f t="shared" si="17"/>
        <v>6.0528431201394826</v>
      </c>
      <c r="AE29">
        <f t="shared" si="17"/>
        <v>5.184875070078844</v>
      </c>
      <c r="AF29">
        <f t="shared" si="17"/>
        <v>4.3361632382220145</v>
      </c>
      <c r="AG29">
        <f t="shared" si="17"/>
        <v>3.5431970893206022</v>
      </c>
      <c r="AH29">
        <f t="shared" si="17"/>
        <v>2.8309258947538325</v>
      </c>
      <c r="AI29">
        <f t="shared" si="17"/>
        <v>2.2131668886643059</v>
      </c>
      <c r="AJ29">
        <f t="shared" si="17"/>
        <v>1.6941414180652383</v>
      </c>
      <c r="AK29">
        <f t="shared" si="12"/>
        <v>1.2706363428803575</v>
      </c>
    </row>
    <row r="30" spans="10:37" x14ac:dyDescent="0.25">
      <c r="J30" s="31">
        <f t="shared" si="13"/>
        <v>0.27010000000000012</v>
      </c>
      <c r="K30">
        <f t="shared" si="16"/>
        <v>0.38063968811159099</v>
      </c>
      <c r="L30">
        <f t="shared" si="16"/>
        <v>0.615521486134049</v>
      </c>
      <c r="M30">
        <f t="shared" si="16"/>
        <v>0.95149009327914935</v>
      </c>
      <c r="N30">
        <f t="shared" si="16"/>
        <v>1.4084033878382038</v>
      </c>
      <c r="O30">
        <f t="shared" si="16"/>
        <v>1.9994362956236285</v>
      </c>
      <c r="P30">
        <f t="shared" si="16"/>
        <v>2.7265274490345841</v>
      </c>
      <c r="Q30">
        <f t="shared" si="16"/>
        <v>3.5765799249905479</v>
      </c>
      <c r="R30">
        <f t="shared" si="16"/>
        <v>4.5194677770970673</v>
      </c>
      <c r="S30">
        <f t="shared" si="16"/>
        <v>5.5086685520672951</v>
      </c>
      <c r="T30">
        <f t="shared" si="16"/>
        <v>6.4848402428791383</v>
      </c>
      <c r="U30">
        <f t="shared" si="17"/>
        <v>7.3820078013165356</v>
      </c>
      <c r="V30">
        <f t="shared" si="17"/>
        <v>8.1353989180992343</v>
      </c>
      <c r="W30">
        <f t="shared" si="17"/>
        <v>8.6895516139083693</v>
      </c>
      <c r="X30">
        <f t="shared" si="17"/>
        <v>9.0052269116263695</v>
      </c>
      <c r="Y30">
        <f t="shared" si="17"/>
        <v>9.0639187138863981</v>
      </c>
      <c r="Z30">
        <f t="shared" si="17"/>
        <v>8.8692786513609896</v>
      </c>
      <c r="AA30">
        <f t="shared" si="17"/>
        <v>8.4454156695712737</v>
      </c>
      <c r="AB30">
        <f t="shared" si="17"/>
        <v>7.8326209715024397</v>
      </c>
      <c r="AC30">
        <f t="shared" si="17"/>
        <v>7.0814749924744174</v>
      </c>
      <c r="AD30">
        <f t="shared" si="17"/>
        <v>6.2464474655467246</v>
      </c>
      <c r="AE30">
        <f t="shared" si="17"/>
        <v>5.3800113286102391</v>
      </c>
      <c r="AF30">
        <f t="shared" si="17"/>
        <v>4.5280211899419367</v>
      </c>
      <c r="AG30">
        <f t="shared" si="17"/>
        <v>3.7267511744356079</v>
      </c>
      <c r="AH30">
        <f t="shared" si="17"/>
        <v>3.0016376002738805</v>
      </c>
      <c r="AI30">
        <f t="shared" si="17"/>
        <v>2.3674975400497051</v>
      </c>
      <c r="AJ30">
        <f t="shared" si="17"/>
        <v>1.8298292379636862</v>
      </c>
      <c r="AK30">
        <f t="shared" si="12"/>
        <v>1.3867462411734852</v>
      </c>
    </row>
    <row r="31" spans="10:37" x14ac:dyDescent="0.25">
      <c r="J31" s="31">
        <f t="shared" si="13"/>
        <v>0.28010000000000013</v>
      </c>
      <c r="K31">
        <f t="shared" si="16"/>
        <v>0.43580716384929052</v>
      </c>
      <c r="L31">
        <f t="shared" si="16"/>
        <v>0.69251522246492325</v>
      </c>
      <c r="M31">
        <f t="shared" si="16"/>
        <v>1.0536507563003881</v>
      </c>
      <c r="N31">
        <f t="shared" si="16"/>
        <v>1.5374470543809351</v>
      </c>
      <c r="O31">
        <f t="shared" si="16"/>
        <v>2.1548193618602296</v>
      </c>
      <c r="P31">
        <f t="shared" si="16"/>
        <v>2.9051536226836743</v>
      </c>
      <c r="Q31">
        <f t="shared" si="16"/>
        <v>3.7729943674972097</v>
      </c>
      <c r="R31">
        <f t="shared" si="16"/>
        <v>4.7265680287297611</v>
      </c>
      <c r="S31">
        <f t="shared" si="16"/>
        <v>5.7188191016209977</v>
      </c>
      <c r="T31">
        <f t="shared" si="16"/>
        <v>6.6911536857567171</v>
      </c>
      <c r="U31">
        <f t="shared" si="17"/>
        <v>7.5794938487082542</v>
      </c>
      <c r="V31">
        <f t="shared" si="17"/>
        <v>8.3217064743008162</v>
      </c>
      <c r="W31">
        <f t="shared" si="17"/>
        <v>8.8651327617147544</v>
      </c>
      <c r="X31">
        <f t="shared" si="17"/>
        <v>9.1729020208611196</v>
      </c>
      <c r="Y31">
        <f t="shared" si="17"/>
        <v>9.2279719274944014</v>
      </c>
      <c r="Z31">
        <f t="shared" si="17"/>
        <v>9.034318739001252</v>
      </c>
      <c r="AA31">
        <f t="shared" si="17"/>
        <v>8.6152724091958408</v>
      </c>
      <c r="AB31">
        <f t="shared" si="17"/>
        <v>8.0095098893174139</v>
      </c>
      <c r="AC31">
        <f t="shared" si="17"/>
        <v>7.2655731523543441</v>
      </c>
      <c r="AD31">
        <f t="shared" si="17"/>
        <v>6.4359118344977295</v>
      </c>
      <c r="AE31">
        <f t="shared" si="17"/>
        <v>5.571371160638388</v>
      </c>
      <c r="AF31">
        <f t="shared" si="17"/>
        <v>4.7168097655909813</v>
      </c>
      <c r="AG31">
        <f t="shared" si="17"/>
        <v>3.9082191968515443</v>
      </c>
      <c r="AH31">
        <f t="shared" si="17"/>
        <v>3.1714065071602628</v>
      </c>
      <c r="AI31">
        <f t="shared" si="17"/>
        <v>2.522053064340819</v>
      </c>
      <c r="AJ31">
        <f t="shared" si="17"/>
        <v>1.9668077763606979</v>
      </c>
      <c r="AK31">
        <f t="shared" si="12"/>
        <v>1.5050149055862301</v>
      </c>
    </row>
    <row r="32" spans="10:37" x14ac:dyDescent="0.25">
      <c r="J32" s="31">
        <f t="shared" si="13"/>
        <v>0.29010000000000014</v>
      </c>
      <c r="K32">
        <f t="shared" si="16"/>
        <v>0.49463217933874304</v>
      </c>
      <c r="L32">
        <f t="shared" si="16"/>
        <v>0.77329765544543994</v>
      </c>
      <c r="M32">
        <f t="shared" si="16"/>
        <v>1.1592994274730786</v>
      </c>
      <c r="N32">
        <f t="shared" si="16"/>
        <v>1.6692007529338717</v>
      </c>
      <c r="O32">
        <f t="shared" si="16"/>
        <v>2.3117105486527345</v>
      </c>
      <c r="P32">
        <f t="shared" si="16"/>
        <v>3.0838161004418683</v>
      </c>
      <c r="Q32">
        <f t="shared" si="16"/>
        <v>3.967928121697168</v>
      </c>
      <c r="R32">
        <f t="shared" si="16"/>
        <v>4.9308653430859692</v>
      </c>
      <c r="S32">
        <f t="shared" si="16"/>
        <v>5.9252301577025648</v>
      </c>
      <c r="T32">
        <f t="shared" si="16"/>
        <v>6.8932673736950463</v>
      </c>
      <c r="U32">
        <f t="shared" si="17"/>
        <v>7.7727655111760017</v>
      </c>
      <c r="V32">
        <f t="shared" si="17"/>
        <v>8.5040952047802136</v>
      </c>
      <c r="W32">
        <f t="shared" si="17"/>
        <v>9.0372081463843745</v>
      </c>
      <c r="X32">
        <f t="shared" si="17"/>
        <v>9.3374137450763097</v>
      </c>
      <c r="Y32">
        <f t="shared" si="17"/>
        <v>9.3890050997786432</v>
      </c>
      <c r="Z32">
        <f t="shared" si="17"/>
        <v>9.1962467568540749</v>
      </c>
      <c r="AA32">
        <f t="shared" si="17"/>
        <v>8.7817468445987252</v>
      </c>
      <c r="AB32">
        <f t="shared" si="17"/>
        <v>8.1826926778770339</v>
      </c>
      <c r="AC32">
        <f t="shared" si="17"/>
        <v>7.4457374879907405</v>
      </c>
      <c r="AD32">
        <f t="shared" si="17"/>
        <v>6.6214414887360409</v>
      </c>
      <c r="AE32">
        <f t="shared" si="17"/>
        <v>5.7591004753709507</v>
      </c>
      <c r="AF32">
        <f t="shared" si="17"/>
        <v>4.9025877195677623</v>
      </c>
      <c r="AG32">
        <f t="shared" si="17"/>
        <v>4.0875587469914416</v>
      </c>
      <c r="AH32">
        <f t="shared" si="17"/>
        <v>3.3400919333707626</v>
      </c>
      <c r="AI32">
        <f t="shared" si="17"/>
        <v>2.6766128724422793</v>
      </c>
      <c r="AJ32">
        <f t="shared" si="17"/>
        <v>2.1048055280267537</v>
      </c>
      <c r="AK32">
        <f t="shared" si="12"/>
        <v>1.6251530794295035</v>
      </c>
    </row>
    <row r="33" spans="10:37" x14ac:dyDescent="0.25">
      <c r="J33" s="31">
        <f t="shared" si="13"/>
        <v>0.30010000000000014</v>
      </c>
      <c r="K33">
        <f t="shared" ref="K33:T42" si="18">_xlfn.NORM.S.DIST((LN(K$2/$B$59)+($F$61+$F$60^2/2)*$J33)/($F$60*SQRT($J33)),0)*K$2*SQRT($J33)</f>
        <v>0.55699111484857433</v>
      </c>
      <c r="L33">
        <f t="shared" si="18"/>
        <v>0.85765609755935213</v>
      </c>
      <c r="M33">
        <f t="shared" si="18"/>
        <v>1.2681523456290915</v>
      </c>
      <c r="N33">
        <f t="shared" si="18"/>
        <v>1.8033488695489286</v>
      </c>
      <c r="O33">
        <f t="shared" si="18"/>
        <v>2.4698149953565629</v>
      </c>
      <c r="P33">
        <f t="shared" si="18"/>
        <v>3.2622932848069741</v>
      </c>
      <c r="Q33">
        <f t="shared" si="18"/>
        <v>4.161270583465507</v>
      </c>
      <c r="R33">
        <f t="shared" si="18"/>
        <v>5.1323725730298291</v>
      </c>
      <c r="S33">
        <f t="shared" si="18"/>
        <v>6.1280229755909241</v>
      </c>
      <c r="T33">
        <f t="shared" si="18"/>
        <v>7.0913752295337948</v>
      </c>
      <c r="U33">
        <f t="shared" ref="U33:AJ48" si="19">_xlfn.NORM.S.DIST((LN(U$2/$B$59)+($F$61+$F$60^2/2)*$J33)/($F$60*SQRT($J33)),0)*U$2*SQRT($J33)</f>
        <v>7.9620461399414548</v>
      </c>
      <c r="V33">
        <f t="shared" si="19"/>
        <v>8.6827814983014147</v>
      </c>
      <c r="W33">
        <f t="shared" si="19"/>
        <v>9.2059678293138543</v>
      </c>
      <c r="X33">
        <f t="shared" si="19"/>
        <v>9.4989261245222973</v>
      </c>
      <c r="Y33">
        <f t="shared" si="19"/>
        <v>9.5471711590985961</v>
      </c>
      <c r="Z33">
        <f t="shared" si="19"/>
        <v>9.3552240078401212</v>
      </c>
      <c r="AA33">
        <f t="shared" si="19"/>
        <v>8.9450220276881023</v>
      </c>
      <c r="AB33">
        <f t="shared" si="17"/>
        <v>8.3523740585345081</v>
      </c>
      <c r="AC33">
        <f t="shared" si="17"/>
        <v>7.6221791424687879</v>
      </c>
      <c r="AD33">
        <f t="shared" si="17"/>
        <v>6.8032274784868836</v>
      </c>
      <c r="AE33">
        <f t="shared" si="17"/>
        <v>5.9433400377183832</v>
      </c>
      <c r="AF33">
        <f t="shared" si="17"/>
        <v>5.0854200859377849</v>
      </c>
      <c r="AG33">
        <f t="shared" si="17"/>
        <v>4.2647450290362032</v>
      </c>
      <c r="AH33">
        <f t="shared" si="17"/>
        <v>3.5075796206449876</v>
      </c>
      <c r="AI33">
        <f t="shared" si="17"/>
        <v>2.8309873754697961</v>
      </c>
      <c r="AJ33">
        <f t="shared" si="17"/>
        <v>2.2435817331456529</v>
      </c>
      <c r="AK33">
        <f t="shared" si="12"/>
        <v>1.7468976830871905</v>
      </c>
    </row>
    <row r="34" spans="10:37" x14ac:dyDescent="0.25">
      <c r="J34" s="31">
        <f t="shared" si="13"/>
        <v>0.31010000000000015</v>
      </c>
      <c r="K34">
        <f t="shared" si="18"/>
        <v>0.62275193066969703</v>
      </c>
      <c r="L34">
        <f t="shared" si="18"/>
        <v>0.94537956814982327</v>
      </c>
      <c r="M34">
        <f t="shared" si="18"/>
        <v>1.3799398429422265</v>
      </c>
      <c r="N34">
        <f t="shared" si="18"/>
        <v>1.9396011015492145</v>
      </c>
      <c r="O34">
        <f t="shared" si="18"/>
        <v>2.6288696503091469</v>
      </c>
      <c r="P34">
        <f t="shared" si="18"/>
        <v>3.4403948911305537</v>
      </c>
      <c r="Q34">
        <f t="shared" si="18"/>
        <v>4.3529349582343437</v>
      </c>
      <c r="R34">
        <f t="shared" si="18"/>
        <v>5.3311141825342983</v>
      </c>
      <c r="S34">
        <f t="shared" si="18"/>
        <v>6.3273172441177854</v>
      </c>
      <c r="T34">
        <f t="shared" si="18"/>
        <v>7.2856590787725706</v>
      </c>
      <c r="U34">
        <f t="shared" si="19"/>
        <v>8.147541261258203</v>
      </c>
      <c r="V34">
        <f t="shared" si="19"/>
        <v>8.8579630301808123</v>
      </c>
      <c r="W34">
        <f t="shared" si="19"/>
        <v>9.3715853371665627</v>
      </c>
      <c r="X34">
        <f t="shared" si="19"/>
        <v>9.6575893810369173</v>
      </c>
      <c r="Y34">
        <f t="shared" si="19"/>
        <v>9.702610427493628</v>
      </c>
      <c r="Z34">
        <f t="shared" si="19"/>
        <v>9.5113982125986674</v>
      </c>
      <c r="AA34">
        <f t="shared" si="19"/>
        <v>9.1052650998356892</v>
      </c>
      <c r="AB34">
        <f t="shared" si="17"/>
        <v>8.5187409904118692</v>
      </c>
      <c r="AC34">
        <f t="shared" si="17"/>
        <v>7.7950920413981724</v>
      </c>
      <c r="AD34">
        <f t="shared" si="17"/>
        <v>6.9814477337146412</v>
      </c>
      <c r="AE34">
        <f t="shared" si="17"/>
        <v>6.124225062923454</v>
      </c>
      <c r="AF34">
        <f t="shared" si="17"/>
        <v>5.2653761202516467</v>
      </c>
      <c r="AG34">
        <f t="shared" si="17"/>
        <v>4.4397674379980741</v>
      </c>
      <c r="AH34">
        <f t="shared" si="17"/>
        <v>3.6737775949721034</v>
      </c>
      <c r="AI34">
        <f t="shared" si="17"/>
        <v>2.9850139381841507</v>
      </c>
      <c r="AJ34">
        <f t="shared" si="17"/>
        <v>2.3829231652912872</v>
      </c>
      <c r="AK34">
        <f t="shared" si="12"/>
        <v>1.8700099292302033</v>
      </c>
    </row>
    <row r="35" spans="10:37" x14ac:dyDescent="0.25">
      <c r="J35" s="31">
        <f t="shared" si="13"/>
        <v>0.32010000000000016</v>
      </c>
      <c r="K35">
        <f t="shared" si="18"/>
        <v>0.69177675963551</v>
      </c>
      <c r="L35">
        <f t="shared" si="18"/>
        <v>1.0362607646359421</v>
      </c>
      <c r="M35">
        <f t="shared" si="18"/>
        <v>1.4944068498984571</v>
      </c>
      <c r="N35">
        <f t="shared" si="18"/>
        <v>2.0776910426248465</v>
      </c>
      <c r="O35">
        <f t="shared" si="18"/>
        <v>2.7886401213890086</v>
      </c>
      <c r="P35">
        <f t="shared" si="18"/>
        <v>3.6179578711524258</v>
      </c>
      <c r="Q35">
        <f t="shared" si="18"/>
        <v>4.5428543918761797</v>
      </c>
      <c r="R35">
        <f t="shared" si="18"/>
        <v>5.5271236039630107</v>
      </c>
      <c r="S35">
        <f t="shared" si="18"/>
        <v>6.5232301948010472</v>
      </c>
      <c r="T35">
        <f t="shared" si="18"/>
        <v>7.4762894041738877</v>
      </c>
      <c r="U35">
        <f t="shared" si="19"/>
        <v>8.3294403881286296</v>
      </c>
      <c r="V35">
        <f t="shared" si="19"/>
        <v>9.0298208996065128</v>
      </c>
      <c r="W35">
        <f t="shared" si="19"/>
        <v>9.5342195937158163</v>
      </c>
      <c r="X35">
        <f t="shared" si="19"/>
        <v>9.8135414955651061</v>
      </c>
      <c r="Y35">
        <f t="shared" si="19"/>
        <v>9.8554520313789258</v>
      </c>
      <c r="Z35">
        <f t="shared" si="19"/>
        <v>9.6649050594982313</v>
      </c>
      <c r="AA35">
        <f t="shared" si="19"/>
        <v>9.2626291501826206</v>
      </c>
      <c r="AB35">
        <f t="shared" si="17"/>
        <v>8.6819647098818251</v>
      </c>
      <c r="AC35">
        <f t="shared" si="17"/>
        <v>7.9646546988953464</v>
      </c>
      <c r="AD35">
        <f t="shared" si="17"/>
        <v>7.1562680928277871</v>
      </c>
      <c r="AE35">
        <f t="shared" si="17"/>
        <v>6.3018850193239304</v>
      </c>
      <c r="AF35">
        <f t="shared" si="17"/>
        <v>5.4425277102549572</v>
      </c>
      <c r="AG35">
        <f t="shared" si="17"/>
        <v>4.6126267718615246</v>
      </c>
      <c r="AH35">
        <f t="shared" si="17"/>
        <v>3.8386126807303214</v>
      </c>
      <c r="AI35">
        <f t="shared" si="17"/>
        <v>3.1385533537469925</v>
      </c>
      <c r="AJ35">
        <f t="shared" si="17"/>
        <v>2.5226412004139758</v>
      </c>
      <c r="AK35">
        <f t="shared" si="12"/>
        <v>1.9942734406227531</v>
      </c>
    </row>
    <row r="36" spans="10:37" x14ac:dyDescent="0.25">
      <c r="J36" s="31">
        <f t="shared" ref="J36:J55" si="20">J35+$C$5</f>
        <v>0.33010000000000017</v>
      </c>
      <c r="K36">
        <f t="shared" si="18"/>
        <v>0.76392409495562685</v>
      </c>
      <c r="L36">
        <f t="shared" si="18"/>
        <v>1.1300975613407678</v>
      </c>
      <c r="M36">
        <f t="shared" si="18"/>
        <v>1.6113130384255752</v>
      </c>
      <c r="N36">
        <f t="shared" si="18"/>
        <v>2.2173746797169276</v>
      </c>
      <c r="O36">
        <f t="shared" si="18"/>
        <v>2.9489177798872563</v>
      </c>
      <c r="P36">
        <f t="shared" si="18"/>
        <v>3.7948428647789116</v>
      </c>
      <c r="Q36">
        <f t="shared" si="18"/>
        <v>4.7309787295162344</v>
      </c>
      <c r="R36">
        <f t="shared" si="18"/>
        <v>5.7204411180226495</v>
      </c>
      <c r="S36">
        <f t="shared" si="18"/>
        <v>6.7158759835860664</v>
      </c>
      <c r="T36">
        <f t="shared" si="18"/>
        <v>7.663426091703367</v>
      </c>
      <c r="U36">
        <f t="shared" si="19"/>
        <v>8.5079186170090182</v>
      </c>
      <c r="V36">
        <f t="shared" si="19"/>
        <v>9.1985214691351391</v>
      </c>
      <c r="W36">
        <f t="shared" si="19"/>
        <v>9.6940165727234078</v>
      </c>
      <c r="X36">
        <f t="shared" si="19"/>
        <v>9.9669095615060161</v>
      </c>
      <c r="Y36">
        <f t="shared" si="19"/>
        <v>10.005815115446282</v>
      </c>
      <c r="Z36">
        <f t="shared" si="19"/>
        <v>9.8158695344525242</v>
      </c>
      <c r="AA36">
        <f t="shared" si="19"/>
        <v>9.4172548055719432</v>
      </c>
      <c r="AB36">
        <f t="shared" si="17"/>
        <v>8.8422024838528266</v>
      </c>
      <c r="AC36">
        <f t="shared" si="17"/>
        <v>8.1310317991070047</v>
      </c>
      <c r="AD36">
        <f t="shared" si="17"/>
        <v>7.3278432620061675</v>
      </c>
      <c r="AE36">
        <f t="shared" si="17"/>
        <v>6.4764435791282295</v>
      </c>
      <c r="AF36">
        <f t="shared" si="17"/>
        <v>5.6169481515253707</v>
      </c>
      <c r="AG36">
        <f t="shared" si="17"/>
        <v>4.7833329573000674</v>
      </c>
      <c r="AH36">
        <f t="shared" si="17"/>
        <v>4.0020275627972479</v>
      </c>
      <c r="AI36">
        <f t="shared" si="17"/>
        <v>3.2914867779443804</v>
      </c>
      <c r="AJ36">
        <f t="shared" si="17"/>
        <v>2.6625691623779293</v>
      </c>
      <c r="AK36">
        <f t="shared" si="12"/>
        <v>2.1194924195153217</v>
      </c>
    </row>
    <row r="37" spans="10:37" x14ac:dyDescent="0.25">
      <c r="J37" s="31">
        <f t="shared" si="20"/>
        <v>0.34010000000000018</v>
      </c>
      <c r="K37">
        <f t="shared" si="18"/>
        <v>0.83905061712740259</v>
      </c>
      <c r="L37">
        <f t="shared" si="18"/>
        <v>1.2266941190927179</v>
      </c>
      <c r="M37">
        <f t="shared" si="18"/>
        <v>1.7304326956939957</v>
      </c>
      <c r="N37">
        <f t="shared" si="18"/>
        <v>2.3584288632693076</v>
      </c>
      <c r="O37">
        <f t="shared" si="18"/>
        <v>3.1095171179925534</v>
      </c>
      <c r="P37">
        <f t="shared" si="18"/>
        <v>3.9709311151282631</v>
      </c>
      <c r="Q37">
        <f t="shared" si="18"/>
        <v>4.9172717969808524</v>
      </c>
      <c r="R37">
        <f t="shared" si="18"/>
        <v>5.9111121517491814</v>
      </c>
      <c r="S37">
        <f t="shared" si="18"/>
        <v>6.9053652774826872</v>
      </c>
      <c r="T37">
        <f t="shared" si="18"/>
        <v>7.8472191523005854</v>
      </c>
      <c r="U37">
        <f t="shared" si="19"/>
        <v>8.6831380373580398</v>
      </c>
      <c r="V37">
        <f t="shared" si="19"/>
        <v>9.3642179546998765</v>
      </c>
      <c r="W37">
        <f t="shared" si="19"/>
        <v>9.8511107192885525</v>
      </c>
      <c r="X37">
        <f t="shared" si="19"/>
        <v>10.117810951614233</v>
      </c>
      <c r="Y37">
        <f t="shared" si="19"/>
        <v>10.153809892325492</v>
      </c>
      <c r="Z37">
        <f t="shared" si="19"/>
        <v>9.9644070675887519</v>
      </c>
      <c r="AA37">
        <f t="shared" si="19"/>
        <v>9.569271597761789</v>
      </c>
      <c r="AB37">
        <f t="shared" si="17"/>
        <v>8.9995991237096238</v>
      </c>
      <c r="AC37">
        <f t="shared" si="17"/>
        <v>8.2943755845335687</v>
      </c>
      <c r="AD37">
        <f t="shared" si="17"/>
        <v>7.4963177031726893</v>
      </c>
      <c r="AE37">
        <f t="shared" si="17"/>
        <v>6.6480186732330413</v>
      </c>
      <c r="AF37">
        <f t="shared" si="17"/>
        <v>5.7887112078355507</v>
      </c>
      <c r="AG37">
        <f t="shared" si="17"/>
        <v>4.9519031917062737</v>
      </c>
      <c r="AH37">
        <f t="shared" si="17"/>
        <v>4.1639783079733892</v>
      </c>
      <c r="AI37">
        <f t="shared" si="17"/>
        <v>3.4437130657915476</v>
      </c>
      <c r="AJ37">
        <f t="shared" si="17"/>
        <v>2.8025599323174473</v>
      </c>
      <c r="AK37">
        <f t="shared" si="12"/>
        <v>2.2454898997384887</v>
      </c>
    </row>
    <row r="38" spans="10:37" x14ac:dyDescent="0.25">
      <c r="J38" s="31">
        <f t="shared" si="20"/>
        <v>0.35010000000000019</v>
      </c>
      <c r="K38">
        <f t="shared" si="18"/>
        <v>0.91701270324994977</v>
      </c>
      <c r="L38">
        <f t="shared" si="18"/>
        <v>1.3258616769447766</v>
      </c>
      <c r="M38">
        <f t="shared" si="18"/>
        <v>1.8515544015567003</v>
      </c>
      <c r="N38">
        <f t="shared" si="18"/>
        <v>2.5006497938016765</v>
      </c>
      <c r="O38">
        <f t="shared" si="18"/>
        <v>3.2702733516593567</v>
      </c>
      <c r="P38">
        <f t="shared" si="18"/>
        <v>4.1461217879722199</v>
      </c>
      <c r="Q38">
        <f t="shared" si="18"/>
        <v>5.1017091176641802</v>
      </c>
      <c r="R38">
        <f t="shared" si="18"/>
        <v>6.0991859117244243</v>
      </c>
      <c r="S38">
        <f t="shared" si="18"/>
        <v>7.0918049949559121</v>
      </c>
      <c r="T38">
        <f t="shared" si="18"/>
        <v>8.0278094101501747</v>
      </c>
      <c r="U38">
        <f t="shared" si="19"/>
        <v>8.8552489782573556</v>
      </c>
      <c r="V38">
        <f t="shared" si="19"/>
        <v>9.52705180560441</v>
      </c>
      <c r="W38">
        <f t="shared" si="19"/>
        <v>10.005626177900517</v>
      </c>
      <c r="X38">
        <f t="shared" si="19"/>
        <v>10.266354328904391</v>
      </c>
      <c r="Y38">
        <f t="shared" si="19"/>
        <v>10.299538554381787</v>
      </c>
      <c r="Z38">
        <f t="shared" si="19"/>
        <v>10.11062452667082</v>
      </c>
      <c r="AA38">
        <f t="shared" si="19"/>
        <v>9.7187991447108892</v>
      </c>
      <c r="AB38">
        <f t="shared" si="17"/>
        <v>9.1542882980841185</v>
      </c>
      <c r="AC38">
        <f t="shared" si="17"/>
        <v>8.4548270777780612</v>
      </c>
      <c r="AD38">
        <f t="shared" si="17"/>
        <v>7.661826451655366</v>
      </c>
      <c r="AE38">
        <f t="shared" si="17"/>
        <v>6.8167226178851879</v>
      </c>
      <c r="AF38">
        <f t="shared" si="17"/>
        <v>5.9578903941313079</v>
      </c>
      <c r="AG38">
        <f t="shared" si="17"/>
        <v>5.1183604234987277</v>
      </c>
      <c r="AH38">
        <f t="shared" si="17"/>
        <v>4.3244322715628547</v>
      </c>
      <c r="AI38">
        <f t="shared" si="17"/>
        <v>3.5951464589575206</v>
      </c>
      <c r="AJ38">
        <f t="shared" si="17"/>
        <v>2.9424838044574524</v>
      </c>
      <c r="AK38">
        <f t="shared" si="12"/>
        <v>2.3721060998947685</v>
      </c>
    </row>
    <row r="39" spans="10:37" x14ac:dyDescent="0.25">
      <c r="J39" s="31">
        <f t="shared" si="20"/>
        <v>0.3601000000000002</v>
      </c>
      <c r="K39">
        <f t="shared" si="18"/>
        <v>0.99766765989764039</v>
      </c>
      <c r="L39">
        <f t="shared" si="18"/>
        <v>1.427419086495159</v>
      </c>
      <c r="M39">
        <f t="shared" si="18"/>
        <v>1.9744805667464418</v>
      </c>
      <c r="N39">
        <f t="shared" si="18"/>
        <v>2.6438515539332355</v>
      </c>
      <c r="O39">
        <f t="shared" si="18"/>
        <v>3.4310402555384982</v>
      </c>
      <c r="P39">
        <f t="shared" si="18"/>
        <v>4.3203296430462448</v>
      </c>
      <c r="Q39">
        <f t="shared" si="18"/>
        <v>5.2842759925975509</v>
      </c>
      <c r="R39">
        <f t="shared" si="18"/>
        <v>6.284714286789181</v>
      </c>
      <c r="S39">
        <f t="shared" si="18"/>
        <v>7.2752981613272301</v>
      </c>
      <c r="T39">
        <f t="shared" si="18"/>
        <v>8.2053291523178427</v>
      </c>
      <c r="U39">
        <f t="shared" si="19"/>
        <v>9.0243911130967263</v>
      </c>
      <c r="V39">
        <f t="shared" si="19"/>
        <v>9.6871539069120427</v>
      </c>
      <c r="W39">
        <f t="shared" si="19"/>
        <v>10.157677858218046</v>
      </c>
      <c r="X39">
        <f t="shared" si="19"/>
        <v>10.412640526303459</v>
      </c>
      <c r="Y39">
        <f t="shared" si="19"/>
        <v>10.44309606915979</v>
      </c>
      <c r="Z39">
        <f t="shared" si="19"/>
        <v>10.254621081578678</v>
      </c>
      <c r="AA39">
        <f t="shared" si="19"/>
        <v>9.8659481757853555</v>
      </c>
      <c r="AB39">
        <f t="shared" si="19"/>
        <v>9.306393675732485</v>
      </c>
      <c r="AC39">
        <f t="shared" si="19"/>
        <v>8.6125171593935477</v>
      </c>
      <c r="AD39">
        <f t="shared" si="19"/>
        <v>7.8244958664029562</v>
      </c>
      <c r="AE39">
        <f t="shared" si="19"/>
        <v>6.9826622896112571</v>
      </c>
      <c r="AF39">
        <f t="shared" si="19"/>
        <v>6.1245584338468211</v>
      </c>
      <c r="AG39">
        <f t="shared" si="19"/>
        <v>5.2827321079451828</v>
      </c>
      <c r="AH39">
        <f t="shared" si="19"/>
        <v>4.4833663271806339</v>
      </c>
      <c r="AI39">
        <f t="shared" si="19"/>
        <v>3.7457145781159444</v>
      </c>
      <c r="AJ39">
        <f t="shared" si="19"/>
        <v>3.0822265688378958</v>
      </c>
      <c r="AK39">
        <f t="shared" si="12"/>
        <v>2.4991968871110171</v>
      </c>
    </row>
    <row r="40" spans="10:37" x14ac:dyDescent="0.25">
      <c r="J40" s="31">
        <f t="shared" si="20"/>
        <v>0.37010000000000021</v>
      </c>
      <c r="K40">
        <f t="shared" si="18"/>
        <v>1.0808747175669078</v>
      </c>
      <c r="L40">
        <f t="shared" si="18"/>
        <v>1.5311931396002025</v>
      </c>
      <c r="M40">
        <f t="shared" si="18"/>
        <v>2.0990268762012874</v>
      </c>
      <c r="N40">
        <f t="shared" si="18"/>
        <v>2.787864704804579</v>
      </c>
      <c r="O40">
        <f t="shared" si="18"/>
        <v>3.5916882138957047</v>
      </c>
      <c r="P40">
        <f t="shared" si="18"/>
        <v>4.4934830108583332</v>
      </c>
      <c r="Q40">
        <f t="shared" si="18"/>
        <v>5.464965883913389</v>
      </c>
      <c r="R40">
        <f t="shared" si="18"/>
        <v>6.467750967906615</v>
      </c>
      <c r="S40">
        <f t="shared" si="18"/>
        <v>7.4559438497648509</v>
      </c>
      <c r="T40">
        <f t="shared" si="18"/>
        <v>8.3799027374419559</v>
      </c>
      <c r="U40">
        <f t="shared" si="19"/>
        <v>9.1906944404722424</v>
      </c>
      <c r="V40">
        <f t="shared" si="19"/>
        <v>9.844645630973238</v>
      </c>
      <c r="W40">
        <f t="shared" si="19"/>
        <v>10.307372363906975</v>
      </c>
      <c r="X40">
        <f t="shared" si="19"/>
        <v>10.556763315288244</v>
      </c>
      <c r="Y40">
        <f t="shared" si="19"/>
        <v>10.584570876126749</v>
      </c>
      <c r="Z40">
        <f t="shared" si="19"/>
        <v>10.396488959720132</v>
      </c>
      <c r="AA40">
        <f t="shared" si="19"/>
        <v>10.010821425256498</v>
      </c>
      <c r="AB40">
        <f t="shared" si="19"/>
        <v>9.456029924278015</v>
      </c>
      <c r="AC40">
        <f t="shared" si="19"/>
        <v>8.7675675211476278</v>
      </c>
      <c r="AD40">
        <f t="shared" si="19"/>
        <v>7.9844443166396504</v>
      </c>
      <c r="AE40">
        <f t="shared" si="19"/>
        <v>7.1459393311758124</v>
      </c>
      <c r="AF40">
        <f t="shared" si="19"/>
        <v>6.2887868529015067</v>
      </c>
      <c r="AG40">
        <f t="shared" si="19"/>
        <v>5.4450491878990377</v>
      </c>
      <c r="AH40">
        <f t="shared" si="19"/>
        <v>4.6407653680989887</v>
      </c>
      <c r="AI40">
        <f t="shared" si="19"/>
        <v>3.895356679787513</v>
      </c>
      <c r="AJ40">
        <f t="shared" si="19"/>
        <v>3.221687800742524</v>
      </c>
      <c r="AK40">
        <f t="shared" si="12"/>
        <v>2.6266323546357859</v>
      </c>
    </row>
    <row r="41" spans="10:37" x14ac:dyDescent="0.25">
      <c r="J41" s="31">
        <f t="shared" si="20"/>
        <v>0.38010000000000022</v>
      </c>
      <c r="K41">
        <f t="shared" si="18"/>
        <v>1.1664958211023808</v>
      </c>
      <c r="L41">
        <f t="shared" si="18"/>
        <v>1.6370187317965026</v>
      </c>
      <c r="M41">
        <f t="shared" si="18"/>
        <v>2.2250216717079283</v>
      </c>
      <c r="N41">
        <f t="shared" si="18"/>
        <v>2.9325349584125138</v>
      </c>
      <c r="O41">
        <f t="shared" si="18"/>
        <v>3.7521024702532095</v>
      </c>
      <c r="P41">
        <f t="shared" si="18"/>
        <v>4.6655220343686876</v>
      </c>
      <c r="Q41">
        <f t="shared" si="18"/>
        <v>5.6437790521347226</v>
      </c>
      <c r="R41">
        <f t="shared" si="18"/>
        <v>6.6483507433623634</v>
      </c>
      <c r="S41">
        <f t="shared" si="18"/>
        <v>7.6338371854781073</v>
      </c>
      <c r="T41">
        <f t="shared" si="18"/>
        <v>8.5516471630493935</v>
      </c>
      <c r="U41">
        <f t="shared" si="19"/>
        <v>9.3542801569715195</v>
      </c>
      <c r="V41">
        <f t="shared" si="19"/>
        <v>9.9996397602666889</v>
      </c>
      <c r="W41">
        <f t="shared" si="19"/>
        <v>10.454808805342955</v>
      </c>
      <c r="X41">
        <f t="shared" si="19"/>
        <v>10.698810080159843</v>
      </c>
      <c r="Y41">
        <f t="shared" si="19"/>
        <v>10.724045499286799</v>
      </c>
      <c r="Z41">
        <f t="shared" si="19"/>
        <v>10.536314108730458</v>
      </c>
      <c r="AA41">
        <f t="shared" si="19"/>
        <v>10.153514414104562</v>
      </c>
      <c r="AB41">
        <f t="shared" si="19"/>
        <v>9.6033035861423741</v>
      </c>
      <c r="AC41">
        <f t="shared" si="19"/>
        <v>8.9200915111826475</v>
      </c>
      <c r="AD41">
        <f t="shared" si="19"/>
        <v>8.1417828093463598</v>
      </c>
      <c r="AE41">
        <f t="shared" si="19"/>
        <v>7.3066503760025476</v>
      </c>
      <c r="AF41">
        <f t="shared" si="19"/>
        <v>6.4506456809149997</v>
      </c>
      <c r="AG41">
        <f t="shared" si="19"/>
        <v>5.605345258543359</v>
      </c>
      <c r="AH41">
        <f t="shared" si="19"/>
        <v>4.7966210369940416</v>
      </c>
      <c r="AI41">
        <f t="shared" si="19"/>
        <v>4.0440221423044909</v>
      </c>
      <c r="AJ41">
        <f t="shared" si="19"/>
        <v>3.3607793369802561</v>
      </c>
      <c r="AK41">
        <f t="shared" si="12"/>
        <v>2.7542955123845236</v>
      </c>
    </row>
    <row r="42" spans="10:37" x14ac:dyDescent="0.25">
      <c r="J42" s="31">
        <f t="shared" si="20"/>
        <v>0.39010000000000022</v>
      </c>
      <c r="K42">
        <f t="shared" si="18"/>
        <v>1.2543962467717136</v>
      </c>
      <c r="L42">
        <f t="shared" si="18"/>
        <v>1.7447388964524368</v>
      </c>
      <c r="M42">
        <f t="shared" si="18"/>
        <v>2.3523052999666203</v>
      </c>
      <c r="N42">
        <f t="shared" si="18"/>
        <v>3.077721932004454</v>
      </c>
      <c r="O42">
        <f t="shared" si="18"/>
        <v>3.9121815583228567</v>
      </c>
      <c r="P42">
        <f t="shared" si="18"/>
        <v>4.8363971401332355</v>
      </c>
      <c r="Q42">
        <f t="shared" si="18"/>
        <v>5.8207214061632753</v>
      </c>
      <c r="R42">
        <f t="shared" si="18"/>
        <v>6.826568935802003</v>
      </c>
      <c r="S42">
        <f t="shared" si="18"/>
        <v>7.8090693960649737</v>
      </c>
      <c r="T42">
        <f t="shared" si="18"/>
        <v>8.7206725922860411</v>
      </c>
      <c r="U42">
        <f t="shared" si="19"/>
        <v>9.5152614353803688</v>
      </c>
      <c r="V42">
        <f t="shared" si="19"/>
        <v>10.152241300026599</v>
      </c>
      <c r="W42">
        <f t="shared" si="19"/>
        <v>10.600079513365802</v>
      </c>
      <c r="X42">
        <f t="shared" si="19"/>
        <v>10.838862411734448</v>
      </c>
      <c r="Y42">
        <f t="shared" si="19"/>
        <v>10.861597087761631</v>
      </c>
      <c r="Z42">
        <f t="shared" si="19"/>
        <v>10.674176779994577</v>
      </c>
      <c r="AA42">
        <f t="shared" si="19"/>
        <v>10.294116136659429</v>
      </c>
      <c r="AB42">
        <f t="shared" si="19"/>
        <v>9.7483138494006063</v>
      </c>
      <c r="AC42">
        <f t="shared" si="19"/>
        <v>9.0701948851494105</v>
      </c>
      <c r="AD42">
        <f t="shared" si="19"/>
        <v>8.2966155621230211</v>
      </c>
      <c r="AE42">
        <f t="shared" si="19"/>
        <v>7.464887281947898</v>
      </c>
      <c r="AF42">
        <f t="shared" si="19"/>
        <v>6.6102032365190331</v>
      </c>
      <c r="AG42">
        <f t="shared" si="19"/>
        <v>5.7636558829889042</v>
      </c>
      <c r="AH42">
        <f t="shared" si="19"/>
        <v>4.950930648070357</v>
      </c>
      <c r="AI42">
        <f t="shared" si="19"/>
        <v>4.1916691501154126</v>
      </c>
      <c r="AJ42">
        <f t="shared" si="19"/>
        <v>3.4994239201089741</v>
      </c>
      <c r="AK42">
        <f t="shared" si="12"/>
        <v>2.8820810867919278</v>
      </c>
    </row>
    <row r="43" spans="10:37" x14ac:dyDescent="0.25">
      <c r="J43" s="31">
        <f t="shared" si="20"/>
        <v>0.40010000000000023</v>
      </c>
      <c r="K43">
        <f t="shared" ref="K43:T55" si="21">_xlfn.NORM.S.DIST((LN(K$2/$B$59)+($F$61+$F$60^2/2)*$J43)/($F$60*SQRT($J43)),0)*K$2*SQRT($J43)</f>
        <v>1.3444450730061559</v>
      </c>
      <c r="L43">
        <f t="shared" si="21"/>
        <v>1.8542047384577778</v>
      </c>
      <c r="M43">
        <f t="shared" si="21"/>
        <v>2.4807294457940396</v>
      </c>
      <c r="N43">
        <f t="shared" si="21"/>
        <v>3.223297986854611</v>
      </c>
      <c r="O43">
        <f t="shared" si="21"/>
        <v>4.0718358972813773</v>
      </c>
      <c r="P43">
        <f t="shared" si="21"/>
        <v>5.0060677081695015</v>
      </c>
      <c r="Q43">
        <f t="shared" si="21"/>
        <v>5.9958035317976455</v>
      </c>
      <c r="R43">
        <f t="shared" si="21"/>
        <v>7.0024609541906537</v>
      </c>
      <c r="S43">
        <f t="shared" si="21"/>
        <v>7.9817278950184605</v>
      </c>
      <c r="T43">
        <f t="shared" si="21"/>
        <v>8.8870828416202521</v>
      </c>
      <c r="U43">
        <f t="shared" ref="U43:AJ55" si="22">_xlfn.NORM.S.DIST((LN(U$2/$B$59)+($F$61+$F$60^2/2)*$J43)/($F$60*SQRT($J43)),0)*U$2*SQRT($J43)</f>
        <v>9.6737441200029082</v>
      </c>
      <c r="V43">
        <f t="shared" si="22"/>
        <v>10.302548196113465</v>
      </c>
      <c r="W43">
        <f t="shared" si="22"/>
        <v>10.743270668356917</v>
      </c>
      <c r="X43">
        <f t="shared" si="22"/>
        <v>10.976996631914</v>
      </c>
      <c r="Y43">
        <f t="shared" si="22"/>
        <v>10.997297894429568</v>
      </c>
      <c r="Z43">
        <f t="shared" si="22"/>
        <v>10.810152044252334</v>
      </c>
      <c r="AA43">
        <f t="shared" si="22"/>
        <v>10.432709665804337</v>
      </c>
      <c r="AB43">
        <f t="shared" si="19"/>
        <v>9.8911532283792827</v>
      </c>
      <c r="AC43">
        <f t="shared" si="19"/>
        <v>9.2179764753629598</v>
      </c>
      <c r="AD43">
        <f t="shared" si="19"/>
        <v>8.4490405259412906</v>
      </c>
      <c r="AE43">
        <f t="shared" si="19"/>
        <v>7.6207373678758579</v>
      </c>
      <c r="AF43">
        <f t="shared" si="19"/>
        <v>6.7675259785747262</v>
      </c>
      <c r="AG43">
        <f t="shared" si="19"/>
        <v>5.9200180317864097</v>
      </c>
      <c r="AH43">
        <f t="shared" si="19"/>
        <v>5.1036962714583325</v>
      </c>
      <c r="AI43">
        <f t="shared" si="19"/>
        <v>4.3382635497362205</v>
      </c>
      <c r="AJ43">
        <f t="shared" si="19"/>
        <v>3.6375539929631624</v>
      </c>
      <c r="AK43">
        <f t="shared" si="12"/>
        <v>3.0098944246143113</v>
      </c>
    </row>
    <row r="44" spans="10:37" x14ac:dyDescent="0.25">
      <c r="J44" s="31">
        <f t="shared" si="20"/>
        <v>0.41010000000000024</v>
      </c>
      <c r="K44">
        <f t="shared" si="21"/>
        <v>1.4365155283828581</v>
      </c>
      <c r="L44">
        <f t="shared" si="21"/>
        <v>1.9652752910194102</v>
      </c>
      <c r="M44">
        <f t="shared" si="21"/>
        <v>2.6101564651586169</v>
      </c>
      <c r="N44">
        <f t="shared" si="21"/>
        <v>3.3691471510688316</v>
      </c>
      <c r="O44">
        <f t="shared" si="21"/>
        <v>4.2309865353128968</v>
      </c>
      <c r="P44">
        <f t="shared" si="21"/>
        <v>5.1745009139234961</v>
      </c>
      <c r="Q44">
        <f t="shared" si="21"/>
        <v>6.1690398703509768</v>
      </c>
      <c r="R44">
        <f t="shared" si="21"/>
        <v>7.1760819390105226</v>
      </c>
      <c r="S44">
        <f t="shared" si="21"/>
        <v>8.1518963884931708</v>
      </c>
      <c r="T44">
        <f t="shared" si="21"/>
        <v>9.0509758315329449</v>
      </c>
      <c r="U44">
        <f t="shared" si="22"/>
        <v>9.8298273492046437</v>
      </c>
      <c r="V44">
        <f t="shared" si="22"/>
        <v>10.450651971117694</v>
      </c>
      <c r="W44">
        <f t="shared" si="22"/>
        <v>10.884462856550043</v>
      </c>
      <c r="X44">
        <f t="shared" si="22"/>
        <v>11.113284258722334</v>
      </c>
      <c r="Y44">
        <f t="shared" si="22"/>
        <v>11.131215701085354</v>
      </c>
      <c r="Z44">
        <f t="shared" si="22"/>
        <v>10.944310248703271</v>
      </c>
      <c r="AA44">
        <f t="shared" si="22"/>
        <v>10.56937268819722</v>
      </c>
      <c r="AB44">
        <f t="shared" si="19"/>
        <v>10.031908166435205</v>
      </c>
      <c r="AC44">
        <f t="shared" si="19"/>
        <v>9.3635287883129568</v>
      </c>
      <c r="AD44">
        <f t="shared" si="19"/>
        <v>8.5991498621232303</v>
      </c>
      <c r="AE44">
        <f t="shared" si="19"/>
        <v>7.7742836483800764</v>
      </c>
      <c r="AF44">
        <f t="shared" si="19"/>
        <v>6.9226784089491291</v>
      </c>
      <c r="AG44">
        <f t="shared" si="19"/>
        <v>6.0744696244064</v>
      </c>
      <c r="AH44">
        <f t="shared" si="19"/>
        <v>5.2549239546961619</v>
      </c>
      <c r="AI44">
        <f t="shared" si="19"/>
        <v>4.4837778542558606</v>
      </c>
      <c r="AJ44">
        <f t="shared" si="19"/>
        <v>3.7751106272744113</v>
      </c>
      <c r="AK44">
        <f t="shared" si="12"/>
        <v>3.1376504943357006</v>
      </c>
    </row>
    <row r="45" spans="10:37" x14ac:dyDescent="0.25">
      <c r="J45" s="31">
        <f t="shared" si="20"/>
        <v>0.42010000000000025</v>
      </c>
      <c r="K45">
        <f t="shared" si="21"/>
        <v>1.5304852372640232</v>
      </c>
      <c r="L45">
        <f t="shared" si="21"/>
        <v>2.077817314741349</v>
      </c>
      <c r="M45">
        <f t="shared" si="21"/>
        <v>2.7404587288140752</v>
      </c>
      <c r="N45">
        <f t="shared" si="21"/>
        <v>3.5151641242397456</v>
      </c>
      <c r="O45">
        <f t="shared" si="21"/>
        <v>4.3895640264344378</v>
      </c>
      <c r="P45">
        <f t="shared" si="21"/>
        <v>5.3416707193237443</v>
      </c>
      <c r="Q45">
        <f t="shared" si="21"/>
        <v>6.3404480236729635</v>
      </c>
      <c r="R45">
        <f t="shared" si="21"/>
        <v>7.347486483181263</v>
      </c>
      <c r="S45">
        <f t="shared" si="21"/>
        <v>8.3196549978017629</v>
      </c>
      <c r="T45">
        <f t="shared" si="21"/>
        <v>9.2124440024495389</v>
      </c>
      <c r="U45">
        <f t="shared" si="22"/>
        <v>9.9836041139301166</v>
      </c>
      <c r="V45">
        <f t="shared" si="22"/>
        <v>10.596638289656275</v>
      </c>
      <c r="W45">
        <f t="shared" si="22"/>
        <v>11.023731563562704</v>
      </c>
      <c r="X45">
        <f t="shared" si="22"/>
        <v>11.247792419860275</v>
      </c>
      <c r="Y45">
        <f t="shared" si="22"/>
        <v>11.263414197249368</v>
      </c>
      <c r="Z45">
        <f t="shared" si="22"/>
        <v>11.076717423522428</v>
      </c>
      <c r="AA45">
        <f t="shared" si="22"/>
        <v>10.704177979114334</v>
      </c>
      <c r="AB45">
        <f t="shared" si="19"/>
        <v>10.170659571396945</v>
      </c>
      <c r="AC45">
        <f t="shared" si="19"/>
        <v>9.5069385394085817</v>
      </c>
      <c r="AD45">
        <f t="shared" si="19"/>
        <v>8.7470303776338376</v>
      </c>
      <c r="AE45">
        <f t="shared" si="19"/>
        <v>7.9256050634061355</v>
      </c>
      <c r="AF45">
        <f t="shared" si="19"/>
        <v>7.0757230155148694</v>
      </c>
      <c r="AG45">
        <f t="shared" si="19"/>
        <v>6.2270491547631623</v>
      </c>
      <c r="AH45">
        <f t="shared" si="19"/>
        <v>5.4046230601943392</v>
      </c>
      <c r="AI45">
        <f t="shared" si="19"/>
        <v>4.628190376452495</v>
      </c>
      <c r="AJ45">
        <f t="shared" si="19"/>
        <v>3.9120425716440006</v>
      </c>
      <c r="AK45">
        <f t="shared" si="12"/>
        <v>3.2652729783504499</v>
      </c>
    </row>
    <row r="46" spans="10:37" x14ac:dyDescent="0.25">
      <c r="J46" s="31">
        <f t="shared" si="20"/>
        <v>0.43010000000000026</v>
      </c>
      <c r="K46">
        <f t="shared" si="21"/>
        <v>1.6262363806571896</v>
      </c>
      <c r="L46">
        <f t="shared" si="21"/>
        <v>2.191705054511432</v>
      </c>
      <c r="M46">
        <f t="shared" si="21"/>
        <v>2.8715179842386354</v>
      </c>
      <c r="N46">
        <f t="shared" si="21"/>
        <v>3.6612533605746176</v>
      </c>
      <c r="O46">
        <f t="shared" si="21"/>
        <v>4.5475074268102986</v>
      </c>
      <c r="P46">
        <f t="shared" si="21"/>
        <v>5.5075569930487625</v>
      </c>
      <c r="Q46">
        <f t="shared" si="21"/>
        <v>6.5100481657935765</v>
      </c>
      <c r="R46">
        <f t="shared" si="21"/>
        <v>7.5167284145211921</v>
      </c>
      <c r="S46">
        <f t="shared" si="21"/>
        <v>8.4850803919275855</v>
      </c>
      <c r="T46">
        <f t="shared" si="21"/>
        <v>9.3715746982659294</v>
      </c>
      <c r="U46">
        <f t="shared" si="22"/>
        <v>10.135161759782255</v>
      </c>
      <c r="V46">
        <f t="shared" si="22"/>
        <v>10.740587462146912</v>
      </c>
      <c r="W46">
        <f t="shared" si="22"/>
        <v>11.161147613560834</v>
      </c>
      <c r="X46">
        <f t="shared" si="22"/>
        <v>11.380584221577111</v>
      </c>
      <c r="Y46">
        <f t="shared" si="22"/>
        <v>11.393953318658403</v>
      </c>
      <c r="Z46">
        <f t="shared" si="22"/>
        <v>11.207435644465132</v>
      </c>
      <c r="AA46">
        <f t="shared" si="22"/>
        <v>10.837193825006251</v>
      </c>
      <c r="AB46">
        <f t="shared" si="19"/>
        <v>10.307483292539276</v>
      </c>
      <c r="AC46">
        <f t="shared" si="19"/>
        <v>9.6482871326065389</v>
      </c>
      <c r="AD46">
        <f t="shared" si="19"/>
        <v>8.8927639224901931</v>
      </c>
      <c r="AE46">
        <f t="shared" si="19"/>
        <v>8.0747767005688562</v>
      </c>
      <c r="AF46">
        <f t="shared" si="19"/>
        <v>7.2267202464005917</v>
      </c>
      <c r="AG46">
        <f t="shared" si="19"/>
        <v>6.3777953861099785</v>
      </c>
      <c r="AH46">
        <f t="shared" si="19"/>
        <v>5.5528057009784719</v>
      </c>
      <c r="AI46">
        <f t="shared" si="19"/>
        <v>4.7714844733119905</v>
      </c>
      <c r="AJ46">
        <f t="shared" si="19"/>
        <v>4.048305405568926</v>
      </c>
      <c r="AK46">
        <f t="shared" si="12"/>
        <v>3.392693448964013</v>
      </c>
    </row>
    <row r="47" spans="10:37" x14ac:dyDescent="0.25">
      <c r="J47" s="31">
        <f t="shared" si="20"/>
        <v>0.44010000000000027</v>
      </c>
      <c r="K47">
        <f t="shared" si="21"/>
        <v>1.7236557873248686</v>
      </c>
      <c r="L47">
        <f t="shared" si="21"/>
        <v>2.3068199666877076</v>
      </c>
      <c r="M47">
        <f t="shared" si="21"/>
        <v>3.0032247412198934</v>
      </c>
      <c r="N47">
        <f t="shared" si="21"/>
        <v>3.807328226375593</v>
      </c>
      <c r="O47">
        <f t="shared" si="21"/>
        <v>4.7047633979727159</v>
      </c>
      <c r="P47">
        <f t="shared" si="21"/>
        <v>5.6721447428552345</v>
      </c>
      <c r="Q47">
        <f t="shared" si="21"/>
        <v>6.6778625446427409</v>
      </c>
      <c r="R47">
        <f t="shared" si="21"/>
        <v>7.6838606282401374</v>
      </c>
      <c r="S47">
        <f t="shared" si="21"/>
        <v>8.6482459257355728</v>
      </c>
      <c r="T47">
        <f t="shared" si="21"/>
        <v>9.5284505198211455</v>
      </c>
      <c r="U47">
        <f t="shared" si="22"/>
        <v>10.284582439251741</v>
      </c>
      <c r="V47">
        <f t="shared" si="22"/>
        <v>10.8825748949541</v>
      </c>
      <c r="W47">
        <f t="shared" si="22"/>
        <v>11.296777561173355</v>
      </c>
      <c r="X47">
        <f t="shared" si="22"/>
        <v>11.511719078620061</v>
      </c>
      <c r="Y47">
        <f t="shared" si="22"/>
        <v>11.522889550563542</v>
      </c>
      <c r="Z47">
        <f t="shared" si="22"/>
        <v>11.336523357221392</v>
      </c>
      <c r="AA47">
        <f t="shared" si="22"/>
        <v>10.968484400609883</v>
      </c>
      <c r="AB47">
        <f t="shared" si="19"/>
        <v>10.442450546625391</v>
      </c>
      <c r="AC47">
        <f t="shared" si="19"/>
        <v>9.787651091525289</v>
      </c>
      <c r="AD47">
        <f t="shared" si="19"/>
        <v>9.0364277527911625</v>
      </c>
      <c r="AE47">
        <f t="shared" si="19"/>
        <v>8.2218700087295513</v>
      </c>
      <c r="AF47">
        <f t="shared" si="19"/>
        <v>7.3757285083816955</v>
      </c>
      <c r="AG47">
        <f t="shared" si="19"/>
        <v>6.5267471032658273</v>
      </c>
      <c r="AH47">
        <f t="shared" si="19"/>
        <v>5.6994862598338631</v>
      </c>
      <c r="AI47">
        <f t="shared" si="19"/>
        <v>4.9136478871079703</v>
      </c>
      <c r="AJ47">
        <f t="shared" si="19"/>
        <v>4.18386078759388</v>
      </c>
      <c r="AK47">
        <f t="shared" si="12"/>
        <v>3.5198506213571941</v>
      </c>
    </row>
    <row r="48" spans="10:37" x14ac:dyDescent="0.25">
      <c r="J48" s="31">
        <f t="shared" si="20"/>
        <v>0.45010000000000028</v>
      </c>
      <c r="K48">
        <f t="shared" si="21"/>
        <v>1.8226349679393936</v>
      </c>
      <c r="L48">
        <f t="shared" si="21"/>
        <v>2.4230504265777721</v>
      </c>
      <c r="M48">
        <f t="shared" si="21"/>
        <v>3.135477684604115</v>
      </c>
      <c r="N48">
        <f t="shared" si="21"/>
        <v>3.9533102273397045</v>
      </c>
      <c r="O48">
        <f t="shared" si="21"/>
        <v>4.8612854055502819</v>
      </c>
      <c r="P48">
        <f t="shared" si="21"/>
        <v>5.8354234451652429</v>
      </c>
      <c r="Q48">
        <f t="shared" si="21"/>
        <v>6.8439150599827707</v>
      </c>
      <c r="R48">
        <f t="shared" si="21"/>
        <v>7.8489349601039926</v>
      </c>
      <c r="S48">
        <f t="shared" si="21"/>
        <v>8.8092217806374755</v>
      </c>
      <c r="T48">
        <f t="shared" si="21"/>
        <v>9.6831496506075716</v>
      </c>
      <c r="U48">
        <f t="shared" si="22"/>
        <v>10.431943519827168</v>
      </c>
      <c r="V48">
        <f t="shared" si="22"/>
        <v>11.022671493644095</v>
      </c>
      <c r="W48">
        <f t="shared" si="22"/>
        <v>11.430684042201781</v>
      </c>
      <c r="X48">
        <f t="shared" si="22"/>
        <v>11.641253010165855</v>
      </c>
      <c r="Y48">
        <f t="shared" si="22"/>
        <v>11.650276200207919</v>
      </c>
      <c r="Z48">
        <f t="shared" si="22"/>
        <v>11.464035668338193</v>
      </c>
      <c r="AA48">
        <f t="shared" si="22"/>
        <v>11.098110106429608</v>
      </c>
      <c r="AB48">
        <f t="shared" si="19"/>
        <v>10.575628299441009</v>
      </c>
      <c r="AC48">
        <f t="shared" si="19"/>
        <v>9.9251024477589773</v>
      </c>
      <c r="AD48">
        <f t="shared" si="19"/>
        <v>9.1780948625740422</v>
      </c>
      <c r="AE48">
        <f t="shared" si="19"/>
        <v>8.3669530019647542</v>
      </c>
      <c r="AF48">
        <f t="shared" si="19"/>
        <v>7.522804183771604</v>
      </c>
      <c r="AG48">
        <f t="shared" si="19"/>
        <v>6.6739429122725173</v>
      </c>
      <c r="AH48">
        <f t="shared" si="19"/>
        <v>5.8446809793312742</v>
      </c>
      <c r="AI48">
        <f t="shared" si="19"/>
        <v>5.0546721702456496</v>
      </c>
      <c r="AJ48">
        <f t="shared" si="19"/>
        <v>4.3186757869384778</v>
      </c>
      <c r="AK48">
        <f t="shared" si="12"/>
        <v>3.6466896769154711</v>
      </c>
    </row>
    <row r="49" spans="1:37" x14ac:dyDescent="0.25">
      <c r="J49" s="31">
        <f t="shared" si="20"/>
        <v>0.46010000000000029</v>
      </c>
      <c r="K49">
        <f t="shared" si="21"/>
        <v>1.9230701031305875</v>
      </c>
      <c r="L49">
        <f t="shared" si="21"/>
        <v>2.5402914241497014</v>
      </c>
      <c r="M49">
        <f t="shared" si="21"/>
        <v>3.2681831163382911</v>
      </c>
      <c r="N49">
        <f t="shared" si="21"/>
        <v>4.0991283009697375</v>
      </c>
      <c r="O49">
        <f t="shared" si="21"/>
        <v>5.017033003231842</v>
      </c>
      <c r="P49">
        <f t="shared" si="21"/>
        <v>5.9973864591377772</v>
      </c>
      <c r="Q49">
        <f t="shared" si="21"/>
        <v>7.0082309059165553</v>
      </c>
      <c r="R49">
        <f t="shared" si="21"/>
        <v>8.0120020926445932</v>
      </c>
      <c r="S49">
        <f t="shared" si="21"/>
        <v>8.9680751052947123</v>
      </c>
      <c r="T49">
        <f t="shared" si="21"/>
        <v>9.8357461569086553</v>
      </c>
      <c r="U49">
        <f t="shared" si="22"/>
        <v>10.577317952980133</v>
      </c>
      <c r="V49">
        <f t="shared" si="22"/>
        <v>11.16094402511783</v>
      </c>
      <c r="W49">
        <f t="shared" si="22"/>
        <v>11.562926088279697</v>
      </c>
      <c r="X49">
        <f t="shared" si="22"/>
        <v>11.769238905924702</v>
      </c>
      <c r="Y49">
        <f t="shared" si="22"/>
        <v>11.776163642228955</v>
      </c>
      <c r="Z49">
        <f t="shared" si="22"/>
        <v>11.590024606826807</v>
      </c>
      <c r="AA49">
        <f t="shared" si="22"/>
        <v>11.226127871544541</v>
      </c>
      <c r="AB49">
        <f t="shared" si="22"/>
        <v>10.707079608317233</v>
      </c>
      <c r="AC49">
        <f t="shared" si="22"/>
        <v>10.060709091346585</v>
      </c>
      <c r="AD49">
        <f t="shared" si="22"/>
        <v>9.3178342874178615</v>
      </c>
      <c r="AE49">
        <f t="shared" si="22"/>
        <v>8.5100904534727562</v>
      </c>
      <c r="AF49">
        <f t="shared" si="22"/>
        <v>7.6680016613385087</v>
      </c>
      <c r="AG49">
        <f t="shared" si="22"/>
        <v>6.8194210793228329</v>
      </c>
      <c r="AH49">
        <f t="shared" si="22"/>
        <v>5.988407612178885</v>
      </c>
      <c r="AI49">
        <f t="shared" si="22"/>
        <v>5.1945521828315186</v>
      </c>
      <c r="AJ49">
        <f t="shared" si="22"/>
        <v>4.4527222891203486</v>
      </c>
      <c r="AK49">
        <f t="shared" si="12"/>
        <v>3.77316165067508</v>
      </c>
    </row>
    <row r="50" spans="1:37" x14ac:dyDescent="0.25">
      <c r="J50" s="31">
        <f t="shared" si="20"/>
        <v>0.4701000000000003</v>
      </c>
      <c r="K50">
        <f t="shared" si="21"/>
        <v>2.024861994584672</v>
      </c>
      <c r="L50">
        <f t="shared" si="21"/>
        <v>2.6584442542302993</v>
      </c>
      <c r="M50">
        <f t="shared" si="21"/>
        <v>3.4012544278812209</v>
      </c>
      <c r="N50">
        <f t="shared" si="21"/>
        <v>4.2447181693762719</v>
      </c>
      <c r="O50">
        <f t="shared" si="21"/>
        <v>5.1719711927450467</v>
      </c>
      <c r="P50">
        <f t="shared" si="21"/>
        <v>6.1580305141949134</v>
      </c>
      <c r="Q50">
        <f t="shared" si="21"/>
        <v>7.1708362681859183</v>
      </c>
      <c r="R50">
        <f t="shared" si="21"/>
        <v>8.1731114881899316</v>
      </c>
      <c r="S50">
        <f t="shared" si="21"/>
        <v>9.1248701545793676</v>
      </c>
      <c r="T50">
        <f t="shared" si="21"/>
        <v>9.9863102644306903</v>
      </c>
      <c r="U50">
        <f t="shared" si="22"/>
        <v>10.72077460838544</v>
      </c>
      <c r="V50">
        <f t="shared" si="22"/>
        <v>11.297455443578494</v>
      </c>
      <c r="W50">
        <f t="shared" si="22"/>
        <v>11.69355940989432</v>
      </c>
      <c r="X50">
        <f t="shared" si="22"/>
        <v>11.895726766010409</v>
      </c>
      <c r="Y50">
        <f t="shared" si="22"/>
        <v>11.900599540203645</v>
      </c>
      <c r="Z50">
        <f t="shared" si="22"/>
        <v>11.714539359986231</v>
      </c>
      <c r="AA50">
        <f t="shared" si="22"/>
        <v>11.352591425984661</v>
      </c>
      <c r="AB50">
        <f t="shared" si="22"/>
        <v>10.836863930361204</v>
      </c>
      <c r="AC50">
        <f t="shared" si="22"/>
        <v>10.19453508770401</v>
      </c>
      <c r="AD50">
        <f t="shared" si="22"/>
        <v>9.4557113824421997</v>
      </c>
      <c r="AE50">
        <f t="shared" si="22"/>
        <v>8.6513440792649163</v>
      </c>
      <c r="AF50">
        <f t="shared" si="22"/>
        <v>7.8113733776969889</v>
      </c>
      <c r="AG50">
        <f t="shared" si="22"/>
        <v>6.9632194022221743</v>
      </c>
      <c r="AH50">
        <f t="shared" si="22"/>
        <v>6.130685122987563</v>
      </c>
      <c r="AI50">
        <f t="shared" si="22"/>
        <v>5.3332856534443387</v>
      </c>
      <c r="AJ50">
        <f t="shared" si="22"/>
        <v>4.5859764671577627</v>
      </c>
      <c r="AK50">
        <f t="shared" si="12"/>
        <v>3.8992228770400512</v>
      </c>
    </row>
    <row r="51" spans="1:37" x14ac:dyDescent="0.25">
      <c r="J51" s="31">
        <f t="shared" si="20"/>
        <v>0.4801000000000003</v>
      </c>
      <c r="K51">
        <f t="shared" si="21"/>
        <v>2.1279159868967192</v>
      </c>
      <c r="L51">
        <f t="shared" si="21"/>
        <v>2.7774162060726382</v>
      </c>
      <c r="M51">
        <f t="shared" si="21"/>
        <v>3.5346116032730857</v>
      </c>
      <c r="N51">
        <f t="shared" si="21"/>
        <v>4.3900217478544379</v>
      </c>
      <c r="O51">
        <f t="shared" si="21"/>
        <v>5.3260698515974907</v>
      </c>
      <c r="P51">
        <f t="shared" si="21"/>
        <v>6.3173552614744404</v>
      </c>
      <c r="Q51">
        <f t="shared" si="21"/>
        <v>7.3317580680166197</v>
      </c>
      <c r="R51">
        <f t="shared" si="21"/>
        <v>8.3323113436261504</v>
      </c>
      <c r="S51">
        <f t="shared" si="21"/>
        <v>9.2796684255045747</v>
      </c>
      <c r="T51">
        <f t="shared" si="21"/>
        <v>10.134908613360444</v>
      </c>
      <c r="U51">
        <f t="shared" si="22"/>
        <v>10.862378577190638</v>
      </c>
      <c r="V51">
        <f t="shared" si="22"/>
        <v>11.432265184606218</v>
      </c>
      <c r="W51">
        <f t="shared" si="22"/>
        <v>11.822636651559938</v>
      </c>
      <c r="X51">
        <f t="shared" si="22"/>
        <v>12.020763917669759</v>
      </c>
      <c r="Y51">
        <f t="shared" si="22"/>
        <v>12.023629047112641</v>
      </c>
      <c r="Z51">
        <f t="shared" si="22"/>
        <v>11.837626486482195</v>
      </c>
      <c r="AA51">
        <f t="shared" si="22"/>
        <v>11.47755154632023</v>
      </c>
      <c r="AB51">
        <f t="shared" si="22"/>
        <v>10.965037400459414</v>
      </c>
      <c r="AC51">
        <f t="shared" si="22"/>
        <v>10.326640964772402</v>
      </c>
      <c r="AD51">
        <f t="shared" si="22"/>
        <v>9.5917880770986823</v>
      </c>
      <c r="AE51">
        <f t="shared" si="22"/>
        <v>8.7907727117041592</v>
      </c>
      <c r="AF51">
        <f t="shared" si="22"/>
        <v>7.9529698663594504</v>
      </c>
      <c r="AG51">
        <f t="shared" si="22"/>
        <v>7.1053751088098567</v>
      </c>
      <c r="AH51">
        <f t="shared" si="22"/>
        <v>6.2715334339108262</v>
      </c>
      <c r="AI51">
        <f t="shared" si="22"/>
        <v>5.4708727948841975</v>
      </c>
      <c r="AJ51">
        <f t="shared" si="22"/>
        <v>4.7184183108927975</v>
      </c>
      <c r="AK51">
        <f t="shared" si="12"/>
        <v>4.0248344883503879</v>
      </c>
    </row>
    <row r="52" spans="1:37" x14ac:dyDescent="0.25">
      <c r="J52" s="31">
        <f t="shared" si="20"/>
        <v>0.49010000000000031</v>
      </c>
      <c r="K52">
        <f t="shared" si="21"/>
        <v>2.2321418666293646</v>
      </c>
      <c r="L52">
        <f t="shared" si="21"/>
        <v>2.8971202560573572</v>
      </c>
      <c r="M52">
        <f t="shared" si="21"/>
        <v>3.6681807525730274</v>
      </c>
      <c r="N52">
        <f t="shared" si="21"/>
        <v>4.53498660479727</v>
      </c>
      <c r="O52">
        <f t="shared" si="21"/>
        <v>5.4793032212118753</v>
      </c>
      <c r="P52">
        <f t="shared" si="21"/>
        <v>6.4753628809716846</v>
      </c>
      <c r="Q52">
        <f t="shared" si="21"/>
        <v>7.491023745553429</v>
      </c>
      <c r="R52">
        <f t="shared" si="21"/>
        <v>8.4896485627258187</v>
      </c>
      <c r="S52">
        <f t="shared" si="21"/>
        <v>9.4325287892129257</v>
      </c>
      <c r="T52">
        <f t="shared" si="21"/>
        <v>10.281604493641725</v>
      </c>
      <c r="U52">
        <f t="shared" si="22"/>
        <v>11.002191447677603</v>
      </c>
      <c r="V52">
        <f t="shared" si="22"/>
        <v>11.56542943103374</v>
      </c>
      <c r="W52">
        <f t="shared" si="22"/>
        <v>11.95020762240968</v>
      </c>
      <c r="X52">
        <f t="shared" si="22"/>
        <v>12.144395211542371</v>
      </c>
      <c r="Y52">
        <f t="shared" si="22"/>
        <v>12.145294987125045</v>
      </c>
      <c r="Z52">
        <f t="shared" si="22"/>
        <v>11.959330109306443</v>
      </c>
      <c r="AA52">
        <f t="shared" si="22"/>
        <v>11.601056277605441</v>
      </c>
      <c r="AB52">
        <f t="shared" si="22"/>
        <v>11.091653082565694</v>
      </c>
      <c r="AC52">
        <f t="shared" si="22"/>
        <v>10.457083973660325</v>
      </c>
      <c r="AD52">
        <f t="shared" si="22"/>
        <v>9.7261231089204454</v>
      </c>
      <c r="AE52">
        <f t="shared" si="22"/>
        <v>8.9284324631045422</v>
      </c>
      <c r="AF52">
        <f t="shared" si="22"/>
        <v>8.0928398122182372</v>
      </c>
      <c r="AG52">
        <f t="shared" si="22"/>
        <v>7.2459247777208589</v>
      </c>
      <c r="AH52">
        <f t="shared" si="22"/>
        <v>6.4109732077725523</v>
      </c>
      <c r="AI52">
        <f t="shared" si="22"/>
        <v>5.607315967794225</v>
      </c>
      <c r="AJ52">
        <f t="shared" si="22"/>
        <v>4.850031207832739</v>
      </c>
      <c r="AK52">
        <f t="shared" si="12"/>
        <v>4.1499619613113445</v>
      </c>
    </row>
    <row r="53" spans="1:37" x14ac:dyDescent="0.25">
      <c r="J53" s="31">
        <f t="shared" si="20"/>
        <v>0.50010000000000032</v>
      </c>
      <c r="K53">
        <f t="shared" si="21"/>
        <v>2.3374537439626613</v>
      </c>
      <c r="L53">
        <f t="shared" si="21"/>
        <v>3.017474766386405</v>
      </c>
      <c r="M53">
        <f t="shared" si="21"/>
        <v>3.8018936749554926</v>
      </c>
      <c r="N53">
        <f t="shared" si="21"/>
        <v>4.6795654687337391</v>
      </c>
      <c r="O53">
        <f t="shared" si="21"/>
        <v>5.6316494488868054</v>
      </c>
      <c r="P53">
        <f t="shared" si="21"/>
        <v>6.6320577372437057</v>
      </c>
      <c r="Q53">
        <f t="shared" si="21"/>
        <v>7.6486610770048928</v>
      </c>
      <c r="R53">
        <f t="shared" si="21"/>
        <v>8.6451687426293002</v>
      </c>
      <c r="S53">
        <f t="shared" si="21"/>
        <v>9.5835076184013719</v>
      </c>
      <c r="T53">
        <f t="shared" si="21"/>
        <v>10.426458062126823</v>
      </c>
      <c r="U53">
        <f t="shared" si="22"/>
        <v>11.140271556251733</v>
      </c>
      <c r="V53">
        <f t="shared" si="22"/>
        <v>11.697001353826328</v>
      </c>
      <c r="W53">
        <f t="shared" si="22"/>
        <v>12.076319505030002</v>
      </c>
      <c r="X53">
        <f t="shared" si="22"/>
        <v>12.266663199765413</v>
      </c>
      <c r="Y53">
        <f t="shared" si="22"/>
        <v>12.265638020788989</v>
      </c>
      <c r="Z53">
        <f t="shared" si="22"/>
        <v>12.079692090890701</v>
      </c>
      <c r="AA53">
        <f t="shared" si="22"/>
        <v>11.723151134392484</v>
      </c>
      <c r="AB53">
        <f t="shared" si="22"/>
        <v>11.216761197317755</v>
      </c>
      <c r="AC53">
        <f t="shared" si="22"/>
        <v>10.585918325648382</v>
      </c>
      <c r="AD53">
        <f t="shared" si="22"/>
        <v>9.858772238183283</v>
      </c>
      <c r="AE53">
        <f t="shared" si="22"/>
        <v>9.0643768797097426</v>
      </c>
      <c r="AF53">
        <f t="shared" si="22"/>
        <v>8.2310301096973859</v>
      </c>
      <c r="AG53">
        <f t="shared" si="22"/>
        <v>7.3849042776539369</v>
      </c>
      <c r="AH53">
        <f t="shared" si="22"/>
        <v>6.5490256632626114</v>
      </c>
      <c r="AI53">
        <f t="shared" si="22"/>
        <v>5.7426193860104737</v>
      </c>
      <c r="AJ53">
        <f t="shared" si="22"/>
        <v>4.9808015696709091</v>
      </c>
      <c r="AK53">
        <f t="shared" si="12"/>
        <v>4.2745747067141204</v>
      </c>
    </row>
    <row r="54" spans="1:37" x14ac:dyDescent="0.25">
      <c r="J54" s="31">
        <f t="shared" si="20"/>
        <v>0.51010000000000033</v>
      </c>
      <c r="K54">
        <f t="shared" si="21"/>
        <v>2.4437699214102055</v>
      </c>
      <c r="L54">
        <f t="shared" si="21"/>
        <v>3.1384031918962476</v>
      </c>
      <c r="M54">
        <f t="shared" si="21"/>
        <v>3.9356874504617259</v>
      </c>
      <c r="N54">
        <f t="shared" si="21"/>
        <v>4.8237157785324376</v>
      </c>
      <c r="O54">
        <f t="shared" si="21"/>
        <v>5.7830901777350201</v>
      </c>
      <c r="P54">
        <f t="shared" si="21"/>
        <v>6.7874460775037857</v>
      </c>
      <c r="Q54">
        <f t="shared" si="21"/>
        <v>7.8046980205186092</v>
      </c>
      <c r="R54">
        <f t="shared" si="21"/>
        <v>8.7989161716795969</v>
      </c>
      <c r="S54">
        <f t="shared" si="21"/>
        <v>9.7326589097825433</v>
      </c>
      <c r="T54">
        <f t="shared" si="21"/>
        <v>10.569526543125834</v>
      </c>
      <c r="U54">
        <f t="shared" si="22"/>
        <v>11.276674216341327</v>
      </c>
      <c r="V54">
        <f t="shared" si="22"/>
        <v>11.827031330751552</v>
      </c>
      <c r="W54">
        <f t="shared" si="22"/>
        <v>12.201017044987722</v>
      </c>
      <c r="X54">
        <f t="shared" si="22"/>
        <v>12.387608297934484</v>
      </c>
      <c r="Y54">
        <f t="shared" si="22"/>
        <v>12.384696795443253</v>
      </c>
      <c r="Z54">
        <f t="shared" si="22"/>
        <v>12.198752192351828</v>
      </c>
      <c r="AA54">
        <f t="shared" si="22"/>
        <v>11.843879283171772</v>
      </c>
      <c r="AB54">
        <f t="shared" si="22"/>
        <v>11.34040932862758</v>
      </c>
      <c r="AC54">
        <f t="shared" si="22"/>
        <v>10.713195408072291</v>
      </c>
      <c r="AD54">
        <f t="shared" si="22"/>
        <v>9.9897884452395793</v>
      </c>
      <c r="AE54">
        <f t="shared" si="22"/>
        <v>9.1986570864363415</v>
      </c>
      <c r="AF54">
        <f t="shared" si="22"/>
        <v>8.3675859231865495</v>
      </c>
      <c r="AG54">
        <f t="shared" si="22"/>
        <v>7.5223487219587666</v>
      </c>
      <c r="AH54">
        <f t="shared" si="22"/>
        <v>6.6857124175936562</v>
      </c>
      <c r="AI54">
        <f t="shared" si="22"/>
        <v>5.8767888583211905</v>
      </c>
      <c r="AJ54">
        <f t="shared" si="22"/>
        <v>5.110718499325829</v>
      </c>
      <c r="AK54">
        <f t="shared" si="12"/>
        <v>4.3986456982807134</v>
      </c>
    </row>
    <row r="55" spans="1:37" x14ac:dyDescent="0.25">
      <c r="J55" s="31">
        <f t="shared" si="20"/>
        <v>0.52010000000000034</v>
      </c>
      <c r="K55">
        <f t="shared" si="21"/>
        <v>2.551012753304446</v>
      </c>
      <c r="L55">
        <f t="shared" si="21"/>
        <v>3.2598337965294553</v>
      </c>
      <c r="M55">
        <f t="shared" si="21"/>
        <v>4.0695040592045251</v>
      </c>
      <c r="N55">
        <f t="shared" si="21"/>
        <v>4.9673992730777785</v>
      </c>
      <c r="O55">
        <f t="shared" si="21"/>
        <v>5.9336101793967524</v>
      </c>
      <c r="P55">
        <f t="shared" si="21"/>
        <v>6.9415357667561013</v>
      </c>
      <c r="Q55">
        <f t="shared" si="21"/>
        <v>7.9591625865644984</v>
      </c>
      <c r="R55">
        <f t="shared" si="21"/>
        <v>8.9509338363132631</v>
      </c>
      <c r="S55">
        <f t="shared" si="21"/>
        <v>9.8800344013513612</v>
      </c>
      <c r="T55">
        <f t="shared" si="21"/>
        <v>10.710864413750748</v>
      </c>
      <c r="U55">
        <f t="shared" si="22"/>
        <v>11.411451927483821</v>
      </c>
      <c r="V55">
        <f t="shared" si="22"/>
        <v>11.955567145268061</v>
      </c>
      <c r="W55">
        <f t="shared" si="22"/>
        <v>12.324342723180905</v>
      </c>
      <c r="X55">
        <f t="shared" si="22"/>
        <v>12.507268932673986</v>
      </c>
      <c r="Y55">
        <f t="shared" si="22"/>
        <v>12.50250808243519</v>
      </c>
      <c r="Z55">
        <f t="shared" si="22"/>
        <v>12.316548218591183</v>
      </c>
      <c r="AA55">
        <f t="shared" si="22"/>
        <v>11.963281708287978</v>
      </c>
      <c r="AB55">
        <f t="shared" si="22"/>
        <v>11.46264261155156</v>
      </c>
      <c r="AC55">
        <f t="shared" si="22"/>
        <v>10.838963981296011</v>
      </c>
      <c r="AD55">
        <f t="shared" si="22"/>
        <v>10.119222112112448</v>
      </c>
      <c r="AE55">
        <f t="shared" si="22"/>
        <v>9.3313219228098099</v>
      </c>
      <c r="AF55">
        <f t="shared" si="22"/>
        <v>8.5025507486690213</v>
      </c>
      <c r="AG55">
        <f t="shared" si="22"/>
        <v>7.6582924358891393</v>
      </c>
      <c r="AH55">
        <f t="shared" si="22"/>
        <v>6.8210553526975373</v>
      </c>
      <c r="AI55">
        <f t="shared" si="22"/>
        <v>6.0098315620270215</v>
      </c>
      <c r="AJ55">
        <f t="shared" si="22"/>
        <v>5.2397734939382552</v>
      </c>
      <c r="AK55">
        <f t="shared" si="12"/>
        <v>4.5221511368451281</v>
      </c>
    </row>
    <row r="58" spans="1:37" x14ac:dyDescent="0.25">
      <c r="A58" s="3" t="s">
        <v>0</v>
      </c>
      <c r="B58">
        <v>37</v>
      </c>
    </row>
    <row r="59" spans="1:37" x14ac:dyDescent="0.25">
      <c r="A59" s="3" t="s">
        <v>1</v>
      </c>
      <c r="B59">
        <v>44</v>
      </c>
    </row>
    <row r="60" spans="1:37" x14ac:dyDescent="0.25">
      <c r="A60" s="3" t="s">
        <v>2</v>
      </c>
      <c r="E60">
        <v>13</v>
      </c>
      <c r="F60">
        <f>E60/100</f>
        <v>0.13</v>
      </c>
    </row>
    <row r="61" spans="1:37" x14ac:dyDescent="0.25">
      <c r="A61" s="3" t="s">
        <v>5</v>
      </c>
      <c r="E61">
        <v>2</v>
      </c>
      <c r="F61">
        <f>E61/100</f>
        <v>0.02</v>
      </c>
    </row>
    <row r="62" spans="1:37" x14ac:dyDescent="0.25">
      <c r="A62" s="3" t="s">
        <v>6</v>
      </c>
      <c r="B62">
        <v>0.01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>
                  <from>
                    <xdr:col>0</xdr:col>
                    <xdr:colOff>590550</xdr:colOff>
                    <xdr:row>59</xdr:row>
                    <xdr:rowOff>19050</xdr:rowOff>
                  </from>
                  <to>
                    <xdr:col>3</xdr:col>
                    <xdr:colOff>590550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Scroll Bar 2">
              <controlPr defaultSize="0" autoPict="0">
                <anchor>
                  <from>
                    <xdr:col>0</xdr:col>
                    <xdr:colOff>590550</xdr:colOff>
                    <xdr:row>60</xdr:row>
                    <xdr:rowOff>9525</xdr:rowOff>
                  </from>
                  <to>
                    <xdr:col>4</xdr:col>
                    <xdr:colOff>0</xdr:colOff>
                    <xdr:row>60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2:AB63"/>
  <sheetViews>
    <sheetView topLeftCell="A55" workbookViewId="0">
      <selection activeCell="H10" sqref="H10"/>
    </sheetView>
  </sheetViews>
  <sheetFormatPr defaultRowHeight="15" x14ac:dyDescent="0.25"/>
  <cols>
    <col min="11" max="11" width="12" bestFit="1" customWidth="1"/>
  </cols>
  <sheetData>
    <row r="2" spans="2:28" x14ac:dyDescent="0.25">
      <c r="J2" s="1"/>
      <c r="K2" s="36">
        <f>$B$59</f>
        <v>47</v>
      </c>
      <c r="L2" s="36">
        <f t="shared" ref="L2:AB2" si="0">K2+$C$3</f>
        <v>47.5</v>
      </c>
      <c r="M2" s="36">
        <f t="shared" si="0"/>
        <v>48</v>
      </c>
      <c r="N2" s="36">
        <f t="shared" si="0"/>
        <v>48.5</v>
      </c>
      <c r="O2" s="36">
        <f t="shared" si="0"/>
        <v>49</v>
      </c>
      <c r="P2" s="36">
        <f t="shared" si="0"/>
        <v>49.5</v>
      </c>
      <c r="Q2" s="36">
        <f t="shared" si="0"/>
        <v>50</v>
      </c>
      <c r="R2" s="36">
        <f t="shared" si="0"/>
        <v>50.5</v>
      </c>
      <c r="S2" s="36">
        <f t="shared" si="0"/>
        <v>51</v>
      </c>
      <c r="T2" s="36">
        <f t="shared" si="0"/>
        <v>51.5</v>
      </c>
      <c r="U2" s="36">
        <f t="shared" si="0"/>
        <v>52</v>
      </c>
      <c r="V2" s="36">
        <f t="shared" si="0"/>
        <v>52.5</v>
      </c>
      <c r="W2" s="36">
        <f t="shared" si="0"/>
        <v>53</v>
      </c>
      <c r="X2" s="36">
        <f t="shared" si="0"/>
        <v>53.5</v>
      </c>
      <c r="Y2" s="36">
        <f t="shared" si="0"/>
        <v>54</v>
      </c>
      <c r="Z2" s="36">
        <f t="shared" si="0"/>
        <v>54.5</v>
      </c>
      <c r="AA2" s="36">
        <f t="shared" si="0"/>
        <v>55</v>
      </c>
      <c r="AB2" s="36">
        <f t="shared" si="0"/>
        <v>55.5</v>
      </c>
    </row>
    <row r="3" spans="2:28" x14ac:dyDescent="0.25">
      <c r="B3" s="1" t="s">
        <v>4</v>
      </c>
      <c r="C3">
        <v>0.5</v>
      </c>
      <c r="J3" s="36">
        <f>$B$63</f>
        <v>0.01</v>
      </c>
      <c r="K3">
        <f t="shared" ref="K3:T12" si="1">_xlfn.NORM.S.DIST((LN(K$2/$B$60)+($F$62+$F$61^2/2)*$J3)/($F$61*SQRT($J3)),0)</f>
        <v>7.5545156741982031E-7</v>
      </c>
      <c r="L3">
        <f t="shared" si="1"/>
        <v>4.7360033030955616E-5</v>
      </c>
      <c r="M3">
        <f t="shared" si="1"/>
        <v>1.3223819371682578E-3</v>
      </c>
      <c r="N3">
        <f t="shared" si="1"/>
        <v>1.6855777843277304E-2</v>
      </c>
      <c r="O3">
        <f t="shared" si="1"/>
        <v>0.10043745232007692</v>
      </c>
      <c r="P3">
        <f t="shared" si="1"/>
        <v>0.28623617576874238</v>
      </c>
      <c r="Q3">
        <f t="shared" si="1"/>
        <v>0.39883980972464222</v>
      </c>
      <c r="R3">
        <f t="shared" si="1"/>
        <v>0.27754504533058261</v>
      </c>
      <c r="S3">
        <f t="shared" si="1"/>
        <v>9.8449489236868054E-2</v>
      </c>
      <c r="T3">
        <f t="shared" si="1"/>
        <v>1.815537892706337E-2</v>
      </c>
      <c r="U3">
        <f t="shared" ref="U3:AB12" si="2">_xlfn.NORM.S.DIST((LN(U$2/$B$60)+($F$62+$F$61^2/2)*$J3)/($F$61*SQRT($J3)),0)</f>
        <v>1.7740776635823416E-3</v>
      </c>
      <c r="V3">
        <f t="shared" si="2"/>
        <v>9.3559721571136965E-5</v>
      </c>
      <c r="W3">
        <f t="shared" si="2"/>
        <v>2.7105045238294889E-6</v>
      </c>
      <c r="X3">
        <f t="shared" si="2"/>
        <v>4.388200731325983E-8</v>
      </c>
      <c r="Y3">
        <f t="shared" si="2"/>
        <v>4.0362094515174258E-10</v>
      </c>
      <c r="Z3">
        <f t="shared" si="2"/>
        <v>2.1431061801303797E-12</v>
      </c>
      <c r="AA3">
        <f t="shared" si="2"/>
        <v>6.6710582137984799E-15</v>
      </c>
      <c r="AB3">
        <f t="shared" si="2"/>
        <v>1.2356659111046697E-17</v>
      </c>
    </row>
    <row r="4" spans="2:28" x14ac:dyDescent="0.25">
      <c r="B4" s="1" t="s">
        <v>3</v>
      </c>
      <c r="J4" s="36">
        <f t="shared" ref="J4:J35" si="3">J3+$C$5</f>
        <v>0.02</v>
      </c>
      <c r="K4">
        <f t="shared" si="1"/>
        <v>5.8179535218330441E-4</v>
      </c>
      <c r="L4">
        <f t="shared" si="1"/>
        <v>4.5607104461985451E-3</v>
      </c>
      <c r="M4">
        <f t="shared" si="1"/>
        <v>2.3862172145597698E-2</v>
      </c>
      <c r="N4">
        <f t="shared" si="1"/>
        <v>8.4363666500451323E-2</v>
      </c>
      <c r="O4">
        <f t="shared" si="1"/>
        <v>0.20394920314203605</v>
      </c>
      <c r="P4">
        <f t="shared" si="1"/>
        <v>0.34101404125590962</v>
      </c>
      <c r="Q4">
        <f t="shared" si="1"/>
        <v>0.39873736536804927</v>
      </c>
      <c r="R4">
        <f t="shared" si="1"/>
        <v>0.32951343520229931</v>
      </c>
      <c r="S4">
        <f t="shared" si="1"/>
        <v>0.1944339208420417</v>
      </c>
      <c r="T4">
        <f t="shared" si="1"/>
        <v>8.2730623621360799E-2</v>
      </c>
      <c r="U4">
        <f t="shared" si="2"/>
        <v>2.5626361961742127E-2</v>
      </c>
      <c r="V4">
        <f t="shared" si="2"/>
        <v>5.8320337600926133E-3</v>
      </c>
      <c r="W4">
        <f t="shared" si="2"/>
        <v>9.8381348059517937E-4</v>
      </c>
      <c r="X4">
        <f t="shared" si="2"/>
        <v>1.2407365669076539E-4</v>
      </c>
      <c r="Y4">
        <f t="shared" si="2"/>
        <v>1.1795263632283143E-5</v>
      </c>
      <c r="Z4">
        <f t="shared" si="2"/>
        <v>8.5204450718140221E-7</v>
      </c>
      <c r="AA4">
        <f t="shared" si="2"/>
        <v>4.7129405168860655E-8</v>
      </c>
      <c r="AB4">
        <f t="shared" si="2"/>
        <v>2.0110977592888254E-9</v>
      </c>
    </row>
    <row r="5" spans="2:28" x14ac:dyDescent="0.25">
      <c r="B5" s="1" t="s">
        <v>7</v>
      </c>
      <c r="C5">
        <v>0.01</v>
      </c>
      <c r="J5" s="36">
        <f t="shared" si="3"/>
        <v>0.03</v>
      </c>
      <c r="K5">
        <f t="shared" si="1"/>
        <v>5.3319214667716741E-3</v>
      </c>
      <c r="L5">
        <f t="shared" si="1"/>
        <v>2.0900898581762049E-2</v>
      </c>
      <c r="M5">
        <f t="shared" si="1"/>
        <v>6.2577751285833497E-2</v>
      </c>
      <c r="N5">
        <f t="shared" si="1"/>
        <v>0.14428348326111412</v>
      </c>
      <c r="O5">
        <f t="shared" si="1"/>
        <v>0.25821992113398379</v>
      </c>
      <c r="P5">
        <f t="shared" si="1"/>
        <v>0.36144908637556039</v>
      </c>
      <c r="Q5">
        <f t="shared" si="1"/>
        <v>0.3986349473248933</v>
      </c>
      <c r="R5">
        <f t="shared" si="1"/>
        <v>0.34885527884258016</v>
      </c>
      <c r="S5">
        <f t="shared" si="1"/>
        <v>0.24390302083912588</v>
      </c>
      <c r="T5">
        <f t="shared" si="1"/>
        <v>0.13713413807836947</v>
      </c>
      <c r="U5">
        <f t="shared" si="2"/>
        <v>6.2399918411278323E-2</v>
      </c>
      <c r="V5">
        <f t="shared" si="2"/>
        <v>2.3120081211825971E-2</v>
      </c>
      <c r="W5">
        <f t="shared" si="2"/>
        <v>7.0165873543481735E-3</v>
      </c>
      <c r="X5">
        <f t="shared" si="2"/>
        <v>1.7541614817416214E-3</v>
      </c>
      <c r="Y5">
        <f t="shared" si="2"/>
        <v>3.6325471563117783E-4</v>
      </c>
      <c r="Z5">
        <f t="shared" si="2"/>
        <v>6.2641300885218703E-5</v>
      </c>
      <c r="AA5">
        <f t="shared" si="2"/>
        <v>9.0416978686389302E-6</v>
      </c>
      <c r="AB5">
        <f t="shared" si="2"/>
        <v>1.0978327373713324E-6</v>
      </c>
    </row>
    <row r="6" spans="2:28" x14ac:dyDescent="0.25">
      <c r="J6" s="36">
        <f t="shared" si="3"/>
        <v>0.04</v>
      </c>
      <c r="K6">
        <f t="shared" si="1"/>
        <v>1.6139300569707318E-2</v>
      </c>
      <c r="L6">
        <f t="shared" si="1"/>
        <v>4.4737880384419421E-2</v>
      </c>
      <c r="M6">
        <f t="shared" si="1"/>
        <v>0.10132559421863516</v>
      </c>
      <c r="N6">
        <f t="shared" si="1"/>
        <v>0.18866503557200776</v>
      </c>
      <c r="O6">
        <f t="shared" si="1"/>
        <v>0.29051450907536958</v>
      </c>
      <c r="P6">
        <f t="shared" si="1"/>
        <v>0.37207353767301915</v>
      </c>
      <c r="Q6">
        <f t="shared" si="1"/>
        <v>0.39853255558841549</v>
      </c>
      <c r="R6">
        <f t="shared" si="1"/>
        <v>0.35890177196057338</v>
      </c>
      <c r="S6">
        <f t="shared" si="1"/>
        <v>0.27313915982346515</v>
      </c>
      <c r="T6">
        <f t="shared" si="1"/>
        <v>0.17653443831340271</v>
      </c>
      <c r="U6">
        <f t="shared" si="2"/>
        <v>9.7359149640480591E-2</v>
      </c>
      <c r="V6">
        <f t="shared" si="2"/>
        <v>4.6027589961208933E-2</v>
      </c>
      <c r="W6">
        <f t="shared" si="2"/>
        <v>1.8735993943331298E-2</v>
      </c>
      <c r="X6">
        <f t="shared" si="2"/>
        <v>6.5949086157238886E-3</v>
      </c>
      <c r="Y6">
        <f t="shared" si="2"/>
        <v>2.0156136115274401E-3</v>
      </c>
      <c r="Z6">
        <f t="shared" si="2"/>
        <v>5.3703702594089817E-4</v>
      </c>
      <c r="AA6">
        <f t="shared" si="2"/>
        <v>1.252198630070825E-4</v>
      </c>
      <c r="AB6">
        <f t="shared" si="2"/>
        <v>2.5646723648848972E-5</v>
      </c>
    </row>
    <row r="7" spans="2:28" x14ac:dyDescent="0.25">
      <c r="J7" s="36">
        <f t="shared" si="3"/>
        <v>0.05</v>
      </c>
      <c r="K7">
        <f t="shared" si="1"/>
        <v>3.1364665697194809E-2</v>
      </c>
      <c r="L7">
        <f t="shared" si="1"/>
        <v>7.0621517522669888E-2</v>
      </c>
      <c r="M7">
        <f t="shared" si="1"/>
        <v>0.1352863740733653</v>
      </c>
      <c r="N7">
        <f t="shared" si="1"/>
        <v>0.22158057125062416</v>
      </c>
      <c r="O7">
        <f t="shared" si="1"/>
        <v>0.3117669330526906</v>
      </c>
      <c r="P7">
        <f t="shared" si="1"/>
        <v>0.37855862781062416</v>
      </c>
      <c r="Q7">
        <f t="shared" si="1"/>
        <v>0.39843019015185893</v>
      </c>
      <c r="R7">
        <f t="shared" si="1"/>
        <v>0.3650305043125987</v>
      </c>
      <c r="S7">
        <f t="shared" si="1"/>
        <v>0.29230713545360476</v>
      </c>
      <c r="T7">
        <f t="shared" si="1"/>
        <v>0.20539748864030336</v>
      </c>
      <c r="U7">
        <f t="shared" si="2"/>
        <v>0.12712992650699137</v>
      </c>
      <c r="V7">
        <f t="shared" si="2"/>
        <v>6.9565023709854235E-2</v>
      </c>
      <c r="W7">
        <f t="shared" si="2"/>
        <v>3.3772451892542195E-2</v>
      </c>
      <c r="X7">
        <f t="shared" si="2"/>
        <v>1.4596464748302786E-2</v>
      </c>
      <c r="Y7">
        <f t="shared" si="2"/>
        <v>5.6348228794109168E-3</v>
      </c>
      <c r="Z7">
        <f t="shared" si="2"/>
        <v>1.9491518725006246E-3</v>
      </c>
      <c r="AA7">
        <f t="shared" si="2"/>
        <v>6.06013833923164E-4</v>
      </c>
      <c r="AB7">
        <f t="shared" si="2"/>
        <v>1.6985748716035102E-4</v>
      </c>
    </row>
    <row r="8" spans="2:28" x14ac:dyDescent="0.25">
      <c r="J8" s="36">
        <f t="shared" si="3"/>
        <v>6.0000000000000005E-2</v>
      </c>
      <c r="K8">
        <f t="shared" si="1"/>
        <v>4.8839826213342187E-2</v>
      </c>
      <c r="L8">
        <f t="shared" si="1"/>
        <v>9.5735781026524094E-2</v>
      </c>
      <c r="M8">
        <f t="shared" si="1"/>
        <v>0.16402377402845791</v>
      </c>
      <c r="N8">
        <f t="shared" si="1"/>
        <v>0.24663497295059983</v>
      </c>
      <c r="O8">
        <f t="shared" si="1"/>
        <v>0.32676410601556005</v>
      </c>
      <c r="P8">
        <f t="shared" si="1"/>
        <v>0.38291190613754533</v>
      </c>
      <c r="Q8">
        <f t="shared" si="1"/>
        <v>0.39832785100846824</v>
      </c>
      <c r="R8">
        <f t="shared" si="1"/>
        <v>0.36914274770895306</v>
      </c>
      <c r="S8">
        <f t="shared" si="1"/>
        <v>0.30580120589813803</v>
      </c>
      <c r="T8">
        <f t="shared" si="1"/>
        <v>0.22719655065694494</v>
      </c>
      <c r="U8">
        <f t="shared" si="2"/>
        <v>0.15186509170671791</v>
      </c>
      <c r="V8">
        <f t="shared" si="2"/>
        <v>9.1608453231193668E-2</v>
      </c>
      <c r="W8">
        <f t="shared" si="2"/>
        <v>5.0016808068883582E-2</v>
      </c>
      <c r="X8">
        <f t="shared" si="2"/>
        <v>2.4787711231367335E-2</v>
      </c>
      <c r="Y8">
        <f t="shared" si="2"/>
        <v>1.1181285550344436E-2</v>
      </c>
      <c r="Z8">
        <f t="shared" si="2"/>
        <v>4.6029485924554085E-3</v>
      </c>
      <c r="AA8">
        <f t="shared" si="2"/>
        <v>1.7337436856654479E-3</v>
      </c>
      <c r="AB8">
        <f t="shared" si="2"/>
        <v>5.9898513082297562E-4</v>
      </c>
    </row>
    <row r="9" spans="2:28" x14ac:dyDescent="0.25">
      <c r="J9" s="36">
        <f t="shared" si="3"/>
        <v>7.0000000000000007E-2</v>
      </c>
      <c r="K9">
        <f t="shared" si="1"/>
        <v>6.7007477260845216E-2</v>
      </c>
      <c r="L9">
        <f t="shared" si="1"/>
        <v>0.11896690166512947</v>
      </c>
      <c r="M9">
        <f t="shared" si="1"/>
        <v>0.1882031482754935</v>
      </c>
      <c r="N9">
        <f t="shared" si="1"/>
        <v>0.26622785033094221</v>
      </c>
      <c r="O9">
        <f t="shared" si="1"/>
        <v>0.33789126477023457</v>
      </c>
      <c r="P9">
        <f t="shared" si="1"/>
        <v>0.38602367286674377</v>
      </c>
      <c r="Q9">
        <f t="shared" si="1"/>
        <v>0.39822553815148987</v>
      </c>
      <c r="R9">
        <f t="shared" si="1"/>
        <v>0.37208108662295902</v>
      </c>
      <c r="S9">
        <f t="shared" si="1"/>
        <v>0.31579638800174564</v>
      </c>
      <c r="T9">
        <f t="shared" si="1"/>
        <v>0.24415200176370372</v>
      </c>
      <c r="U9">
        <f t="shared" si="2"/>
        <v>0.17241545626360583</v>
      </c>
      <c r="V9">
        <f t="shared" si="2"/>
        <v>0.11150457421514141</v>
      </c>
      <c r="W9">
        <f t="shared" si="2"/>
        <v>6.6207614557576747E-2</v>
      </c>
      <c r="X9">
        <f t="shared" si="2"/>
        <v>3.6181138416980868E-2</v>
      </c>
      <c r="Y9">
        <f t="shared" si="2"/>
        <v>1.8240615294049734E-2</v>
      </c>
      <c r="Z9">
        <f t="shared" si="2"/>
        <v>8.50293486668139E-3</v>
      </c>
      <c r="AA9">
        <f t="shared" si="2"/>
        <v>3.6730439642426085E-3</v>
      </c>
      <c r="AB9">
        <f t="shared" si="2"/>
        <v>1.473449065650158E-3</v>
      </c>
    </row>
    <row r="10" spans="2:28" x14ac:dyDescent="0.25">
      <c r="J10" s="36">
        <f t="shared" si="3"/>
        <v>0.08</v>
      </c>
      <c r="K10">
        <f t="shared" si="1"/>
        <v>8.4939019739097829E-2</v>
      </c>
      <c r="L10">
        <f t="shared" si="1"/>
        <v>0.14001100067855313</v>
      </c>
      <c r="M10">
        <f t="shared" si="1"/>
        <v>0.2086359076171263</v>
      </c>
      <c r="N10">
        <f t="shared" si="1"/>
        <v>0.2819192382978799</v>
      </c>
      <c r="O10">
        <f t="shared" si="1"/>
        <v>0.34646234294600842</v>
      </c>
      <c r="P10">
        <f t="shared" si="1"/>
        <v>0.38834914053504854</v>
      </c>
      <c r="Q10">
        <f t="shared" si="1"/>
        <v>0.39812325157417205</v>
      </c>
      <c r="R10">
        <f t="shared" si="1"/>
        <v>0.37427614198768377</v>
      </c>
      <c r="S10">
        <f t="shared" si="1"/>
        <v>0.32348581432030771</v>
      </c>
      <c r="T10">
        <f t="shared" si="1"/>
        <v>0.25767739115849481</v>
      </c>
      <c r="U10">
        <f t="shared" si="2"/>
        <v>0.18962124062185295</v>
      </c>
      <c r="V10">
        <f t="shared" si="2"/>
        <v>0.12920598829290386</v>
      </c>
      <c r="W10">
        <f t="shared" si="2"/>
        <v>8.1700370340706693E-2</v>
      </c>
      <c r="X10">
        <f t="shared" si="2"/>
        <v>4.8043947724800348E-2</v>
      </c>
      <c r="Y10">
        <f t="shared" si="2"/>
        <v>2.6328274750443428E-2</v>
      </c>
      <c r="Z10">
        <f t="shared" si="2"/>
        <v>1.3472261588171747E-2</v>
      </c>
      <c r="AA10">
        <f t="shared" si="2"/>
        <v>6.4495462429223207E-3</v>
      </c>
      <c r="AB10">
        <f t="shared" si="2"/>
        <v>2.8939868334726775E-3</v>
      </c>
    </row>
    <row r="11" spans="2:28" x14ac:dyDescent="0.25">
      <c r="J11" s="36">
        <f t="shared" si="3"/>
        <v>0.09</v>
      </c>
      <c r="K11">
        <f t="shared" si="1"/>
        <v>0.10213653047431928</v>
      </c>
      <c r="L11">
        <f t="shared" si="1"/>
        <v>0.15891111055295626</v>
      </c>
      <c r="M11">
        <f t="shared" si="1"/>
        <v>0.22603687026000524</v>
      </c>
      <c r="N11">
        <f t="shared" si="1"/>
        <v>0.29474348170012532</v>
      </c>
      <c r="O11">
        <f t="shared" si="1"/>
        <v>0.35325860310904078</v>
      </c>
      <c r="P11">
        <f t="shared" si="1"/>
        <v>0.39014524588971466</v>
      </c>
      <c r="Q11">
        <f t="shared" si="1"/>
        <v>0.3980209912697647</v>
      </c>
      <c r="R11">
        <f t="shared" si="1"/>
        <v>0.37597089266949951</v>
      </c>
      <c r="S11">
        <f t="shared" si="1"/>
        <v>0.3295768771170956</v>
      </c>
      <c r="T11">
        <f t="shared" si="1"/>
        <v>0.26869772340277043</v>
      </c>
      <c r="U11">
        <f t="shared" si="2"/>
        <v>0.20417041154324106</v>
      </c>
      <c r="V11">
        <f t="shared" si="2"/>
        <v>0.14488646545979866</v>
      </c>
      <c r="W11">
        <f t="shared" si="2"/>
        <v>9.621058472876419E-2</v>
      </c>
      <c r="X11">
        <f t="shared" si="2"/>
        <v>5.9896610928676527E-2</v>
      </c>
      <c r="Y11">
        <f t="shared" si="2"/>
        <v>3.5023706150856121E-2</v>
      </c>
      <c r="Z11">
        <f t="shared" si="2"/>
        <v>1.9269544367983719E-2</v>
      </c>
      <c r="AA11">
        <f t="shared" si="2"/>
        <v>9.9924824773824795E-3</v>
      </c>
      <c r="AB11">
        <f t="shared" si="2"/>
        <v>4.8919971896473615E-3</v>
      </c>
    </row>
    <row r="12" spans="2:28" x14ac:dyDescent="0.25">
      <c r="J12" s="36">
        <f t="shared" si="3"/>
        <v>9.9999999999999992E-2</v>
      </c>
      <c r="K12">
        <f t="shared" si="1"/>
        <v>0.11836352025534282</v>
      </c>
      <c r="L12">
        <f t="shared" si="1"/>
        <v>0.17584322175364042</v>
      </c>
      <c r="M12">
        <f t="shared" si="1"/>
        <v>0.24098452569974219</v>
      </c>
      <c r="N12">
        <f t="shared" si="1"/>
        <v>0.3054059494980807</v>
      </c>
      <c r="O12">
        <f t="shared" si="1"/>
        <v>0.35877304090012302</v>
      </c>
      <c r="P12">
        <f t="shared" si="1"/>
        <v>0.39156799092129324</v>
      </c>
      <c r="Q12">
        <f t="shared" si="1"/>
        <v>0.39791875723151943</v>
      </c>
      <c r="R12">
        <f t="shared" si="1"/>
        <v>0.37731283080720468</v>
      </c>
      <c r="S12">
        <f t="shared" si="1"/>
        <v>0.33451501501523656</v>
      </c>
      <c r="T12">
        <f t="shared" si="1"/>
        <v>0.27783810697015876</v>
      </c>
      <c r="U12">
        <f t="shared" si="2"/>
        <v>0.21659835177658504</v>
      </c>
      <c r="V12">
        <f t="shared" si="2"/>
        <v>0.15878213790670995</v>
      </c>
      <c r="W12">
        <f t="shared" si="2"/>
        <v>0.1096477196873458</v>
      </c>
      <c r="X12">
        <f t="shared" si="2"/>
        <v>7.1448117075069775E-2</v>
      </c>
      <c r="Y12">
        <f t="shared" si="2"/>
        <v>4.400393826205555E-2</v>
      </c>
      <c r="Z12">
        <f t="shared" si="2"/>
        <v>2.5656291653248689E-2</v>
      </c>
      <c r="AA12">
        <f t="shared" si="2"/>
        <v>1.4182946666853848E-2</v>
      </c>
      <c r="AB12">
        <f t="shared" si="2"/>
        <v>7.4448440380022124E-3</v>
      </c>
    </row>
    <row r="13" spans="2:28" x14ac:dyDescent="0.25">
      <c r="J13" s="36">
        <f t="shared" si="3"/>
        <v>0.10999999999999999</v>
      </c>
      <c r="K13">
        <f t="shared" ref="K13:T22" si="4">_xlfn.NORM.S.DIST((LN(K$2/$B$60)+($F$62+$F$61^2/2)*$J13)/($F$61*SQRT($J13)),0)</f>
        <v>0.13353383167738442</v>
      </c>
      <c r="L13">
        <f t="shared" si="4"/>
        <v>0.19102135551580227</v>
      </c>
      <c r="M13">
        <f t="shared" si="4"/>
        <v>0.25393490539298025</v>
      </c>
      <c r="N13">
        <f t="shared" si="4"/>
        <v>0.31440137786266403</v>
      </c>
      <c r="O13">
        <f t="shared" si="4"/>
        <v>0.36333185032704218</v>
      </c>
      <c r="P13">
        <f t="shared" si="4"/>
        <v>0.39271757016096448</v>
      </c>
      <c r="Q13">
        <f t="shared" si="4"/>
        <v>0.39781654945268963</v>
      </c>
      <c r="R13">
        <f t="shared" si="4"/>
        <v>0.37839666781699904</v>
      </c>
      <c r="S13">
        <f t="shared" si="4"/>
        <v>0.33859447824052352</v>
      </c>
      <c r="T13">
        <f t="shared" si="4"/>
        <v>0.28553406519921298</v>
      </c>
      <c r="U13">
        <f t="shared" ref="U13:AB22" si="5">_xlfn.NORM.S.DIST((LN(U$2/$B$60)+($F$62+$F$61^2/2)*$J13)/($F$61*SQRT($J13)),0)</f>
        <v>0.22731669105535485</v>
      </c>
      <c r="V13">
        <f t="shared" si="5"/>
        <v>0.17112898832207449</v>
      </c>
      <c r="W13">
        <f t="shared" si="5"/>
        <v>0.12202056292008154</v>
      </c>
      <c r="X13">
        <f t="shared" si="5"/>
        <v>8.2534182276023174E-2</v>
      </c>
      <c r="Y13">
        <f t="shared" si="5"/>
        <v>5.3036782872781192E-2</v>
      </c>
      <c r="Z13">
        <f t="shared" si="5"/>
        <v>3.2425893927197622E-2</v>
      </c>
      <c r="AA13">
        <f t="shared" si="5"/>
        <v>1.8887999967971275E-2</v>
      </c>
      <c r="AB13">
        <f t="shared" si="5"/>
        <v>1.0496551746387401E-2</v>
      </c>
    </row>
    <row r="14" spans="2:28" x14ac:dyDescent="0.25">
      <c r="J14" s="36">
        <f t="shared" si="3"/>
        <v>0.11999999999999998</v>
      </c>
      <c r="K14">
        <f t="shared" si="4"/>
        <v>0.14764449149734402</v>
      </c>
      <c r="L14">
        <f t="shared" si="4"/>
        <v>0.20465714136063423</v>
      </c>
      <c r="M14">
        <f t="shared" si="4"/>
        <v>0.26524559470715853</v>
      </c>
      <c r="N14">
        <f t="shared" si="4"/>
        <v>0.32208584287623221</v>
      </c>
      <c r="O14">
        <f t="shared" si="4"/>
        <v>0.36715935686348</v>
      </c>
      <c r="P14">
        <f t="shared" si="4"/>
        <v>0.39366127565150888</v>
      </c>
      <c r="Q14">
        <f t="shared" si="4"/>
        <v>0.39771436792653037</v>
      </c>
      <c r="R14">
        <f t="shared" si="4"/>
        <v>0.37928600378318561</v>
      </c>
      <c r="S14">
        <f t="shared" si="4"/>
        <v>0.34201736478799416</v>
      </c>
      <c r="T14">
        <f t="shared" si="4"/>
        <v>0.29209744977822427</v>
      </c>
      <c r="U14">
        <f t="shared" si="5"/>
        <v>0.23664257356136176</v>
      </c>
      <c r="V14">
        <f t="shared" si="5"/>
        <v>0.18214053313520742</v>
      </c>
      <c r="W14">
        <f t="shared" si="5"/>
        <v>0.13338559998097585</v>
      </c>
      <c r="X14">
        <f t="shared" si="5"/>
        <v>9.3071735564203631E-2</v>
      </c>
      <c r="Y14">
        <f t="shared" si="5"/>
        <v>6.1962642865093856E-2</v>
      </c>
      <c r="Z14">
        <f t="shared" si="5"/>
        <v>3.9411390546618054E-2</v>
      </c>
      <c r="AA14">
        <f t="shared" si="5"/>
        <v>2.3980061839449198E-2</v>
      </c>
      <c r="AB14">
        <f t="shared" si="5"/>
        <v>1.3975067987116159E-2</v>
      </c>
    </row>
    <row r="15" spans="2:28" x14ac:dyDescent="0.25">
      <c r="J15" s="36">
        <f t="shared" si="3"/>
        <v>0.12999999999999998</v>
      </c>
      <c r="K15">
        <f t="shared" si="4"/>
        <v>0.16073643774154825</v>
      </c>
      <c r="L15">
        <f t="shared" si="4"/>
        <v>0.21694407854696227</v>
      </c>
      <c r="M15">
        <f t="shared" si="4"/>
        <v>0.27519791246749226</v>
      </c>
      <c r="N15">
        <f t="shared" si="4"/>
        <v>0.32872160810821233</v>
      </c>
      <c r="O15">
        <f t="shared" si="4"/>
        <v>0.37041485280400149</v>
      </c>
      <c r="P15">
        <f t="shared" si="4"/>
        <v>0.39444597736133352</v>
      </c>
      <c r="Q15">
        <f t="shared" si="4"/>
        <v>0.39761221264629859</v>
      </c>
      <c r="R15">
        <f t="shared" si="4"/>
        <v>0.38002513179450786</v>
      </c>
      <c r="S15">
        <f t="shared" si="4"/>
        <v>0.34492703383640899</v>
      </c>
      <c r="T15">
        <f t="shared" si="4"/>
        <v>0.29775701479512184</v>
      </c>
      <c r="U15">
        <f t="shared" si="5"/>
        <v>0.24482224557147056</v>
      </c>
      <c r="V15">
        <f t="shared" si="5"/>
        <v>0.19200203932531523</v>
      </c>
      <c r="W15">
        <f t="shared" si="5"/>
        <v>0.14381943001469555</v>
      </c>
      <c r="X15">
        <f t="shared" si="5"/>
        <v>0.10302824614629584</v>
      </c>
      <c r="Y15">
        <f t="shared" si="5"/>
        <v>7.0676135972275012E-2</v>
      </c>
      <c r="Z15">
        <f t="shared" si="5"/>
        <v>4.6483523545921543E-2</v>
      </c>
      <c r="AA15">
        <f t="shared" si="5"/>
        <v>2.934601278669002E-2</v>
      </c>
      <c r="AB15">
        <f t="shared" si="5"/>
        <v>1.7804092707640308E-2</v>
      </c>
    </row>
    <row r="16" spans="2:28" x14ac:dyDescent="0.25">
      <c r="J16" s="36">
        <f t="shared" si="3"/>
        <v>0.13999999999999999</v>
      </c>
      <c r="K16">
        <f t="shared" si="4"/>
        <v>0.17287192940351942</v>
      </c>
      <c r="L16">
        <f t="shared" si="4"/>
        <v>0.22805284195342093</v>
      </c>
      <c r="M16">
        <f t="shared" si="4"/>
        <v>0.28401473572532637</v>
      </c>
      <c r="N16">
        <f t="shared" si="4"/>
        <v>0.33450583722214461</v>
      </c>
      <c r="O16">
        <f t="shared" si="4"/>
        <v>0.37321454620217803</v>
      </c>
      <c r="P16">
        <f t="shared" si="4"/>
        <v>0.3951053236634462</v>
      </c>
      <c r="Q16">
        <f t="shared" si="4"/>
        <v>0.39751008360525281</v>
      </c>
      <c r="R16">
        <f t="shared" si="4"/>
        <v>0.38064584704170801</v>
      </c>
      <c r="S16">
        <f t="shared" si="4"/>
        <v>0.34742797950140986</v>
      </c>
      <c r="T16">
        <f t="shared" si="4"/>
        <v>0.30268416062528691</v>
      </c>
      <c r="U16">
        <f t="shared" si="5"/>
        <v>0.25204880988271505</v>
      </c>
      <c r="V16">
        <f t="shared" si="5"/>
        <v>0.20087126842181666</v>
      </c>
      <c r="W16">
        <f t="shared" si="5"/>
        <v>0.15340431734866861</v>
      </c>
      <c r="X16">
        <f t="shared" si="5"/>
        <v>0.11240182537347791</v>
      </c>
      <c r="Y16">
        <f t="shared" si="5"/>
        <v>7.9110924123660123E-2</v>
      </c>
      <c r="Z16">
        <f t="shared" si="5"/>
        <v>5.3545228231761242E-2</v>
      </c>
      <c r="AA16">
        <f t="shared" si="5"/>
        <v>3.4890208737414698E-2</v>
      </c>
      <c r="AB16">
        <f t="shared" si="5"/>
        <v>2.1910189020451148E-2</v>
      </c>
    </row>
    <row r="17" spans="10:28" x14ac:dyDescent="0.25">
      <c r="J17" s="36">
        <f t="shared" si="3"/>
        <v>0.15</v>
      </c>
      <c r="K17">
        <f t="shared" si="4"/>
        <v>0.18412173486873243</v>
      </c>
      <c r="L17">
        <f t="shared" si="4"/>
        <v>0.23813136952254541</v>
      </c>
      <c r="M17">
        <f t="shared" si="4"/>
        <v>0.29187415313430254</v>
      </c>
      <c r="N17">
        <f t="shared" si="4"/>
        <v>0.33958946871674922</v>
      </c>
      <c r="O17">
        <f t="shared" si="4"/>
        <v>0.37564519140040648</v>
      </c>
      <c r="P17">
        <f t="shared" si="4"/>
        <v>0.39566409611363362</v>
      </c>
      <c r="Q17">
        <f t="shared" si="4"/>
        <v>0.39740798079665335</v>
      </c>
      <c r="R17">
        <f t="shared" si="4"/>
        <v>0.38117156423063858</v>
      </c>
      <c r="S17">
        <f t="shared" si="4"/>
        <v>0.34959815441264402</v>
      </c>
      <c r="T17">
        <f t="shared" si="4"/>
        <v>0.30700974000923126</v>
      </c>
      <c r="U17">
        <f t="shared" si="5"/>
        <v>0.2584752991307529</v>
      </c>
      <c r="V17">
        <f t="shared" si="5"/>
        <v>0.20888150902262012</v>
      </c>
      <c r="W17">
        <f t="shared" si="5"/>
        <v>0.16222086902734847</v>
      </c>
      <c r="X17">
        <f t="shared" si="5"/>
        <v>0.12120855440723562</v>
      </c>
      <c r="Y17">
        <f t="shared" si="5"/>
        <v>8.7228168610191614E-2</v>
      </c>
      <c r="Z17">
        <f t="shared" si="5"/>
        <v>6.052545560388136E-2</v>
      </c>
      <c r="AA17">
        <f t="shared" si="5"/>
        <v>4.053428924530416E-2</v>
      </c>
      <c r="AB17">
        <f t="shared" si="5"/>
        <v>2.6226521286784085E-2</v>
      </c>
    </row>
    <row r="18" spans="10:28" x14ac:dyDescent="0.25">
      <c r="J18" s="36">
        <f t="shared" si="3"/>
        <v>0.16</v>
      </c>
      <c r="K18">
        <f t="shared" si="4"/>
        <v>0.19455801176826304</v>
      </c>
      <c r="L18">
        <f t="shared" si="4"/>
        <v>0.24730684944304546</v>
      </c>
      <c r="M18">
        <f t="shared" si="4"/>
        <v>0.29891975042765789</v>
      </c>
      <c r="N18">
        <f t="shared" si="4"/>
        <v>0.34408993286962541</v>
      </c>
      <c r="O18">
        <f t="shared" si="4"/>
        <v>0.37777285718686104</v>
      </c>
      <c r="P18">
        <f t="shared" si="4"/>
        <v>0.39614094947996764</v>
      </c>
      <c r="Q18">
        <f t="shared" si="4"/>
        <v>0.39730590421376227</v>
      </c>
      <c r="R18">
        <f t="shared" si="4"/>
        <v>0.38161990791150707</v>
      </c>
      <c r="S18">
        <f t="shared" si="4"/>
        <v>0.35149688741429863</v>
      </c>
      <c r="T18">
        <f t="shared" si="4"/>
        <v>0.31083531867057329</v>
      </c>
      <c r="U18">
        <f t="shared" si="5"/>
        <v>0.26422426406916738</v>
      </c>
      <c r="V18">
        <f t="shared" si="5"/>
        <v>0.21614512917092218</v>
      </c>
      <c r="W18">
        <f t="shared" si="5"/>
        <v>0.17034456301702533</v>
      </c>
      <c r="X18">
        <f t="shared" si="5"/>
        <v>0.12947450075230127</v>
      </c>
      <c r="Y18">
        <f t="shared" si="5"/>
        <v>9.5008085842776813E-2</v>
      </c>
      <c r="Z18">
        <f t="shared" si="5"/>
        <v>6.7373522333278396E-2</v>
      </c>
      <c r="AA18">
        <f t="shared" si="5"/>
        <v>4.6215508593760793E-2</v>
      </c>
      <c r="AB18">
        <f t="shared" si="5"/>
        <v>3.069442398148671E-2</v>
      </c>
    </row>
    <row r="19" spans="10:28" x14ac:dyDescent="0.25">
      <c r="J19" s="36">
        <f t="shared" si="3"/>
        <v>0.17</v>
      </c>
      <c r="K19">
        <f t="shared" si="4"/>
        <v>0.20425048990203165</v>
      </c>
      <c r="L19">
        <f t="shared" si="4"/>
        <v>0.25568829347841404</v>
      </c>
      <c r="M19">
        <f t="shared" si="4"/>
        <v>0.30526833368318612</v>
      </c>
      <c r="N19">
        <f t="shared" si="4"/>
        <v>0.34809991511669036</v>
      </c>
      <c r="O19">
        <f t="shared" si="4"/>
        <v>0.37964874101676666</v>
      </c>
      <c r="P19">
        <f t="shared" si="4"/>
        <v>0.39655019488006454</v>
      </c>
      <c r="Q19">
        <f t="shared" si="4"/>
        <v>0.3972038538498433</v>
      </c>
      <c r="R19">
        <f t="shared" si="4"/>
        <v>0.38200439800091907</v>
      </c>
      <c r="S19">
        <f t="shared" si="4"/>
        <v>0.35317012840360368</v>
      </c>
      <c r="T19">
        <f t="shared" si="4"/>
        <v>0.31424090004143163</v>
      </c>
      <c r="U19">
        <f t="shared" si="5"/>
        <v>0.26939483387562713</v>
      </c>
      <c r="V19">
        <f t="shared" si="5"/>
        <v>0.22275694869605459</v>
      </c>
      <c r="W19">
        <f t="shared" si="5"/>
        <v>0.17784434110704567</v>
      </c>
      <c r="X19">
        <f t="shared" si="5"/>
        <v>0.13723073531369101</v>
      </c>
      <c r="Y19">
        <f t="shared" si="5"/>
        <v>0.10244389971278688</v>
      </c>
      <c r="Z19">
        <f t="shared" si="5"/>
        <v>7.4054372039538394E-2</v>
      </c>
      <c r="AA19">
        <f t="shared" si="5"/>
        <v>5.1884543580461948E-2</v>
      </c>
      <c r="AB19">
        <f t="shared" si="5"/>
        <v>3.5263681900034816E-2</v>
      </c>
    </row>
    <row r="20" spans="10:28" x14ac:dyDescent="0.25">
      <c r="J20" s="36">
        <f t="shared" si="3"/>
        <v>0.18000000000000002</v>
      </c>
      <c r="K20">
        <f t="shared" si="4"/>
        <v>0.21326456418435213</v>
      </c>
      <c r="L20">
        <f t="shared" si="4"/>
        <v>0.26336911733981971</v>
      </c>
      <c r="M20">
        <f t="shared" si="4"/>
        <v>0.31101574663962001</v>
      </c>
      <c r="N20">
        <f t="shared" si="4"/>
        <v>0.35169351996956671</v>
      </c>
      <c r="O20">
        <f t="shared" si="4"/>
        <v>0.3813131277866787</v>
      </c>
      <c r="P20">
        <f t="shared" si="4"/>
        <v>0.39690299443754101</v>
      </c>
      <c r="Q20">
        <f t="shared" si="4"/>
        <v>0.39710182969816199</v>
      </c>
      <c r="R20">
        <f t="shared" si="4"/>
        <v>0.3823355789261928</v>
      </c>
      <c r="S20">
        <f t="shared" si="4"/>
        <v>0.35465401625796944</v>
      </c>
      <c r="T20">
        <f t="shared" si="4"/>
        <v>0.31729033811239749</v>
      </c>
      <c r="U20">
        <f t="shared" si="5"/>
        <v>0.27406795488330321</v>
      </c>
      <c r="V20">
        <f t="shared" si="5"/>
        <v>0.22879719340414156</v>
      </c>
      <c r="W20">
        <f t="shared" si="5"/>
        <v>0.18478228908302058</v>
      </c>
      <c r="X20">
        <f t="shared" si="5"/>
        <v>0.14451025885508656</v>
      </c>
      <c r="Y20">
        <f t="shared" si="5"/>
        <v>0.10953756179793998</v>
      </c>
      <c r="Z20">
        <f t="shared" si="5"/>
        <v>8.0544775339961711E-2</v>
      </c>
      <c r="AA20">
        <f t="shared" si="5"/>
        <v>5.7503265188958215E-2</v>
      </c>
      <c r="AB20">
        <f t="shared" si="5"/>
        <v>3.9892105926434718E-2</v>
      </c>
    </row>
    <row r="21" spans="10:28" x14ac:dyDescent="0.25">
      <c r="J21" s="36">
        <f t="shared" si="3"/>
        <v>0.19000000000000003</v>
      </c>
      <c r="K21">
        <f t="shared" si="4"/>
        <v>0.22166048315915426</v>
      </c>
      <c r="L21">
        <f t="shared" si="4"/>
        <v>0.27042949375215664</v>
      </c>
      <c r="M21">
        <f t="shared" si="4"/>
        <v>0.31624127969613747</v>
      </c>
      <c r="N21">
        <f t="shared" si="4"/>
        <v>0.35493068788241788</v>
      </c>
      <c r="O21">
        <f t="shared" si="4"/>
        <v>0.38279814865409173</v>
      </c>
      <c r="P21">
        <f t="shared" si="4"/>
        <v>0.3972081822204892</v>
      </c>
      <c r="Q21">
        <f t="shared" si="4"/>
        <v>0.3969998317519855</v>
      </c>
      <c r="R21">
        <f t="shared" si="4"/>
        <v>0.38262179547808312</v>
      </c>
      <c r="S21">
        <f t="shared" si="4"/>
        <v>0.35597736336850833</v>
      </c>
      <c r="T21">
        <f t="shared" si="4"/>
        <v>0.32003520368991467</v>
      </c>
      <c r="U21">
        <f t="shared" si="5"/>
        <v>0.27831031393641192</v>
      </c>
      <c r="V21">
        <f t="shared" si="5"/>
        <v>0.23433398785580431</v>
      </c>
      <c r="W21">
        <f t="shared" si="5"/>
        <v>0.19121386799524898</v>
      </c>
      <c r="X21">
        <f t="shared" si="5"/>
        <v>0.1513461408146699</v>
      </c>
      <c r="Y21">
        <f t="shared" si="5"/>
        <v>0.11629674511705966</v>
      </c>
      <c r="Z21">
        <f t="shared" si="5"/>
        <v>8.6830359569084789E-2</v>
      </c>
      <c r="AA21">
        <f t="shared" si="5"/>
        <v>6.3042698267167338E-2</v>
      </c>
      <c r="AB21">
        <f t="shared" si="5"/>
        <v>4.4544768497454125E-2</v>
      </c>
    </row>
    <row r="22" spans="10:28" x14ac:dyDescent="0.25">
      <c r="J22" s="36">
        <f t="shared" si="3"/>
        <v>0.20000000000000004</v>
      </c>
      <c r="K22">
        <f t="shared" si="4"/>
        <v>0.22949315546104476</v>
      </c>
      <c r="L22">
        <f t="shared" si="4"/>
        <v>0.27693840386964991</v>
      </c>
      <c r="M22">
        <f t="shared" si="4"/>
        <v>0.32101103736335551</v>
      </c>
      <c r="N22">
        <f t="shared" si="4"/>
        <v>0.35786041410913999</v>
      </c>
      <c r="O22">
        <f t="shared" si="4"/>
        <v>0.38412974360890201</v>
      </c>
      <c r="P22">
        <f t="shared" si="4"/>
        <v>0.39747284109250991</v>
      </c>
      <c r="Q22">
        <f t="shared" si="4"/>
        <v>0.39689786000458288</v>
      </c>
      <c r="R22">
        <f t="shared" si="4"/>
        <v>0.38286973793957535</v>
      </c>
      <c r="S22">
        <f t="shared" si="4"/>
        <v>0.35716342190223876</v>
      </c>
      <c r="T22">
        <f t="shared" si="4"/>
        <v>0.32251759423321685</v>
      </c>
      <c r="U22">
        <f t="shared" si="5"/>
        <v>0.28217730582351758</v>
      </c>
      <c r="V22">
        <f t="shared" si="5"/>
        <v>0.23942542020314805</v>
      </c>
      <c r="W22">
        <f t="shared" si="5"/>
        <v>0.19718840301032203</v>
      </c>
      <c r="X22">
        <f t="shared" si="5"/>
        <v>0.15777042662786667</v>
      </c>
      <c r="Y22">
        <f t="shared" si="5"/>
        <v>0.12273274416800804</v>
      </c>
      <c r="Z22">
        <f t="shared" si="5"/>
        <v>9.2903322383374981E-2</v>
      </c>
      <c r="AA22">
        <f t="shared" si="5"/>
        <v>6.8481252502492387E-2</v>
      </c>
      <c r="AB22">
        <f t="shared" si="5"/>
        <v>4.9193114353561711E-2</v>
      </c>
    </row>
    <row r="23" spans="10:28" x14ac:dyDescent="0.25">
      <c r="J23" s="36">
        <f t="shared" si="3"/>
        <v>0.21000000000000005</v>
      </c>
      <c r="K23">
        <f t="shared" ref="K23:T32" si="6">_xlfn.NORM.S.DIST((LN(K$2/$B$60)+($F$62+$F$61^2/2)*$J23)/($F$61*SQRT($J23)),0)</f>
        <v>0.23681229371036067</v>
      </c>
      <c r="L23">
        <f t="shared" si="6"/>
        <v>0.28295538438734757</v>
      </c>
      <c r="M23">
        <f t="shared" si="6"/>
        <v>0.32538053174063342</v>
      </c>
      <c r="N23">
        <f t="shared" si="6"/>
        <v>0.36052313079267678</v>
      </c>
      <c r="O23">
        <f t="shared" si="6"/>
        <v>0.38532908347719147</v>
      </c>
      <c r="P23">
        <f t="shared" si="6"/>
        <v>0.39770271614615349</v>
      </c>
      <c r="Q23">
        <f t="shared" si="6"/>
        <v>0.3967959144492248</v>
      </c>
      <c r="R23">
        <f t="shared" si="6"/>
        <v>0.38308483275722977</v>
      </c>
      <c r="S23">
        <f t="shared" si="6"/>
        <v>0.35823116280915124</v>
      </c>
      <c r="T23">
        <f t="shared" si="6"/>
        <v>0.32477220827525027</v>
      </c>
      <c r="U23">
        <f t="shared" ref="U23:AB32" si="7">_xlfn.NORM.S.DIST((LN(U$2/$B$60)+($F$62+$F$61^2/2)*$J23)/($F$61*SQRT($J23)),0)</f>
        <v>0.28571530013988966</v>
      </c>
      <c r="V23">
        <f t="shared" si="7"/>
        <v>0.24412123746243794</v>
      </c>
      <c r="W23">
        <f t="shared" si="7"/>
        <v>0.20274967076137271</v>
      </c>
      <c r="X23">
        <f t="shared" si="7"/>
        <v>0.16381353074898525</v>
      </c>
      <c r="Y23">
        <f t="shared" si="7"/>
        <v>0.12885901589953397</v>
      </c>
      <c r="Z23">
        <f t="shared" si="7"/>
        <v>9.8760688586128881E-2</v>
      </c>
      <c r="AA23">
        <f t="shared" si="7"/>
        <v>7.3803236841473038E-2</v>
      </c>
      <c r="AB23">
        <f t="shared" si="7"/>
        <v>5.3814067331897891E-2</v>
      </c>
    </row>
    <row r="24" spans="10:28" x14ac:dyDescent="0.25">
      <c r="J24" s="36">
        <f t="shared" si="3"/>
        <v>0.22000000000000006</v>
      </c>
      <c r="K24">
        <f t="shared" si="6"/>
        <v>0.24366273140848996</v>
      </c>
      <c r="L24">
        <f t="shared" si="6"/>
        <v>0.28853199717012556</v>
      </c>
      <c r="M24">
        <f t="shared" si="6"/>
        <v>0.32939669696167989</v>
      </c>
      <c r="N24">
        <f t="shared" si="6"/>
        <v>0.3629524946773347</v>
      </c>
      <c r="O24">
        <f t="shared" si="6"/>
        <v>0.3864136173667872</v>
      </c>
      <c r="P24">
        <f t="shared" si="6"/>
        <v>0.3979025162932549</v>
      </c>
      <c r="Q24">
        <f t="shared" si="6"/>
        <v>0.39669399507918363</v>
      </c>
      <c r="R24">
        <f t="shared" si="6"/>
        <v>0.38327152750978977</v>
      </c>
      <c r="S24">
        <f t="shared" si="6"/>
        <v>0.35919621744015662</v>
      </c>
      <c r="T24">
        <f t="shared" si="6"/>
        <v>0.3268278989651755</v>
      </c>
      <c r="U24">
        <f t="shared" si="7"/>
        <v>0.28896338990956821</v>
      </c>
      <c r="V24">
        <f t="shared" si="7"/>
        <v>0.24846423251579852</v>
      </c>
      <c r="W24">
        <f t="shared" si="7"/>
        <v>0.20793650094791313</v>
      </c>
      <c r="X24">
        <f t="shared" si="7"/>
        <v>0.1695039347857504</v>
      </c>
      <c r="Y24">
        <f t="shared" si="7"/>
        <v>0.13469017260837357</v>
      </c>
      <c r="Z24">
        <f t="shared" si="7"/>
        <v>0.10440298940854073</v>
      </c>
      <c r="AA24">
        <f t="shared" si="7"/>
        <v>7.8997636591057283E-2</v>
      </c>
      <c r="AB24">
        <f t="shared" si="7"/>
        <v>5.8389195758721354E-2</v>
      </c>
    </row>
    <row r="25" spans="10:28" x14ac:dyDescent="0.25">
      <c r="J25" s="36">
        <f t="shared" si="3"/>
        <v>0.23000000000000007</v>
      </c>
      <c r="K25">
        <f t="shared" si="6"/>
        <v>0.25008481715316894</v>
      </c>
      <c r="L25">
        <f t="shared" si="6"/>
        <v>0.29371305779197016</v>
      </c>
      <c r="M25">
        <f t="shared" si="6"/>
        <v>0.33309946709339033</v>
      </c>
      <c r="N25">
        <f t="shared" si="6"/>
        <v>0.36517674605453326</v>
      </c>
      <c r="O25">
        <f t="shared" si="6"/>
        <v>0.38739785577178482</v>
      </c>
      <c r="P25">
        <f t="shared" si="6"/>
        <v>0.39807613778738576</v>
      </c>
      <c r="Q25">
        <f t="shared" si="6"/>
        <v>0.39659210188773353</v>
      </c>
      <c r="R25">
        <f t="shared" si="6"/>
        <v>0.38343350209998467</v>
      </c>
      <c r="S25">
        <f t="shared" si="6"/>
        <v>0.36007158119939298</v>
      </c>
      <c r="T25">
        <f t="shared" si="6"/>
        <v>0.32870885281160606</v>
      </c>
      <c r="U25">
        <f t="shared" si="7"/>
        <v>0.29195475314140223</v>
      </c>
      <c r="V25">
        <f t="shared" si="7"/>
        <v>0.25249137850613895</v>
      </c>
      <c r="W25">
        <f t="shared" si="7"/>
        <v>0.21278334963476003</v>
      </c>
      <c r="X25">
        <f t="shared" si="7"/>
        <v>0.17486807517490172</v>
      </c>
      <c r="Y25">
        <f t="shared" si="7"/>
        <v>0.14024129305004129</v>
      </c>
      <c r="Z25">
        <f t="shared" si="7"/>
        <v>0.10983326626055148</v>
      </c>
      <c r="AA25">
        <f t="shared" si="7"/>
        <v>8.4057119736334784E-2</v>
      </c>
      <c r="AB25">
        <f t="shared" si="7"/>
        <v>6.2903964509727392E-2</v>
      </c>
    </row>
    <row r="26" spans="10:28" x14ac:dyDescent="0.25">
      <c r="J26" s="36">
        <f t="shared" si="3"/>
        <v>0.24000000000000007</v>
      </c>
      <c r="K26">
        <f t="shared" si="6"/>
        <v>0.25611483138513896</v>
      </c>
      <c r="L26">
        <f t="shared" si="6"/>
        <v>0.29853765990684367</v>
      </c>
      <c r="M26">
        <f t="shared" si="6"/>
        <v>0.33652302222589819</v>
      </c>
      <c r="N26">
        <f t="shared" si="6"/>
        <v>0.36721975399386059</v>
      </c>
      <c r="O26">
        <f t="shared" si="6"/>
        <v>0.38829396399664606</v>
      </c>
      <c r="P26">
        <f t="shared" si="6"/>
        <v>0.39822683227915018</v>
      </c>
      <c r="Q26">
        <f t="shared" si="6"/>
        <v>0.39649023486815044</v>
      </c>
      <c r="R26">
        <f t="shared" si="6"/>
        <v>0.38357382753119867</v>
      </c>
      <c r="S26">
        <f t="shared" si="6"/>
        <v>0.36086814653426486</v>
      </c>
      <c r="T26">
        <f t="shared" si="6"/>
        <v>0.33043549480766288</v>
      </c>
      <c r="U26">
        <f t="shared" si="7"/>
        <v>0.29471772251369038</v>
      </c>
      <c r="V26">
        <f t="shared" si="7"/>
        <v>0.25623475807341112</v>
      </c>
      <c r="W26">
        <f t="shared" si="7"/>
        <v>0.21732082481496756</v>
      </c>
      <c r="X26">
        <f t="shared" si="7"/>
        <v>0.17993034633657207</v>
      </c>
      <c r="Y26">
        <f t="shared" si="7"/>
        <v>0.14552745742842929</v>
      </c>
      <c r="Z26">
        <f t="shared" si="7"/>
        <v>0.11505632186085915</v>
      </c>
      <c r="AA26">
        <f t="shared" si="7"/>
        <v>8.8977236492288697E-2</v>
      </c>
      <c r="AB26">
        <f t="shared" si="7"/>
        <v>6.7347082145125567E-2</v>
      </c>
    </row>
    <row r="27" spans="10:28" x14ac:dyDescent="0.25">
      <c r="J27" s="36">
        <f t="shared" si="3"/>
        <v>0.25000000000000006</v>
      </c>
      <c r="K27">
        <f t="shared" si="6"/>
        <v>0.26178539523485528</v>
      </c>
      <c r="L27">
        <f t="shared" si="6"/>
        <v>0.30304002913211908</v>
      </c>
      <c r="M27">
        <f t="shared" si="6"/>
        <v>0.33969678028498573</v>
      </c>
      <c r="N27">
        <f t="shared" si="6"/>
        <v>0.36910182902495453</v>
      </c>
      <c r="O27">
        <f t="shared" si="6"/>
        <v>0.38911221740365454</v>
      </c>
      <c r="P27">
        <f t="shared" si="6"/>
        <v>0.39835733482451485</v>
      </c>
      <c r="Q27">
        <f t="shared" si="6"/>
        <v>0.3963883940137119</v>
      </c>
      <c r="R27">
        <f t="shared" si="6"/>
        <v>0.38369508684281745</v>
      </c>
      <c r="S27">
        <f t="shared" si="6"/>
        <v>0.3615951116635156</v>
      </c>
      <c r="T27">
        <f t="shared" si="6"/>
        <v>0.33202519113100915</v>
      </c>
      <c r="U27">
        <f t="shared" si="7"/>
        <v>0.29727663290843442</v>
      </c>
      <c r="V27">
        <f t="shared" si="7"/>
        <v>0.25972232660394251</v>
      </c>
      <c r="W27">
        <f t="shared" si="7"/>
        <v>0.22157615743250891</v>
      </c>
      <c r="X27">
        <f t="shared" si="7"/>
        <v>0.18471317186719363</v>
      </c>
      <c r="Y27">
        <f t="shared" si="7"/>
        <v>0.15056343973645317</v>
      </c>
      <c r="Z27">
        <f t="shared" si="7"/>
        <v>0.12007815916374169</v>
      </c>
      <c r="AA27">
        <f t="shared" si="7"/>
        <v>9.3755778342162754E-2</v>
      </c>
      <c r="AB27">
        <f t="shared" si="7"/>
        <v>7.1709940897753413E-2</v>
      </c>
    </row>
    <row r="28" spans="10:28" x14ac:dyDescent="0.25">
      <c r="J28" s="36">
        <f t="shared" si="3"/>
        <v>0.26000000000000006</v>
      </c>
      <c r="K28">
        <f t="shared" si="6"/>
        <v>0.2671258555135177</v>
      </c>
      <c r="L28">
        <f t="shared" si="6"/>
        <v>0.30725023563665238</v>
      </c>
      <c r="M28">
        <f t="shared" si="6"/>
        <v>0.34264619239817001</v>
      </c>
      <c r="N28">
        <f t="shared" si="6"/>
        <v>0.37084036134833848</v>
      </c>
      <c r="O28">
        <f t="shared" si="6"/>
        <v>0.38986135460664584</v>
      </c>
      <c r="P28">
        <f t="shared" si="6"/>
        <v>0.39846996255426653</v>
      </c>
      <c r="Q28">
        <f t="shared" si="6"/>
        <v>0.39628657931769723</v>
      </c>
      <c r="R28">
        <f t="shared" si="6"/>
        <v>0.38379946832398232</v>
      </c>
      <c r="S28">
        <f t="shared" si="6"/>
        <v>0.3622602975690436</v>
      </c>
      <c r="T28">
        <f t="shared" si="6"/>
        <v>0.33349280024291766</v>
      </c>
      <c r="U28">
        <f t="shared" si="7"/>
        <v>0.29965249833552937</v>
      </c>
      <c r="V28">
        <f t="shared" si="7"/>
        <v>0.26297854128869086</v>
      </c>
      <c r="W28">
        <f t="shared" si="7"/>
        <v>0.22557361776046994</v>
      </c>
      <c r="X28">
        <f t="shared" si="7"/>
        <v>0.18923711347898597</v>
      </c>
      <c r="Y28">
        <f t="shared" si="7"/>
        <v>0.15536351049051048</v>
      </c>
      <c r="Z28">
        <f t="shared" si="7"/>
        <v>0.12490556250820159</v>
      </c>
      <c r="AA28">
        <f t="shared" si="7"/>
        <v>9.8392266943127152E-2</v>
      </c>
      <c r="AB28">
        <f t="shared" si="7"/>
        <v>7.5986142033259971E-2</v>
      </c>
    </row>
    <row r="29" spans="10:28" x14ac:dyDescent="0.25">
      <c r="J29" s="36">
        <f t="shared" si="3"/>
        <v>0.27000000000000007</v>
      </c>
      <c r="K29">
        <f t="shared" si="6"/>
        <v>0.27216263842958921</v>
      </c>
      <c r="L29">
        <f t="shared" si="6"/>
        <v>0.31119479004671946</v>
      </c>
      <c r="M29">
        <f t="shared" si="6"/>
        <v>0.34539338529294017</v>
      </c>
      <c r="N29">
        <f t="shared" si="6"/>
        <v>0.37245032668254968</v>
      </c>
      <c r="O29">
        <f t="shared" si="6"/>
        <v>0.3905488543330039</v>
      </c>
      <c r="P29">
        <f t="shared" si="6"/>
        <v>0.39856669156088115</v>
      </c>
      <c r="Q29">
        <f t="shared" si="6"/>
        <v>0.39618479077338753</v>
      </c>
      <c r="R29">
        <f t="shared" si="6"/>
        <v>0.38388883814645286</v>
      </c>
      <c r="S29">
        <f t="shared" si="6"/>
        <v>0.36287039640052315</v>
      </c>
      <c r="T29">
        <f t="shared" si="6"/>
        <v>0.33485110915793964</v>
      </c>
      <c r="U29">
        <f t="shared" si="7"/>
        <v>0.30186355669819448</v>
      </c>
      <c r="V29">
        <f t="shared" si="7"/>
        <v>0.26602488157346493</v>
      </c>
      <c r="W29">
        <f t="shared" si="7"/>
        <v>0.22933488038281333</v>
      </c>
      <c r="X29">
        <f t="shared" si="7"/>
        <v>0.19352099848007415</v>
      </c>
      <c r="Y29">
        <f t="shared" si="7"/>
        <v>0.15994131666847641</v>
      </c>
      <c r="Z29">
        <f t="shared" si="7"/>
        <v>0.12954578633593541</v>
      </c>
      <c r="AA29">
        <f t="shared" si="7"/>
        <v>0.10288754785719648</v>
      </c>
      <c r="AB29">
        <f t="shared" si="7"/>
        <v>8.0171096945698225E-2</v>
      </c>
    </row>
    <row r="30" spans="10:28" x14ac:dyDescent="0.25">
      <c r="J30" s="36">
        <f t="shared" si="3"/>
        <v>0.28000000000000008</v>
      </c>
      <c r="K30">
        <f t="shared" si="6"/>
        <v>0.27691956956750163</v>
      </c>
      <c r="L30">
        <f t="shared" si="6"/>
        <v>0.31489714310293893</v>
      </c>
      <c r="M30">
        <f t="shared" si="6"/>
        <v>0.34795768367434865</v>
      </c>
      <c r="N30">
        <f t="shared" si="6"/>
        <v>0.37394469065004432</v>
      </c>
      <c r="O30">
        <f t="shared" si="6"/>
        <v>0.3911811545261355</v>
      </c>
      <c r="P30">
        <f t="shared" si="6"/>
        <v>0.39864921741389409</v>
      </c>
      <c r="Q30">
        <f t="shared" si="6"/>
        <v>0.39608302837406556</v>
      </c>
      <c r="R30">
        <f t="shared" si="6"/>
        <v>0.383964797529805</v>
      </c>
      <c r="S30">
        <f t="shared" si="6"/>
        <v>0.36343116799974828</v>
      </c>
      <c r="T30">
        <f t="shared" si="6"/>
        <v>0.33611118182039013</v>
      </c>
      <c r="U30">
        <f t="shared" si="7"/>
        <v>0.30392571134300772</v>
      </c>
      <c r="V30">
        <f t="shared" si="7"/>
        <v>0.26888028150280541</v>
      </c>
      <c r="W30">
        <f t="shared" si="7"/>
        <v>0.23287934250715667</v>
      </c>
      <c r="X30">
        <f t="shared" si="7"/>
        <v>0.19758205377350277</v>
      </c>
      <c r="Y30">
        <f t="shared" si="7"/>
        <v>0.16430981535713901</v>
      </c>
      <c r="Z30">
        <f t="shared" si="7"/>
        <v>0.13400632521160552</v>
      </c>
      <c r="AA30">
        <f t="shared" si="7"/>
        <v>0.10724346841152431</v>
      </c>
      <c r="AB30">
        <f t="shared" si="7"/>
        <v>8.4261693923351949E-2</v>
      </c>
    </row>
    <row r="31" spans="10:28" x14ac:dyDescent="0.25">
      <c r="J31" s="36">
        <f t="shared" si="3"/>
        <v>0.29000000000000009</v>
      </c>
      <c r="K31">
        <f t="shared" si="6"/>
        <v>0.28141816045950202</v>
      </c>
      <c r="L31">
        <f t="shared" si="6"/>
        <v>0.31837810588468618</v>
      </c>
      <c r="M31">
        <f t="shared" si="6"/>
        <v>0.35035603774387397</v>
      </c>
      <c r="N31">
        <f t="shared" si="6"/>
        <v>0.37533473463936817</v>
      </c>
      <c r="O31">
        <f t="shared" si="6"/>
        <v>0.3917638272710155</v>
      </c>
      <c r="P31">
        <f t="shared" si="6"/>
        <v>0.39871900323131204</v>
      </c>
      <c r="Q31">
        <f t="shared" si="6"/>
        <v>0.3959812921130158</v>
      </c>
      <c r="R31">
        <f t="shared" si="6"/>
        <v>0.38402872815013217</v>
      </c>
      <c r="S31">
        <f t="shared" si="6"/>
        <v>0.36394759675809041</v>
      </c>
      <c r="T31">
        <f t="shared" si="6"/>
        <v>0.33728263954742083</v>
      </c>
      <c r="U31">
        <f t="shared" si="7"/>
        <v>0.30585289136928839</v>
      </c>
      <c r="V31">
        <f t="shared" si="7"/>
        <v>0.27156149036933391</v>
      </c>
      <c r="W31">
        <f t="shared" si="7"/>
        <v>0.23622440078754636</v>
      </c>
      <c r="X31">
        <f t="shared" si="7"/>
        <v>0.20143603901257132</v>
      </c>
      <c r="Y31">
        <f t="shared" si="7"/>
        <v>0.16848124445887536</v>
      </c>
      <c r="Z31">
        <f t="shared" si="7"/>
        <v>0.13829474526352248</v>
      </c>
      <c r="AA31">
        <f t="shared" si="7"/>
        <v>0.11146262282882469</v>
      </c>
      <c r="AB31">
        <f t="shared" si="7"/>
        <v>8.8256020996847775E-2</v>
      </c>
    </row>
    <row r="32" spans="10:28" x14ac:dyDescent="0.25">
      <c r="J32" s="36">
        <f t="shared" si="3"/>
        <v>0.3000000000000001</v>
      </c>
      <c r="K32">
        <f t="shared" si="6"/>
        <v>0.28567786357548425</v>
      </c>
      <c r="L32">
        <f t="shared" si="6"/>
        <v>0.3216562043797041</v>
      </c>
      <c r="M32">
        <f t="shared" si="6"/>
        <v>0.35260337522207702</v>
      </c>
      <c r="N32">
        <f t="shared" si="6"/>
        <v>0.37663032034952648</v>
      </c>
      <c r="O32">
        <f t="shared" si="6"/>
        <v>0.39230171959451082</v>
      </c>
      <c r="P32">
        <f t="shared" si="6"/>
        <v>0.39877731819347856</v>
      </c>
      <c r="Q32">
        <f t="shared" si="6"/>
        <v>0.39587958198352452</v>
      </c>
      <c r="R32">
        <f t="shared" si="6"/>
        <v>0.38408182851952866</v>
      </c>
      <c r="S32">
        <f t="shared" si="6"/>
        <v>0.36442401784208633</v>
      </c>
      <c r="T32">
        <f t="shared" si="6"/>
        <v>0.33837388848799571</v>
      </c>
      <c r="U32">
        <f t="shared" si="7"/>
        <v>0.30765734752007684</v>
      </c>
      <c r="V32">
        <f t="shared" si="7"/>
        <v>0.27408337481657546</v>
      </c>
      <c r="W32">
        <f t="shared" si="7"/>
        <v>0.23938569174405591</v>
      </c>
      <c r="X32">
        <f t="shared" si="7"/>
        <v>0.20509737456694524</v>
      </c>
      <c r="Y32">
        <f t="shared" si="7"/>
        <v>0.17246711865078465</v>
      </c>
      <c r="Z32">
        <f t="shared" si="7"/>
        <v>0.14241856199947331</v>
      </c>
      <c r="AA32">
        <f t="shared" si="7"/>
        <v>0.11554815102105716</v>
      </c>
      <c r="AB32">
        <f t="shared" si="7"/>
        <v>9.2153136184383158E-2</v>
      </c>
    </row>
    <row r="33" spans="10:28" x14ac:dyDescent="0.25">
      <c r="J33" s="36">
        <f t="shared" si="3"/>
        <v>0.31000000000000011</v>
      </c>
      <c r="K33">
        <f t="shared" ref="K33:T42" si="8">_xlfn.NORM.S.DIST((LN(K$2/$B$60)+($F$62+$F$61^2/2)*$J33)/($F$61*SQRT($J33)),0)</f>
        <v>0.2897162982734845</v>
      </c>
      <c r="L33">
        <f t="shared" si="8"/>
        <v>0.32474797966583002</v>
      </c>
      <c r="M33">
        <f t="shared" si="8"/>
        <v>0.35471289288449415</v>
      </c>
      <c r="N33">
        <f t="shared" si="8"/>
        <v>0.37784010605076357</v>
      </c>
      <c r="O33">
        <f t="shared" si="8"/>
        <v>0.39279906766119321</v>
      </c>
      <c r="P33">
        <f t="shared" si="8"/>
        <v>0.39882526864519718</v>
      </c>
      <c r="Q33">
        <f t="shared" si="8"/>
        <v>0.39577789797887963</v>
      </c>
      <c r="R33">
        <f t="shared" si="8"/>
        <v>0.38412514336377512</v>
      </c>
      <c r="S33">
        <f t="shared" si="8"/>
        <v>0.36486421954481718</v>
      </c>
      <c r="T33">
        <f t="shared" si="8"/>
        <v>0.33939230540664117</v>
      </c>
      <c r="U33">
        <f t="shared" ref="U33:AB42" si="9">_xlfn.NORM.S.DIST((LN(U$2/$B$60)+($F$62+$F$61^2/2)*$J33)/($F$61*SQRT($J33)),0)</f>
        <v>0.30934989663462514</v>
      </c>
      <c r="V33">
        <f t="shared" si="9"/>
        <v>0.27645917294936212</v>
      </c>
      <c r="W33">
        <f t="shared" si="9"/>
        <v>0.2423773005060989</v>
      </c>
      <c r="X33">
        <f t="shared" si="9"/>
        <v>0.20857926189882633</v>
      </c>
      <c r="Y33">
        <f t="shared" si="9"/>
        <v>0.17627824222663735</v>
      </c>
      <c r="Z33">
        <f t="shared" si="9"/>
        <v>0.14638515310760822</v>
      </c>
      <c r="AA33">
        <f t="shared" si="9"/>
        <v>0.11950358012991454</v>
      </c>
      <c r="AB33">
        <f t="shared" si="9"/>
        <v>9.5952877504228568E-2</v>
      </c>
    </row>
    <row r="34" spans="10:28" x14ac:dyDescent="0.25">
      <c r="J34" s="36">
        <f t="shared" si="3"/>
        <v>0.32000000000000012</v>
      </c>
      <c r="K34">
        <f t="shared" si="8"/>
        <v>0.29354945051540809</v>
      </c>
      <c r="L34">
        <f t="shared" si="8"/>
        <v>0.32766824291723956</v>
      </c>
      <c r="M34">
        <f t="shared" si="8"/>
        <v>0.35669629932820535</v>
      </c>
      <c r="N34">
        <f t="shared" si="8"/>
        <v>0.37897172452701655</v>
      </c>
      <c r="O34">
        <f t="shared" si="8"/>
        <v>0.39325959004929889</v>
      </c>
      <c r="P34">
        <f t="shared" si="8"/>
        <v>0.3988638233984465</v>
      </c>
      <c r="Q34">
        <f t="shared" si="8"/>
        <v>0.3956762400923709</v>
      </c>
      <c r="R34">
        <f t="shared" si="8"/>
        <v>0.38415958752155233</v>
      </c>
      <c r="S34">
        <f t="shared" si="8"/>
        <v>0.36527152686932485</v>
      </c>
      <c r="T34">
        <f t="shared" si="8"/>
        <v>0.34034439042702963</v>
      </c>
      <c r="U34">
        <f t="shared" si="9"/>
        <v>0.31094012475328942</v>
      </c>
      <c r="V34">
        <f t="shared" si="9"/>
        <v>0.27870070894714144</v>
      </c>
      <c r="W34">
        <f t="shared" si="9"/>
        <v>0.24521194213387118</v>
      </c>
      <c r="X34">
        <f t="shared" si="9"/>
        <v>0.21189379519122578</v>
      </c>
      <c r="Y34">
        <f t="shared" si="9"/>
        <v>0.17992473289764396</v>
      </c>
      <c r="Z34">
        <f t="shared" si="9"/>
        <v>0.15020169761250082</v>
      </c>
      <c r="AA34">
        <f t="shared" si="9"/>
        <v>0.12333270008897453</v>
      </c>
      <c r="AB34">
        <f t="shared" si="9"/>
        <v>9.9655706183751552E-2</v>
      </c>
    </row>
    <row r="35" spans="10:28" x14ac:dyDescent="0.25">
      <c r="J35" s="36">
        <f t="shared" si="3"/>
        <v>0.33000000000000013</v>
      </c>
      <c r="K35">
        <f t="shared" si="8"/>
        <v>0.29719184915392427</v>
      </c>
      <c r="L35">
        <f t="shared" si="8"/>
        <v>0.33043029277540481</v>
      </c>
      <c r="M35">
        <f t="shared" si="8"/>
        <v>0.35856401817870581</v>
      </c>
      <c r="N35">
        <f t="shared" si="8"/>
        <v>0.38003193038494965</v>
      </c>
      <c r="O35">
        <f t="shared" si="8"/>
        <v>0.39368656444468181</v>
      </c>
      <c r="P35">
        <f t="shared" si="8"/>
        <v>0.3988938344592563</v>
      </c>
      <c r="Q35">
        <f t="shared" si="8"/>
        <v>0.39557460831728963</v>
      </c>
      <c r="R35">
        <f t="shared" si="8"/>
        <v>0.38418596552116541</v>
      </c>
      <c r="S35">
        <f t="shared" si="8"/>
        <v>0.36564887023937503</v>
      </c>
      <c r="T35">
        <f t="shared" si="8"/>
        <v>0.3412358933866238</v>
      </c>
      <c r="U35">
        <f t="shared" si="9"/>
        <v>0.31243655677620347</v>
      </c>
      <c r="V35">
        <f t="shared" si="9"/>
        <v>0.28081857504063906</v>
      </c>
      <c r="W35">
        <f t="shared" si="9"/>
        <v>0.24790111927259262</v>
      </c>
      <c r="X35">
        <f t="shared" si="9"/>
        <v>0.21505206385281661</v>
      </c>
      <c r="Y35">
        <f t="shared" si="9"/>
        <v>0.18341605237227873</v>
      </c>
      <c r="Z35">
        <f t="shared" si="9"/>
        <v>0.1538751348414901</v>
      </c>
      <c r="AA35">
        <f t="shared" si="9"/>
        <v>0.12703946624946125</v>
      </c>
      <c r="AB35">
        <f t="shared" si="9"/>
        <v>0.10326257748156972</v>
      </c>
    </row>
    <row r="36" spans="10:28" x14ac:dyDescent="0.25">
      <c r="J36" s="36">
        <f t="shared" ref="J36:J55" si="10">J35+$C$5</f>
        <v>0.34000000000000014</v>
      </c>
      <c r="K36">
        <f t="shared" si="8"/>
        <v>0.30065672145613698</v>
      </c>
      <c r="L36">
        <f t="shared" si="8"/>
        <v>0.33304610126741219</v>
      </c>
      <c r="M36">
        <f t="shared" si="8"/>
        <v>0.36032535902274493</v>
      </c>
      <c r="N36">
        <f t="shared" si="8"/>
        <v>0.38102672270410914</v>
      </c>
      <c r="O36">
        <f t="shared" si="8"/>
        <v>0.39408289109238281</v>
      </c>
      <c r="P36">
        <f t="shared" si="8"/>
        <v>0.39891605411591979</v>
      </c>
      <c r="Q36">
        <f t="shared" si="8"/>
        <v>0.39547300264692897</v>
      </c>
      <c r="R36">
        <f t="shared" si="8"/>
        <v>0.38420498772015854</v>
      </c>
      <c r="S36">
        <f t="shared" si="8"/>
        <v>0.36599884233565305</v>
      </c>
      <c r="T36">
        <f t="shared" si="8"/>
        <v>0.34207191896765687</v>
      </c>
      <c r="U36">
        <f t="shared" si="9"/>
        <v>0.31384679890508554</v>
      </c>
      <c r="V36">
        <f t="shared" si="9"/>
        <v>0.28282228641189355</v>
      </c>
      <c r="W36">
        <f t="shared" si="9"/>
        <v>0.25045525941198005</v>
      </c>
      <c r="X36">
        <f t="shared" si="9"/>
        <v>0.21806424600458965</v>
      </c>
      <c r="Y36">
        <f t="shared" si="9"/>
        <v>0.18676104078167272</v>
      </c>
      <c r="Z36">
        <f t="shared" si="9"/>
        <v>0.15741213823293654</v>
      </c>
      <c r="AA36">
        <f t="shared" si="9"/>
        <v>0.13062792352739144</v>
      </c>
      <c r="AB36">
        <f t="shared" si="9"/>
        <v>0.10677483442193277</v>
      </c>
    </row>
    <row r="37" spans="10:28" x14ac:dyDescent="0.25">
      <c r="J37" s="36">
        <f t="shared" si="10"/>
        <v>0.35000000000000014</v>
      </c>
      <c r="K37">
        <f t="shared" si="8"/>
        <v>0.30395613031930907</v>
      </c>
      <c r="L37">
        <f t="shared" si="8"/>
        <v>0.3355264733529747</v>
      </c>
      <c r="M37">
        <f t="shared" si="8"/>
        <v>0.36198866186663969</v>
      </c>
      <c r="N37">
        <f t="shared" si="8"/>
        <v>0.38196144770854301</v>
      </c>
      <c r="O37">
        <f t="shared" si="8"/>
        <v>0.39445114559836819</v>
      </c>
      <c r="P37">
        <f t="shared" si="8"/>
        <v>0.3989311491125917</v>
      </c>
      <c r="Q37">
        <f t="shared" si="8"/>
        <v>0.39537142307458384</v>
      </c>
      <c r="R37">
        <f t="shared" si="8"/>
        <v>0.38421728369183183</v>
      </c>
      <c r="S37">
        <f t="shared" si="8"/>
        <v>0.36632374538420936</v>
      </c>
      <c r="T37">
        <f t="shared" si="8"/>
        <v>0.34285701464673857</v>
      </c>
      <c r="U37">
        <f t="shared" si="9"/>
        <v>0.31517765881137055</v>
      </c>
      <c r="V37">
        <f t="shared" si="9"/>
        <v>0.28472041354071176</v>
      </c>
      <c r="W37">
        <f t="shared" si="9"/>
        <v>0.25288383458021596</v>
      </c>
      <c r="X37">
        <f t="shared" si="9"/>
        <v>0.22093969333714406</v>
      </c>
      <c r="Y37">
        <f t="shared" si="9"/>
        <v>0.18996795290867002</v>
      </c>
      <c r="Z37">
        <f t="shared" si="9"/>
        <v>0.16081910021178486</v>
      </c>
      <c r="AA37">
        <f t="shared" si="9"/>
        <v>0.13410214765970035</v>
      </c>
      <c r="AB37">
        <f t="shared" si="9"/>
        <v>0.11019412050867571</v>
      </c>
    </row>
    <row r="38" spans="10:28" x14ac:dyDescent="0.25">
      <c r="J38" s="36">
        <f t="shared" si="10"/>
        <v>0.36000000000000015</v>
      </c>
      <c r="K38">
        <f t="shared" si="8"/>
        <v>0.30710109539611652</v>
      </c>
      <c r="L38">
        <f t="shared" si="8"/>
        <v>0.33788118428755587</v>
      </c>
      <c r="M38">
        <f t="shared" si="8"/>
        <v>0.36356141976403572</v>
      </c>
      <c r="N38">
        <f t="shared" si="8"/>
        <v>0.38284088515277009</v>
      </c>
      <c r="O38">
        <f t="shared" si="8"/>
        <v>0.39479362310979071</v>
      </c>
      <c r="P38">
        <f t="shared" si="8"/>
        <v>0.39893971247221555</v>
      </c>
      <c r="Q38">
        <f t="shared" si="8"/>
        <v>0.3952698695935507</v>
      </c>
      <c r="R38">
        <f t="shared" si="8"/>
        <v>0.38422341339140481</v>
      </c>
      <c r="S38">
        <f t="shared" si="8"/>
        <v>0.36662563071716003</v>
      </c>
      <c r="T38">
        <f t="shared" si="8"/>
        <v>0.34359524464954005</v>
      </c>
      <c r="U38">
        <f t="shared" si="9"/>
        <v>0.31643524747761259</v>
      </c>
      <c r="V38">
        <f t="shared" si="9"/>
        <v>0.28652069569122823</v>
      </c>
      <c r="W38">
        <f t="shared" si="9"/>
        <v>0.25519546590603681</v>
      </c>
      <c r="X38">
        <f t="shared" si="9"/>
        <v>0.22368700788299731</v>
      </c>
      <c r="Y38">
        <f t="shared" si="9"/>
        <v>0.19304449481672104</v>
      </c>
      <c r="Z38">
        <f t="shared" si="9"/>
        <v>0.16410212526325607</v>
      </c>
      <c r="AA38">
        <f t="shared" si="9"/>
        <v>0.13746620005635513</v>
      </c>
      <c r="AB38">
        <f t="shared" si="9"/>
        <v>0.11352230814332334</v>
      </c>
    </row>
    <row r="39" spans="10:28" x14ac:dyDescent="0.25">
      <c r="J39" s="36">
        <f t="shared" si="10"/>
        <v>0.37000000000000016</v>
      </c>
      <c r="K39">
        <f t="shared" si="8"/>
        <v>0.31010170010626431</v>
      </c>
      <c r="L39">
        <f t="shared" si="8"/>
        <v>0.34011909826244668</v>
      </c>
      <c r="M39">
        <f t="shared" si="8"/>
        <v>0.36505038335293311</v>
      </c>
      <c r="N39">
        <f t="shared" si="8"/>
        <v>0.3836693213556498</v>
      </c>
      <c r="O39">
        <f t="shared" si="8"/>
        <v>0.39511237547237416</v>
      </c>
      <c r="P39">
        <f t="shared" si="8"/>
        <v>0.39894227341137323</v>
      </c>
      <c r="Q39">
        <f t="shared" si="8"/>
        <v>0.39516834219712793</v>
      </c>
      <c r="R39">
        <f t="shared" si="8"/>
        <v>0.38422387651992435</v>
      </c>
      <c r="S39">
        <f t="shared" si="8"/>
        <v>0.36690633203971301</v>
      </c>
      <c r="T39">
        <f t="shared" si="8"/>
        <v>0.34429025243959682</v>
      </c>
      <c r="U39">
        <f t="shared" si="9"/>
        <v>0.31762506588227862</v>
      </c>
      <c r="V39">
        <f t="shared" si="9"/>
        <v>0.28823013856670737</v>
      </c>
      <c r="W39">
        <f t="shared" si="9"/>
        <v>0.25739801513572885</v>
      </c>
      <c r="X39">
        <f t="shared" si="9"/>
        <v>0.22631411132153184</v>
      </c>
      <c r="Y39">
        <f t="shared" si="9"/>
        <v>0.19599785993115504</v>
      </c>
      <c r="Z39">
        <f t="shared" si="9"/>
        <v>0.16726702902345414</v>
      </c>
      <c r="AA39">
        <f t="shared" si="9"/>
        <v>0.14072409345056699</v>
      </c>
      <c r="AB39">
        <f t="shared" si="9"/>
        <v>0.11676144002758147</v>
      </c>
    </row>
    <row r="40" spans="10:28" x14ac:dyDescent="0.25">
      <c r="J40" s="36">
        <f t="shared" si="10"/>
        <v>0.38000000000000017</v>
      </c>
      <c r="K40">
        <f t="shared" si="8"/>
        <v>0.31296718628137776</v>
      </c>
      <c r="L40">
        <f t="shared" si="8"/>
        <v>0.34224827119089279</v>
      </c>
      <c r="M40">
        <f t="shared" si="8"/>
        <v>0.36646165033003819</v>
      </c>
      <c r="N40">
        <f t="shared" si="8"/>
        <v>0.38445061122745994</v>
      </c>
      <c r="O40">
        <f t="shared" si="8"/>
        <v>0.39540924263355193</v>
      </c>
      <c r="P40">
        <f t="shared" si="8"/>
        <v>0.39893930569690889</v>
      </c>
      <c r="Q40">
        <f t="shared" si="8"/>
        <v>0.39506684087861549</v>
      </c>
      <c r="R40">
        <f t="shared" si="8"/>
        <v>0.38421912041639555</v>
      </c>
      <c r="S40">
        <f t="shared" si="8"/>
        <v>0.36716749354134165</v>
      </c>
      <c r="T40">
        <f t="shared" si="8"/>
        <v>0.34494531376148213</v>
      </c>
      <c r="U40">
        <f t="shared" si="9"/>
        <v>0.31875207908847325</v>
      </c>
      <c r="V40">
        <f t="shared" si="9"/>
        <v>0.28985509862475117</v>
      </c>
      <c r="W40">
        <f t="shared" si="9"/>
        <v>0.25949866489134621</v>
      </c>
      <c r="X40">
        <f t="shared" si="9"/>
        <v>0.22882830745540367</v>
      </c>
      <c r="Y40">
        <f t="shared" si="9"/>
        <v>0.19883476395117941</v>
      </c>
      <c r="Z40">
        <f t="shared" si="9"/>
        <v>0.17031934172931509</v>
      </c>
      <c r="AA40">
        <f t="shared" si="9"/>
        <v>0.14387976611753775</v>
      </c>
      <c r="AB40">
        <f t="shared" si="9"/>
        <v>0.11991368129638676</v>
      </c>
    </row>
    <row r="41" spans="10:28" x14ac:dyDescent="0.25">
      <c r="J41" s="36">
        <f t="shared" si="10"/>
        <v>0.39000000000000018</v>
      </c>
      <c r="K41">
        <f t="shared" si="8"/>
        <v>0.31570603797777652</v>
      </c>
      <c r="L41">
        <f t="shared" si="8"/>
        <v>0.34427604002629175</v>
      </c>
      <c r="M41">
        <f t="shared" si="8"/>
        <v>0.36780074232693588</v>
      </c>
      <c r="N41">
        <f t="shared" si="8"/>
        <v>0.38518823117658457</v>
      </c>
      <c r="O41">
        <f t="shared" si="8"/>
        <v>0.39568587930470411</v>
      </c>
      <c r="P41">
        <f t="shared" si="8"/>
        <v>0.39893123472273911</v>
      </c>
      <c r="Q41">
        <f t="shared" si="8"/>
        <v>0.39496536563131512</v>
      </c>
      <c r="R41">
        <f t="shared" si="8"/>
        <v>0.38420954674112684</v>
      </c>
      <c r="S41">
        <f t="shared" si="8"/>
        <v>0.36741059375977791</v>
      </c>
      <c r="T41">
        <f t="shared" si="8"/>
        <v>0.34556338186206376</v>
      </c>
      <c r="U41">
        <f t="shared" si="9"/>
        <v>0.31982077981587481</v>
      </c>
      <c r="V41">
        <f t="shared" si="9"/>
        <v>0.29140135611184542</v>
      </c>
      <c r="W41">
        <f t="shared" si="9"/>
        <v>0.26150398919816603</v>
      </c>
      <c r="X41">
        <f t="shared" si="9"/>
        <v>0.23123633848642652</v>
      </c>
      <c r="Y41">
        <f t="shared" si="9"/>
        <v>0.20156147820272244</v>
      </c>
      <c r="Z41">
        <f t="shared" si="9"/>
        <v>0.17326431476956544</v>
      </c>
      <c r="AA41">
        <f t="shared" si="9"/>
        <v>0.14693706288391009</v>
      </c>
      <c r="AB41">
        <f t="shared" si="9"/>
        <v>0.12298128051617221</v>
      </c>
    </row>
    <row r="42" spans="10:28" x14ac:dyDescent="0.25">
      <c r="J42" s="36">
        <f t="shared" si="10"/>
        <v>0.40000000000000019</v>
      </c>
      <c r="K42">
        <f t="shared" si="8"/>
        <v>0.31832605579990064</v>
      </c>
      <c r="L42">
        <f t="shared" si="8"/>
        <v>0.34620910060305471</v>
      </c>
      <c r="M42">
        <f t="shared" si="8"/>
        <v>0.36907267120385573</v>
      </c>
      <c r="N42">
        <f t="shared" si="8"/>
        <v>0.38588532442183643</v>
      </c>
      <c r="O42">
        <f t="shared" si="8"/>
        <v>0.39594377769692002</v>
      </c>
      <c r="P42">
        <f t="shared" si="8"/>
        <v>0.39891844352982758</v>
      </c>
      <c r="Q42">
        <f t="shared" si="8"/>
        <v>0.39486391644853036</v>
      </c>
      <c r="R42">
        <f t="shared" si="8"/>
        <v>0.38419551716090972</v>
      </c>
      <c r="S42">
        <f t="shared" si="8"/>
        <v>0.36763696592799205</v>
      </c>
      <c r="T42">
        <f t="shared" si="8"/>
        <v>0.34614712620241794</v>
      </c>
      <c r="U42">
        <f t="shared" si="9"/>
        <v>0.32083524319301354</v>
      </c>
      <c r="V42">
        <f t="shared" si="9"/>
        <v>0.29287417852469116</v>
      </c>
      <c r="W42">
        <f t="shared" si="9"/>
        <v>0.26342001558846362</v>
      </c>
      <c r="X42">
        <f t="shared" si="9"/>
        <v>0.23354443568929753</v>
      </c>
      <c r="Y42">
        <f t="shared" si="9"/>
        <v>0.20418386120619458</v>
      </c>
      <c r="Z42">
        <f t="shared" si="9"/>
        <v>0.17610692938319616</v>
      </c>
      <c r="AA42">
        <f t="shared" si="9"/>
        <v>0.14989972150936365</v>
      </c>
      <c r="AB42">
        <f t="shared" si="9"/>
        <v>0.12596653800563201</v>
      </c>
    </row>
    <row r="43" spans="10:28" x14ac:dyDescent="0.25">
      <c r="J43" s="36">
        <f t="shared" si="10"/>
        <v>0.4100000000000002</v>
      </c>
      <c r="K43">
        <f t="shared" ref="K43:T55" si="11">_xlfn.NORM.S.DIST((LN(K$2/$B$60)+($F$62+$F$61^2/2)*$J43)/($F$61*SQRT($J43)),0)</f>
        <v>0.32083442290629699</v>
      </c>
      <c r="L43">
        <f t="shared" si="11"/>
        <v>0.34805357566612943</v>
      </c>
      <c r="M43">
        <f t="shared" si="11"/>
        <v>0.37028199641761694</v>
      </c>
      <c r="N43">
        <f t="shared" si="11"/>
        <v>0.38654473995164823</v>
      </c>
      <c r="O43">
        <f t="shared" si="11"/>
        <v>0.39618428698866431</v>
      </c>
      <c r="P43">
        <f t="shared" si="11"/>
        <v>0.39890127794897984</v>
      </c>
      <c r="Q43">
        <f t="shared" si="11"/>
        <v>0.39476249332356628</v>
      </c>
      <c r="R43">
        <f t="shared" si="11"/>
        <v>0.38417735820573173</v>
      </c>
      <c r="S43">
        <f t="shared" si="11"/>
        <v>0.36784781539431677</v>
      </c>
      <c r="T43">
        <f t="shared" si="11"/>
        <v>0.34669896572729758</v>
      </c>
      <c r="U43">
        <f t="shared" ref="U43:AB55" si="12">_xlfn.NORM.S.DIST((LN(U$2/$B$60)+($F$62+$F$61^2/2)*$J43)/($F$61*SQRT($J43)),0)</f>
        <v>0.3217991740818833</v>
      </c>
      <c r="V43">
        <f t="shared" si="12"/>
        <v>0.29427837591953387</v>
      </c>
      <c r="W43">
        <f t="shared" si="12"/>
        <v>0.26525227990032252</v>
      </c>
      <c r="X43">
        <f t="shared" si="12"/>
        <v>0.23575836504166078</v>
      </c>
      <c r="Y43">
        <f t="shared" si="12"/>
        <v>0.20670738834826843</v>
      </c>
      <c r="Z43">
        <f t="shared" si="12"/>
        <v>0.17885190678502366</v>
      </c>
      <c r="AA43">
        <f t="shared" si="12"/>
        <v>0.15277136330777111</v>
      </c>
      <c r="AB43">
        <f t="shared" si="12"/>
        <v>0.1288717802035102</v>
      </c>
    </row>
    <row r="44" spans="10:28" x14ac:dyDescent="0.25">
      <c r="J44" s="36">
        <f t="shared" si="10"/>
        <v>0.42000000000000021</v>
      </c>
      <c r="K44">
        <f t="shared" si="11"/>
        <v>0.3232377637193819</v>
      </c>
      <c r="L44">
        <f t="shared" si="11"/>
        <v>0.34981507448792754</v>
      </c>
      <c r="M44">
        <f t="shared" si="11"/>
        <v>0.3714328748313328</v>
      </c>
      <c r="N44">
        <f t="shared" si="11"/>
        <v>0.38716906614495972</v>
      </c>
      <c r="O44">
        <f t="shared" si="11"/>
        <v>0.39640863006052612</v>
      </c>
      <c r="P44">
        <f t="shared" si="11"/>
        <v>0.39888005101204088</v>
      </c>
      <c r="Q44">
        <f t="shared" si="11"/>
        <v>0.39466109624972978</v>
      </c>
      <c r="R44">
        <f t="shared" si="11"/>
        <v>0.3841553654345306</v>
      </c>
      <c r="S44">
        <f t="shared" si="11"/>
        <v>0.36804423459535784</v>
      </c>
      <c r="T44">
        <f t="shared" si="11"/>
        <v>0.34722109756389391</v>
      </c>
      <c r="U44">
        <f t="shared" si="12"/>
        <v>0.3227159481219331</v>
      </c>
      <c r="V44">
        <f t="shared" si="12"/>
        <v>0.29561834925672498</v>
      </c>
      <c r="W44">
        <f t="shared" si="12"/>
        <v>0.26700587472987442</v>
      </c>
      <c r="X44">
        <f t="shared" si="12"/>
        <v>0.23788346832445584</v>
      </c>
      <c r="Y44">
        <f t="shared" si="12"/>
        <v>0.20913717962647332</v>
      </c>
      <c r="Z44">
        <f t="shared" si="12"/>
        <v>0.18150371917625724</v>
      </c>
      <c r="AA44">
        <f t="shared" si="12"/>
        <v>0.15555548710319198</v>
      </c>
      <c r="AB44">
        <f t="shared" si="12"/>
        <v>0.13169933902889702</v>
      </c>
    </row>
    <row r="45" spans="10:28" x14ac:dyDescent="0.25">
      <c r="J45" s="36">
        <f t="shared" si="10"/>
        <v>0.43000000000000022</v>
      </c>
      <c r="K45">
        <f t="shared" si="11"/>
        <v>0.3255421962281918</v>
      </c>
      <c r="L45">
        <f t="shared" si="11"/>
        <v>0.35149874525069319</v>
      </c>
      <c r="M45">
        <f t="shared" si="11"/>
        <v>0.37252910409978551</v>
      </c>
      <c r="N45">
        <f t="shared" si="11"/>
        <v>0.38776065988761738</v>
      </c>
      <c r="O45">
        <f t="shared" si="11"/>
        <v>0.39661791793437007</v>
      </c>
      <c r="P45">
        <f t="shared" si="11"/>
        <v>0.39885504675010247</v>
      </c>
      <c r="Q45">
        <f t="shared" si="11"/>
        <v>0.39455972522032956</v>
      </c>
      <c r="R45">
        <f t="shared" si="11"/>
        <v>0.38412980702201804</v>
      </c>
      <c r="S45">
        <f t="shared" si="11"/>
        <v>0.36822721597356661</v>
      </c>
      <c r="T45">
        <f t="shared" si="11"/>
        <v>0.34771552186570959</v>
      </c>
      <c r="U45">
        <f t="shared" si="12"/>
        <v>0.32358864744287008</v>
      </c>
      <c r="V45">
        <f t="shared" si="12"/>
        <v>0.29689813277579513</v>
      </c>
      <c r="W45">
        <f t="shared" si="12"/>
        <v>0.26868549235903633</v>
      </c>
      <c r="X45">
        <f t="shared" si="12"/>
        <v>0.23992470016080944</v>
      </c>
      <c r="Y45">
        <f t="shared" si="12"/>
        <v>0.2114780254896351</v>
      </c>
      <c r="Z45">
        <f t="shared" si="12"/>
        <v>0.18406660123456126</v>
      </c>
      <c r="AA45">
        <f t="shared" si="12"/>
        <v>0.15825546579775165</v>
      </c>
      <c r="AB45">
        <f t="shared" si="12"/>
        <v>0.1344515353620423</v>
      </c>
    </row>
    <row r="46" spans="10:28" x14ac:dyDescent="0.25">
      <c r="J46" s="36">
        <f t="shared" si="10"/>
        <v>0.44000000000000022</v>
      </c>
      <c r="K46">
        <f t="shared" si="11"/>
        <v>0.32775337865822735</v>
      </c>
      <c r="L46">
        <f t="shared" si="11"/>
        <v>0.35310932118952337</v>
      </c>
      <c r="M46">
        <f t="shared" si="11"/>
        <v>0.37357416057455684</v>
      </c>
      <c r="N46">
        <f t="shared" si="11"/>
        <v>0.38832167187259786</v>
      </c>
      <c r="O46">
        <f t="shared" si="11"/>
        <v>0.39681316227602409</v>
      </c>
      <c r="P46">
        <f t="shared" si="11"/>
        <v>0.39882652347584979</v>
      </c>
      <c r="Q46">
        <f t="shared" si="11"/>
        <v>0.39445838022867591</v>
      </c>
      <c r="R46">
        <f t="shared" si="11"/>
        <v>0.38410092685831326</v>
      </c>
      <c r="S46">
        <f t="shared" si="11"/>
        <v>0.36839766316124328</v>
      </c>
      <c r="T46">
        <f t="shared" si="11"/>
        <v>0.34818406339211333</v>
      </c>
      <c r="U46">
        <f t="shared" si="12"/>
        <v>0.32442009183548937</v>
      </c>
      <c r="V46">
        <f t="shared" si="12"/>
        <v>0.29812143123825297</v>
      </c>
      <c r="W46">
        <f t="shared" si="12"/>
        <v>0.27029546286490563</v>
      </c>
      <c r="X46">
        <f t="shared" si="12"/>
        <v>0.24188666141705475</v>
      </c>
      <c r="Y46">
        <f t="shared" si="12"/>
        <v>0.21373441083311639</v>
      </c>
      <c r="Z46">
        <f t="shared" si="12"/>
        <v>0.18654456178268844</v>
      </c>
      <c r="AA46">
        <f t="shared" si="12"/>
        <v>0.16087454497362438</v>
      </c>
      <c r="AB46">
        <f t="shared" si="12"/>
        <v>0.13713066592439391</v>
      </c>
    </row>
    <row r="47" spans="10:28" x14ac:dyDescent="0.25">
      <c r="J47" s="36">
        <f t="shared" si="10"/>
        <v>0.45000000000000023</v>
      </c>
      <c r="K47">
        <f t="shared" si="11"/>
        <v>0.32987655118244458</v>
      </c>
      <c r="L47">
        <f t="shared" si="11"/>
        <v>0.35465116133933683</v>
      </c>
      <c r="M47">
        <f t="shared" si="11"/>
        <v>0.37457123251809071</v>
      </c>
      <c r="N47">
        <f t="shared" si="11"/>
        <v>0.38885406865479805</v>
      </c>
      <c r="O47">
        <f t="shared" si="11"/>
        <v>0.39699528625784181</v>
      </c>
      <c r="P47">
        <f t="shared" si="11"/>
        <v>0.39879471662997767</v>
      </c>
      <c r="Q47">
        <f t="shared" si="11"/>
        <v>0.39435706126808079</v>
      </c>
      <c r="R47">
        <f t="shared" si="11"/>
        <v>0.38406894723688023</v>
      </c>
      <c r="S47">
        <f t="shared" si="11"/>
        <v>0.36855640069643503</v>
      </c>
      <c r="T47">
        <f t="shared" si="11"/>
        <v>0.34862839031301174</v>
      </c>
      <c r="U47">
        <f t="shared" si="12"/>
        <v>0.32521286603925281</v>
      </c>
      <c r="V47">
        <f t="shared" si="12"/>
        <v>0.29929165274470998</v>
      </c>
      <c r="W47">
        <f t="shared" si="12"/>
        <v>0.27183978801838088</v>
      </c>
      <c r="X47">
        <f t="shared" si="12"/>
        <v>0.24377362934707408</v>
      </c>
      <c r="Y47">
        <f t="shared" si="12"/>
        <v>0.21591053723060408</v>
      </c>
      <c r="Z47">
        <f t="shared" si="12"/>
        <v>0.18894139541482641</v>
      </c>
      <c r="AA47">
        <f t="shared" si="12"/>
        <v>0.16341584306741841</v>
      </c>
      <c r="AB47">
        <f t="shared" si="12"/>
        <v>0.13973899296097086</v>
      </c>
    </row>
    <row r="48" spans="10:28" x14ac:dyDescent="0.25">
      <c r="J48" s="36">
        <f t="shared" si="10"/>
        <v>0.46000000000000024</v>
      </c>
      <c r="K48">
        <f t="shared" si="11"/>
        <v>0.33191657326064866</v>
      </c>
      <c r="L48">
        <f t="shared" si="11"/>
        <v>0.35612828660247342</v>
      </c>
      <c r="M48">
        <f t="shared" si="11"/>
        <v>0.37552324928890479</v>
      </c>
      <c r="N48">
        <f t="shared" si="11"/>
        <v>0.38935965193567584</v>
      </c>
      <c r="O48">
        <f t="shared" si="11"/>
        <v>0.39716513402675829</v>
      </c>
      <c r="P48">
        <f t="shared" si="11"/>
        <v>0.3987598412577581</v>
      </c>
      <c r="Q48">
        <f t="shared" si="11"/>
        <v>0.39425576833185816</v>
      </c>
      <c r="R48">
        <f t="shared" si="11"/>
        <v>0.38403407119318139</v>
      </c>
      <c r="S48">
        <f t="shared" si="11"/>
        <v>0.3687041824907315</v>
      </c>
      <c r="T48">
        <f t="shared" si="11"/>
        <v>0.34905003064600387</v>
      </c>
      <c r="U48">
        <f t="shared" si="12"/>
        <v>0.32596934369857788</v>
      </c>
      <c r="V48">
        <f t="shared" si="12"/>
        <v>0.30041193772461894</v>
      </c>
      <c r="W48">
        <f t="shared" si="12"/>
        <v>0.27332217149565768</v>
      </c>
      <c r="X48">
        <f t="shared" si="12"/>
        <v>0.24558958482174217</v>
      </c>
      <c r="Y48">
        <f t="shared" si="12"/>
        <v>0.21801034349764364</v>
      </c>
      <c r="Z48">
        <f t="shared" si="12"/>
        <v>0.1912606939210372</v>
      </c>
      <c r="AA48">
        <f t="shared" si="12"/>
        <v>0.16588235274818772</v>
      </c>
      <c r="AB48">
        <f t="shared" si="12"/>
        <v>0.14227873623090523</v>
      </c>
    </row>
    <row r="49" spans="1:28" x14ac:dyDescent="0.25">
      <c r="J49" s="36">
        <f t="shared" si="10"/>
        <v>0.47000000000000025</v>
      </c>
      <c r="K49">
        <f t="shared" si="11"/>
        <v>0.33387795711933754</v>
      </c>
      <c r="L49">
        <f t="shared" si="11"/>
        <v>0.35754441174776114</v>
      </c>
      <c r="M49">
        <f t="shared" si="11"/>
        <v>0.37643290705567456</v>
      </c>
      <c r="N49">
        <f t="shared" si="11"/>
        <v>0.38984007547514832</v>
      </c>
      <c r="O49">
        <f t="shared" si="11"/>
        <v>0.39732347898230946</v>
      </c>
      <c r="P49">
        <f t="shared" si="11"/>
        <v>0.39872209417063748</v>
      </c>
      <c r="Q49">
        <f t="shared" si="11"/>
        <v>0.39415450141332331</v>
      </c>
      <c r="R49">
        <f t="shared" si="11"/>
        <v>0.38399648454587837</v>
      </c>
      <c r="S49">
        <f t="shared" si="11"/>
        <v>0.36884169923207644</v>
      </c>
      <c r="T49">
        <f t="shared" si="11"/>
        <v>0.34945038666647427</v>
      </c>
      <c r="U49">
        <f t="shared" si="12"/>
        <v>0.32669170845207618</v>
      </c>
      <c r="V49">
        <f t="shared" si="12"/>
        <v>0.30148518460679374</v>
      </c>
      <c r="W49">
        <f t="shared" si="12"/>
        <v>0.27474604585472923</v>
      </c>
      <c r="X49">
        <f t="shared" si="12"/>
        <v>0.24733823694909221</v>
      </c>
      <c r="Y49">
        <f t="shared" si="12"/>
        <v>0.22003752468896581</v>
      </c>
      <c r="Z49">
        <f t="shared" si="12"/>
        <v>0.19350585739691892</v>
      </c>
      <c r="AA49">
        <f t="shared" si="12"/>
        <v>0.16827694320476427</v>
      </c>
      <c r="AB49">
        <f t="shared" si="12"/>
        <v>0.1447520668968422</v>
      </c>
    </row>
    <row r="50" spans="1:28" x14ac:dyDescent="0.25">
      <c r="J50" s="36">
        <f t="shared" si="10"/>
        <v>0.48000000000000026</v>
      </c>
      <c r="K50">
        <f t="shared" si="11"/>
        <v>0.33576489781891194</v>
      </c>
      <c r="L50">
        <f t="shared" si="11"/>
        <v>0.35890297386313713</v>
      </c>
      <c r="M50">
        <f t="shared" si="11"/>
        <v>0.37730269151157125</v>
      </c>
      <c r="N50">
        <f t="shared" si="11"/>
        <v>0.39029685996433794</v>
      </c>
      <c r="O50">
        <f t="shared" si="11"/>
        <v>0.39747103103552339</v>
      </c>
      <c r="P50">
        <f t="shared" si="11"/>
        <v>0.3986816558386258</v>
      </c>
      <c r="Q50">
        <f t="shared" si="11"/>
        <v>0.39405326050579359</v>
      </c>
      <c r="R50">
        <f t="shared" si="11"/>
        <v>0.38395635768380038</v>
      </c>
      <c r="S50">
        <f t="shared" si="11"/>
        <v>0.36896958487564074</v>
      </c>
      <c r="T50">
        <f t="shared" si="11"/>
        <v>0.34983074757627475</v>
      </c>
      <c r="U50">
        <f t="shared" si="12"/>
        <v>0.327381972546612</v>
      </c>
      <c r="V50">
        <f t="shared" si="12"/>
        <v>0.30251407260364166</v>
      </c>
      <c r="W50">
        <f t="shared" si="12"/>
        <v>0.27611459666800403</v>
      </c>
      <c r="X50">
        <f t="shared" si="12"/>
        <v>0.24902304535799769</v>
      </c>
      <c r="Y50">
        <f t="shared" si="12"/>
        <v>0.22199554963389131</v>
      </c>
      <c r="Z50">
        <f t="shared" si="12"/>
        <v>0.19568010496121999</v>
      </c>
      <c r="AA50">
        <f t="shared" si="12"/>
        <v>0.17060236310784191</v>
      </c>
      <c r="AB50">
        <f t="shared" si="12"/>
        <v>0.14716110297402274</v>
      </c>
    </row>
    <row r="51" spans="1:28" x14ac:dyDescent="0.25">
      <c r="J51" s="36">
        <f t="shared" si="10"/>
        <v>0.49000000000000027</v>
      </c>
      <c r="K51">
        <f t="shared" si="11"/>
        <v>0.33758130029876621</v>
      </c>
      <c r="L51">
        <f t="shared" si="11"/>
        <v>0.36020715770928036</v>
      </c>
      <c r="M51">
        <f t="shared" si="11"/>
        <v>0.3781348979886095</v>
      </c>
      <c r="N51">
        <f t="shared" si="11"/>
        <v>0.39073140614023755</v>
      </c>
      <c r="O51">
        <f t="shared" si="11"/>
        <v>0.3976084429921089</v>
      </c>
      <c r="P51">
        <f t="shared" si="11"/>
        <v>0.39863869205179892</v>
      </c>
      <c r="Q51">
        <f t="shared" si="11"/>
        <v>0.39395204560258784</v>
      </c>
      <c r="R51">
        <f t="shared" si="11"/>
        <v>0.38391384713487281</v>
      </c>
      <c r="S51">
        <f t="shared" si="11"/>
        <v>0.36908842235117434</v>
      </c>
      <c r="T51">
        <f t="shared" si="11"/>
        <v>0.35019230067157148</v>
      </c>
      <c r="U51">
        <f t="shared" si="12"/>
        <v>0.32804199330810635</v>
      </c>
      <c r="V51">
        <f t="shared" si="12"/>
        <v>0.30350108197902809</v>
      </c>
      <c r="W51">
        <f t="shared" si="12"/>
        <v>0.27743078415000155</v>
      </c>
      <c r="X51">
        <f t="shared" si="12"/>
        <v>0.25064724038856062</v>
      </c>
      <c r="Y51">
        <f t="shared" si="12"/>
        <v>0.22388767711318561</v>
      </c>
      <c r="Z51">
        <f t="shared" si="12"/>
        <v>0.19778648503113552</v>
      </c>
      <c r="AA51">
        <f t="shared" si="12"/>
        <v>0.17286124406020295</v>
      </c>
      <c r="AB51">
        <f t="shared" si="12"/>
        <v>0.14950790605788186</v>
      </c>
    </row>
    <row r="52" spans="1:28" x14ac:dyDescent="0.25">
      <c r="J52" s="36">
        <f t="shared" si="10"/>
        <v>0.50000000000000022</v>
      </c>
      <c r="K52">
        <f t="shared" si="11"/>
        <v>0.33933080374192515</v>
      </c>
      <c r="L52">
        <f t="shared" si="11"/>
        <v>0.36145991835877211</v>
      </c>
      <c r="M52">
        <f t="shared" si="11"/>
        <v>0.37893164931212886</v>
      </c>
      <c r="N52">
        <f t="shared" si="11"/>
        <v>0.39114500637996219</v>
      </c>
      <c r="O52">
        <f t="shared" si="11"/>
        <v>0.39773631618075433</v>
      </c>
      <c r="P52">
        <f t="shared" si="11"/>
        <v>0.39859335538312335</v>
      </c>
      <c r="Q52">
        <f t="shared" si="11"/>
        <v>0.39385085669702669</v>
      </c>
      <c r="R52">
        <f t="shared" si="11"/>
        <v>0.38386909694742416</v>
      </c>
      <c r="S52">
        <f t="shared" si="11"/>
        <v>0.36919874859499696</v>
      </c>
      <c r="T52">
        <f t="shared" si="11"/>
        <v>0.35053614121319671</v>
      </c>
      <c r="U52">
        <f t="shared" si="12"/>
        <v>0.32867348775117544</v>
      </c>
      <c r="V52">
        <f t="shared" si="12"/>
        <v>0.30444851211675522</v>
      </c>
      <c r="W52">
        <f t="shared" si="12"/>
        <v>0.2786973625744581</v>
      </c>
      <c r="X52">
        <f t="shared" si="12"/>
        <v>0.25221384140585457</v>
      </c>
      <c r="Y52">
        <f t="shared" si="12"/>
        <v>0.22571697077770872</v>
      </c>
      <c r="Z52">
        <f t="shared" si="12"/>
        <v>0.19982788512539743</v>
      </c>
      <c r="AA52">
        <f t="shared" si="12"/>
        <v>0.17505610438700894</v>
      </c>
      <c r="AB52">
        <f t="shared" si="12"/>
        <v>0.15179447909701668</v>
      </c>
    </row>
    <row r="53" spans="1:28" x14ac:dyDescent="0.25">
      <c r="J53" s="36">
        <f t="shared" si="10"/>
        <v>0.51000000000000023</v>
      </c>
      <c r="K53">
        <f t="shared" si="11"/>
        <v>0.34101680355854552</v>
      </c>
      <c r="L53">
        <f t="shared" si="11"/>
        <v>0.3626640014520725</v>
      </c>
      <c r="M53">
        <f t="shared" si="11"/>
        <v>0.37969491168570263</v>
      </c>
      <c r="N53">
        <f t="shared" si="11"/>
        <v>0.39153885497624902</v>
      </c>
      <c r="O53">
        <f t="shared" si="11"/>
        <v>0.39785520542866931</v>
      </c>
      <c r="P53">
        <f t="shared" si="11"/>
        <v>0.39854578647977912</v>
      </c>
      <c r="Q53">
        <f t="shared" si="11"/>
        <v>0.39374969378243257</v>
      </c>
      <c r="R53">
        <f t="shared" si="11"/>
        <v>0.3838222399095369</v>
      </c>
      <c r="S53">
        <f t="shared" si="11"/>
        <v>0.36930105899805404</v>
      </c>
      <c r="T53">
        <f t="shared" si="11"/>
        <v>0.35086328117197169</v>
      </c>
      <c r="U53">
        <f t="shared" si="12"/>
        <v>0.32927804556810336</v>
      </c>
      <c r="V53">
        <f t="shared" si="12"/>
        <v>0.30535849766202267</v>
      </c>
      <c r="W53">
        <f t="shared" si="12"/>
        <v>0.27991689773690831</v>
      </c>
      <c r="X53">
        <f t="shared" si="12"/>
        <v>0.25372567342995112</v>
      </c>
      <c r="Y53">
        <f t="shared" si="12"/>
        <v>0.22748631290483146</v>
      </c>
      <c r="Z53">
        <f t="shared" si="12"/>
        <v>0.20180704118053297</v>
      </c>
      <c r="AA53">
        <f t="shared" si="12"/>
        <v>0.17718935314904599</v>
      </c>
      <c r="AB53">
        <f t="shared" si="12"/>
        <v>0.15402276501815299</v>
      </c>
    </row>
    <row r="54" spans="1:28" x14ac:dyDescent="0.25">
      <c r="J54" s="36">
        <f t="shared" si="10"/>
        <v>0.52000000000000024</v>
      </c>
      <c r="K54">
        <f t="shared" si="11"/>
        <v>0.34264247125087888</v>
      </c>
      <c r="L54">
        <f t="shared" si="11"/>
        <v>0.36382196135646233</v>
      </c>
      <c r="M54">
        <f t="shared" si="11"/>
        <v>0.3804265088549918</v>
      </c>
      <c r="N54">
        <f t="shared" si="11"/>
        <v>0.39191405726587836</v>
      </c>
      <c r="O54">
        <f t="shared" si="11"/>
        <v>0.39796562347101233</v>
      </c>
      <c r="P54">
        <f t="shared" si="11"/>
        <v>0.39849611520598827</v>
      </c>
      <c r="Q54">
        <f t="shared" si="11"/>
        <v>0.39364855685212946</v>
      </c>
      <c r="R54">
        <f t="shared" si="11"/>
        <v>0.38377339862817184</v>
      </c>
      <c r="S54">
        <f t="shared" si="11"/>
        <v>0.3693958113475897</v>
      </c>
      <c r="T54">
        <f t="shared" si="11"/>
        <v>0.35117465699576345</v>
      </c>
      <c r="U54">
        <f t="shared" si="12"/>
        <v>0.32985714070282418</v>
      </c>
      <c r="V54">
        <f t="shared" si="12"/>
        <v>0.30623302297053123</v>
      </c>
      <c r="W54">
        <f t="shared" si="12"/>
        <v>0.28109178268594193</v>
      </c>
      <c r="X54">
        <f t="shared" si="12"/>
        <v>0.25518538225403525</v>
      </c>
      <c r="Y54">
        <f t="shared" si="12"/>
        <v>0.2291984170834018</v>
      </c>
      <c r="Z54">
        <f t="shared" si="12"/>
        <v>0.20372654637699908</v>
      </c>
      <c r="AA54">
        <f t="shared" si="12"/>
        <v>0.17926329428671553</v>
      </c>
      <c r="AB54">
        <f t="shared" si="12"/>
        <v>0.15619464604272498</v>
      </c>
    </row>
    <row r="55" spans="1:28" x14ac:dyDescent="0.25">
      <c r="J55" s="36">
        <f t="shared" si="10"/>
        <v>0.53000000000000025</v>
      </c>
      <c r="K55">
        <f t="shared" si="11"/>
        <v>0.34421077239040304</v>
      </c>
      <c r="L55">
        <f t="shared" si="11"/>
        <v>0.36493617747571627</v>
      </c>
      <c r="M55">
        <f t="shared" si="11"/>
        <v>0.3811281347639135</v>
      </c>
      <c r="N55">
        <f t="shared" si="11"/>
        <v>0.39227163775762303</v>
      </c>
      <c r="O55">
        <f t="shared" si="11"/>
        <v>0.39806804486794778</v>
      </c>
      <c r="P55">
        <f t="shared" si="11"/>
        <v>0.39844446165689745</v>
      </c>
      <c r="Q55">
        <f t="shared" si="11"/>
        <v>0.39354744589944318</v>
      </c>
      <c r="R55">
        <f t="shared" si="11"/>
        <v>0.38372268648652497</v>
      </c>
      <c r="S55">
        <f t="shared" si="11"/>
        <v>0.36948342932843703</v>
      </c>
      <c r="T55">
        <f t="shared" si="11"/>
        <v>0.35147113652356626</v>
      </c>
      <c r="U55">
        <f t="shared" si="12"/>
        <v>0.33041214168632793</v>
      </c>
      <c r="V55">
        <f t="shared" si="12"/>
        <v>0.30707393506792752</v>
      </c>
      <c r="W55">
        <f t="shared" si="12"/>
        <v>0.28222425191805739</v>
      </c>
      <c r="X55">
        <f t="shared" si="12"/>
        <v>0.25659544820362507</v>
      </c>
      <c r="Y55">
        <f t="shared" si="12"/>
        <v>0.23085583991243436</v>
      </c>
      <c r="Z55">
        <f t="shared" si="12"/>
        <v>0.20558885948019712</v>
      </c>
      <c r="AA55">
        <f t="shared" si="12"/>
        <v>0.18128013082257977</v>
      </c>
      <c r="AB55">
        <f t="shared" si="12"/>
        <v>0.15831194356204661</v>
      </c>
    </row>
    <row r="59" spans="1:28" x14ac:dyDescent="0.25">
      <c r="A59" s="3" t="s">
        <v>0</v>
      </c>
      <c r="B59">
        <v>47</v>
      </c>
    </row>
    <row r="60" spans="1:28" x14ac:dyDescent="0.25">
      <c r="A60" s="3" t="s">
        <v>1</v>
      </c>
      <c r="B60">
        <v>50</v>
      </c>
    </row>
    <row r="61" spans="1:28" x14ac:dyDescent="0.25">
      <c r="A61" s="3" t="s">
        <v>2</v>
      </c>
      <c r="E61">
        <v>12</v>
      </c>
      <c r="F61">
        <f>E61/100</f>
        <v>0.12</v>
      </c>
    </row>
    <row r="62" spans="1:28" x14ac:dyDescent="0.25">
      <c r="A62" s="3" t="s">
        <v>5</v>
      </c>
      <c r="E62">
        <v>2</v>
      </c>
      <c r="F62">
        <f>E62/100</f>
        <v>0.02</v>
      </c>
    </row>
    <row r="63" spans="1:28" x14ac:dyDescent="0.25">
      <c r="A63" s="3" t="s">
        <v>6</v>
      </c>
      <c r="B63">
        <v>0.01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croll Bar 1">
              <controlPr defaultSize="0" autoPict="0">
                <anchor>
                  <from>
                    <xdr:col>0</xdr:col>
                    <xdr:colOff>600075</xdr:colOff>
                    <xdr:row>60</xdr:row>
                    <xdr:rowOff>9525</xdr:rowOff>
                  </from>
                  <to>
                    <xdr:col>3</xdr:col>
                    <xdr:colOff>600075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Scroll Bar 2">
              <controlPr defaultSize="0" autoPict="0">
                <anchor>
                  <from>
                    <xdr:col>1</xdr:col>
                    <xdr:colOff>0</xdr:colOff>
                    <xdr:row>61</xdr:row>
                    <xdr:rowOff>9525</xdr:rowOff>
                  </from>
                  <to>
                    <xdr:col>4</xdr:col>
                    <xdr:colOff>0</xdr:colOff>
                    <xdr:row>61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2:AB62"/>
  <sheetViews>
    <sheetView topLeftCell="A61" workbookViewId="0">
      <selection activeCell="K2" sqref="K2:AB2"/>
    </sheetView>
  </sheetViews>
  <sheetFormatPr defaultRowHeight="15" x14ac:dyDescent="0.25"/>
  <cols>
    <col min="11" max="11" width="12" bestFit="1" customWidth="1"/>
  </cols>
  <sheetData>
    <row r="2" spans="2:28" x14ac:dyDescent="0.25">
      <c r="J2" s="36"/>
      <c r="K2" s="36">
        <f>$B$58</f>
        <v>47</v>
      </c>
      <c r="L2" s="36">
        <f t="shared" ref="L2:AB2" si="0">K2+$C$3</f>
        <v>47.5</v>
      </c>
      <c r="M2" s="36">
        <f t="shared" si="0"/>
        <v>48</v>
      </c>
      <c r="N2" s="36">
        <f t="shared" si="0"/>
        <v>48.5</v>
      </c>
      <c r="O2" s="36">
        <f t="shared" si="0"/>
        <v>49</v>
      </c>
      <c r="P2" s="36">
        <f t="shared" si="0"/>
        <v>49.5</v>
      </c>
      <c r="Q2" s="36">
        <f t="shared" si="0"/>
        <v>50</v>
      </c>
      <c r="R2" s="36">
        <f t="shared" si="0"/>
        <v>50.5</v>
      </c>
      <c r="S2" s="36">
        <f t="shared" si="0"/>
        <v>51</v>
      </c>
      <c r="T2" s="36">
        <f t="shared" si="0"/>
        <v>51.5</v>
      </c>
      <c r="U2" s="36">
        <f t="shared" si="0"/>
        <v>52</v>
      </c>
      <c r="V2" s="36">
        <f t="shared" si="0"/>
        <v>52.5</v>
      </c>
      <c r="W2" s="36">
        <f t="shared" si="0"/>
        <v>53</v>
      </c>
      <c r="X2" s="36">
        <f t="shared" si="0"/>
        <v>53.5</v>
      </c>
      <c r="Y2" s="36">
        <f t="shared" si="0"/>
        <v>54</v>
      </c>
      <c r="Z2" s="36">
        <f t="shared" si="0"/>
        <v>54.5</v>
      </c>
      <c r="AA2" s="36">
        <f t="shared" si="0"/>
        <v>55</v>
      </c>
      <c r="AB2" s="36">
        <f t="shared" si="0"/>
        <v>55.5</v>
      </c>
    </row>
    <row r="3" spans="2:28" x14ac:dyDescent="0.25">
      <c r="B3" s="1" t="s">
        <v>4</v>
      </c>
      <c r="C3">
        <v>0.5</v>
      </c>
      <c r="J3" s="36">
        <f>$B$62</f>
        <v>0.01</v>
      </c>
      <c r="K3">
        <f>(LN(K$2/$B$59)+($F$61+$F$60^2/2)*$J3)/($F$60*SQRT($J3))</f>
        <v>-1.9772549586479848</v>
      </c>
      <c r="L3">
        <f t="shared" ref="K3:T12" si="1">(LN(L$2/$B$59)+($F$61+$F$60^2/2)*$J3)/($F$60*SQRT($J3))</f>
        <v>-1.635896593146793</v>
      </c>
      <c r="M3">
        <f t="shared" si="1"/>
        <v>-1.2981127264598442</v>
      </c>
      <c r="N3">
        <f t="shared" si="1"/>
        <v>-0.9638292737002766</v>
      </c>
      <c r="O3">
        <f t="shared" si="1"/>
        <v>-0.63297442959740213</v>
      </c>
      <c r="P3">
        <f t="shared" si="1"/>
        <v>-0.30547857591940164</v>
      </c>
      <c r="Q3">
        <f t="shared" si="1"/>
        <v>1.8725806451612904E-2</v>
      </c>
      <c r="R3">
        <f t="shared" si="1"/>
        <v>0.33970422106993842</v>
      </c>
      <c r="S3">
        <f t="shared" si="1"/>
        <v>0.65752023536063653</v>
      </c>
      <c r="T3">
        <f t="shared" si="1"/>
        <v>0.9722355561788526</v>
      </c>
      <c r="U3">
        <f t="shared" ref="U3:AB12" si="2">(LN(U$2/$B$59)+($F$61+$F$60^2/2)*$J3)/($F$60*SQRT($J3))</f>
        <v>1.2839101017187524</v>
      </c>
      <c r="V3">
        <f t="shared" si="2"/>
        <v>1.592602069981679</v>
      </c>
      <c r="W3">
        <f t="shared" si="2"/>
        <v>1.8983680039992201</v>
      </c>
      <c r="X3">
        <f t="shared" si="2"/>
        <v>2.2012628539940278</v>
      </c>
      <c r="Y3">
        <f t="shared" si="2"/>
        <v>2.501340036649303</v>
      </c>
      <c r="Z3">
        <f t="shared" si="2"/>
        <v>2.7986514916468521</v>
      </c>
      <c r="AA3">
        <f t="shared" si="2"/>
        <v>3.0932477356233847</v>
      </c>
      <c r="AB3">
        <f t="shared" si="2"/>
        <v>3.3851779136852533</v>
      </c>
    </row>
    <row r="4" spans="2:28" x14ac:dyDescent="0.25">
      <c r="B4" s="1" t="s">
        <v>3</v>
      </c>
      <c r="J4" s="36">
        <f t="shared" ref="J4:J35" si="3">J3+$C$5</f>
        <v>0.02</v>
      </c>
      <c r="K4">
        <f t="shared" si="1"/>
        <v>-1.3848892446695944</v>
      </c>
      <c r="L4">
        <f t="shared" si="1"/>
        <v>-1.1435124296089456</v>
      </c>
      <c r="M4">
        <f t="shared" si="1"/>
        <v>-0.90466316689919124</v>
      </c>
      <c r="N4">
        <f t="shared" si="1"/>
        <v>-0.66828907061444831</v>
      </c>
      <c r="O4">
        <f t="shared" si="1"/>
        <v>-0.43433936676088775</v>
      </c>
      <c r="P4">
        <f t="shared" si="1"/>
        <v>-0.20276482781469618</v>
      </c>
      <c r="Q4">
        <f t="shared" si="1"/>
        <v>2.6482289450244573E-2</v>
      </c>
      <c r="R4">
        <f t="shared" si="1"/>
        <v>0.25344830304136984</v>
      </c>
      <c r="S4">
        <f t="shared" si="1"/>
        <v>0.4781781619160031</v>
      </c>
      <c r="T4">
        <f t="shared" si="1"/>
        <v>0.70071549940986355</v>
      </c>
      <c r="U4">
        <f t="shared" si="2"/>
        <v>0.92110268408436236</v>
      </c>
      <c r="V4">
        <f t="shared" si="2"/>
        <v>1.1393808681409001</v>
      </c>
      <c r="W4">
        <f t="shared" si="2"/>
        <v>1.355590033540542</v>
      </c>
      <c r="X4">
        <f t="shared" si="2"/>
        <v>1.5697690359583525</v>
      </c>
      <c r="Y4">
        <f t="shared" si="2"/>
        <v>1.7819556466932518</v>
      </c>
      <c r="Z4">
        <f t="shared" si="2"/>
        <v>1.9921865926464577</v>
      </c>
      <c r="AA4">
        <f t="shared" si="2"/>
        <v>2.200497594474351</v>
      </c>
      <c r="AB4">
        <f t="shared" si="2"/>
        <v>2.4069234030148943</v>
      </c>
    </row>
    <row r="5" spans="2:28" x14ac:dyDescent="0.25">
      <c r="B5" s="1" t="s">
        <v>7</v>
      </c>
      <c r="C5">
        <v>0.01</v>
      </c>
      <c r="J5" s="36">
        <f t="shared" si="3"/>
        <v>0.03</v>
      </c>
      <c r="K5">
        <f t="shared" si="1"/>
        <v>-1.1199459838406733</v>
      </c>
      <c r="L5">
        <f t="shared" si="1"/>
        <v>-0.9228626396284294</v>
      </c>
      <c r="M5">
        <f t="shared" si="1"/>
        <v>-0.72784303326880695</v>
      </c>
      <c r="N5">
        <f t="shared" si="1"/>
        <v>-0.53484439183243304</v>
      </c>
      <c r="O5">
        <f t="shared" si="1"/>
        <v>-0.34382525852694684</v>
      </c>
      <c r="P5">
        <f t="shared" si="1"/>
        <v>-0.15474543924746698</v>
      </c>
      <c r="Q5">
        <f t="shared" si="1"/>
        <v>3.2434048186894618E-2</v>
      </c>
      <c r="R5">
        <f t="shared" si="1"/>
        <v>0.21775102227084417</v>
      </c>
      <c r="S5">
        <f t="shared" si="1"/>
        <v>0.4012421836743526</v>
      </c>
      <c r="T5">
        <f t="shared" si="1"/>
        <v>0.582943158866849</v>
      </c>
      <c r="U5">
        <f t="shared" si="2"/>
        <v>0.76288854163386466</v>
      </c>
      <c r="V5">
        <f t="shared" si="2"/>
        <v>0.94111193260714066</v>
      </c>
      <c r="W5">
        <f t="shared" si="2"/>
        <v>1.1176459769211853</v>
      </c>
      <c r="X5">
        <f t="shared" si="2"/>
        <v>1.2925224001018389</v>
      </c>
      <c r="Y5">
        <f t="shared" si="2"/>
        <v>1.4657720422855267</v>
      </c>
      <c r="Z5">
        <f t="shared" si="2"/>
        <v>1.6374248908615205</v>
      </c>
      <c r="AA5">
        <f t="shared" si="2"/>
        <v>1.8075101116236247</v>
      </c>
      <c r="AB5">
        <f t="shared" si="2"/>
        <v>1.9760560785122199</v>
      </c>
    </row>
    <row r="6" spans="2:28" x14ac:dyDescent="0.25">
      <c r="J6" s="36">
        <f t="shared" si="3"/>
        <v>0.04</v>
      </c>
      <c r="K6">
        <f t="shared" si="1"/>
        <v>-0.96053876964657314</v>
      </c>
      <c r="L6">
        <f t="shared" si="1"/>
        <v>-0.78985958689597713</v>
      </c>
      <c r="M6">
        <f t="shared" si="1"/>
        <v>-0.62096765355250272</v>
      </c>
      <c r="N6">
        <f t="shared" si="1"/>
        <v>-0.45382592717271891</v>
      </c>
      <c r="O6">
        <f t="shared" si="1"/>
        <v>-0.28839850512128168</v>
      </c>
      <c r="P6">
        <f t="shared" si="1"/>
        <v>-0.12465057828228146</v>
      </c>
      <c r="Q6">
        <f t="shared" si="1"/>
        <v>3.7451612903225809E-2</v>
      </c>
      <c r="R6">
        <f t="shared" si="1"/>
        <v>0.1979408202123886</v>
      </c>
      <c r="S6">
        <f t="shared" si="1"/>
        <v>0.3568488273577376</v>
      </c>
      <c r="T6">
        <f t="shared" si="1"/>
        <v>0.51420648776684563</v>
      </c>
      <c r="U6">
        <f t="shared" si="2"/>
        <v>0.6700437605367956</v>
      </c>
      <c r="V6">
        <f t="shared" si="2"/>
        <v>0.82438974466825887</v>
      </c>
      <c r="W6">
        <f t="shared" si="2"/>
        <v>0.97727271167702934</v>
      </c>
      <c r="X6">
        <f t="shared" si="2"/>
        <v>1.1287201366744333</v>
      </c>
      <c r="Y6">
        <f t="shared" si="2"/>
        <v>1.2787587280020709</v>
      </c>
      <c r="Z6">
        <f t="shared" si="2"/>
        <v>1.4274144555008454</v>
      </c>
      <c r="AA6">
        <f t="shared" si="2"/>
        <v>1.574712577489112</v>
      </c>
      <c r="AB6">
        <f t="shared" si="2"/>
        <v>1.7206776665200461</v>
      </c>
    </row>
    <row r="7" spans="2:28" x14ac:dyDescent="0.25">
      <c r="J7" s="36">
        <f t="shared" si="3"/>
        <v>0.05</v>
      </c>
      <c r="K7">
        <f t="shared" si="1"/>
        <v>-0.85075755834963751</v>
      </c>
      <c r="L7">
        <f t="shared" si="1"/>
        <v>-0.69809745635986065</v>
      </c>
      <c r="M7">
        <f t="shared" si="1"/>
        <v>-0.54703591883691172</v>
      </c>
      <c r="N7">
        <f t="shared" si="1"/>
        <v>-0.39753981401216526</v>
      </c>
      <c r="O7">
        <f t="shared" si="1"/>
        <v>-0.24957702959234077</v>
      </c>
      <c r="P7">
        <f t="shared" si="1"/>
        <v>-0.10311643135767401</v>
      </c>
      <c r="Q7">
        <f t="shared" si="1"/>
        <v>4.187217615931059E-2</v>
      </c>
      <c r="R7">
        <f t="shared" si="1"/>
        <v>0.18541808703864823</v>
      </c>
      <c r="S7">
        <f t="shared" si="1"/>
        <v>0.3275497294970573</v>
      </c>
      <c r="T7">
        <f t="shared" si="1"/>
        <v>0.46829469967909443</v>
      </c>
      <c r="U7">
        <f t="shared" si="2"/>
        <v>0.60767979381580861</v>
      </c>
      <c r="V7">
        <f t="shared" si="2"/>
        <v>0.74573103884463077</v>
      </c>
      <c r="W7">
        <f t="shared" si="2"/>
        <v>0.88247372157801829</v>
      </c>
      <c r="X7">
        <f t="shared" si="2"/>
        <v>1.0179324165026167</v>
      </c>
      <c r="Y7">
        <f t="shared" si="2"/>
        <v>1.1521310122853798</v>
      </c>
      <c r="Z7">
        <f t="shared" si="2"/>
        <v>1.2850927370581577</v>
      </c>
      <c r="AA7">
        <f t="shared" si="2"/>
        <v>1.416840182547686</v>
      </c>
      <c r="AB7">
        <f t="shared" si="2"/>
        <v>1.5473953271136769</v>
      </c>
    </row>
    <row r="8" spans="2:28" x14ac:dyDescent="0.25">
      <c r="J8" s="36">
        <f t="shared" si="3"/>
        <v>6.0000000000000005E-2</v>
      </c>
      <c r="K8">
        <f t="shared" si="1"/>
        <v>-0.76898706432209518</v>
      </c>
      <c r="L8">
        <f t="shared" si="1"/>
        <v>-0.62962809517069507</v>
      </c>
      <c r="M8">
        <f t="shared" si="1"/>
        <v>-0.49172840904947485</v>
      </c>
      <c r="N8">
        <f t="shared" si="1"/>
        <v>-0.35525776093002392</v>
      </c>
      <c r="O8">
        <f t="shared" si="1"/>
        <v>-0.2201868364333375</v>
      </c>
      <c r="P8">
        <f t="shared" si="1"/>
        <v>-8.6487214035290388E-2</v>
      </c>
      <c r="Q8">
        <f t="shared" si="1"/>
        <v>4.5868670828568874E-2</v>
      </c>
      <c r="R8">
        <f t="shared" si="1"/>
        <v>0.17690755987230128</v>
      </c>
      <c r="S8">
        <f t="shared" si="1"/>
        <v>0.30665540438851741</v>
      </c>
      <c r="T8">
        <f t="shared" si="1"/>
        <v>0.43513739609534036</v>
      </c>
      <c r="U8">
        <f t="shared" si="2"/>
        <v>0.56237799649310594</v>
      </c>
      <c r="V8">
        <f t="shared" si="2"/>
        <v>0.6884009648163707</v>
      </c>
      <c r="W8">
        <f t="shared" si="2"/>
        <v>0.81322938466111816</v>
      </c>
      <c r="X8">
        <f t="shared" si="2"/>
        <v>0.93688568936180672</v>
      </c>
      <c r="Y8">
        <f t="shared" si="2"/>
        <v>1.059391686188035</v>
      </c>
      <c r="Z8">
        <f t="shared" si="2"/>
        <v>1.1807685794261082</v>
      </c>
      <c r="AA8">
        <f t="shared" si="2"/>
        <v>1.301036992406603</v>
      </c>
      <c r="AB8">
        <f t="shared" si="2"/>
        <v>1.4202169885351719</v>
      </c>
    </row>
    <row r="9" spans="2:28" x14ac:dyDescent="0.25">
      <c r="J9" s="36">
        <f t="shared" si="3"/>
        <v>7.0000000000000007E-2</v>
      </c>
      <c r="K9">
        <f t="shared" si="1"/>
        <v>-0.70486599104732706</v>
      </c>
      <c r="L9">
        <f t="shared" si="1"/>
        <v>-0.57584465632337778</v>
      </c>
      <c r="M9">
        <f t="shared" si="1"/>
        <v>-0.44817435516002613</v>
      </c>
      <c r="N9">
        <f t="shared" si="1"/>
        <v>-0.3218270861020513</v>
      </c>
      <c r="O9">
        <f t="shared" si="1"/>
        <v>-0.19677570930815833</v>
      </c>
      <c r="P9">
        <f t="shared" si="1"/>
        <v>-7.2993911560045893E-2</v>
      </c>
      <c r="Q9">
        <f t="shared" si="1"/>
        <v>4.9543826970096606E-2</v>
      </c>
      <c r="R9">
        <f t="shared" si="1"/>
        <v>0.17086226429864926</v>
      </c>
      <c r="S9">
        <f t="shared" si="1"/>
        <v>0.29098542665392596</v>
      </c>
      <c r="T9">
        <f t="shared" si="1"/>
        <v>0.4099366370349129</v>
      </c>
      <c r="U9">
        <f t="shared" si="2"/>
        <v>0.5277385423902915</v>
      </c>
      <c r="V9">
        <f t="shared" si="2"/>
        <v>0.64441313949696966</v>
      </c>
      <c r="W9">
        <f t="shared" si="2"/>
        <v>0.75998179961208367</v>
      </c>
      <c r="X9">
        <f t="shared" si="2"/>
        <v>0.87446529196758016</v>
      </c>
      <c r="Y9">
        <f t="shared" si="2"/>
        <v>0.9878838061719748</v>
      </c>
      <c r="Z9">
        <f t="shared" si="2"/>
        <v>1.1002569735797301</v>
      </c>
      <c r="AA9">
        <f t="shared" si="2"/>
        <v>1.2116038876848181</v>
      </c>
      <c r="AB9">
        <f t="shared" si="2"/>
        <v>1.321943123591462</v>
      </c>
    </row>
    <row r="10" spans="2:28" x14ac:dyDescent="0.25">
      <c r="J10" s="36">
        <f t="shared" si="3"/>
        <v>0.08</v>
      </c>
      <c r="K10">
        <f t="shared" si="1"/>
        <v>-0.65272118815943037</v>
      </c>
      <c r="L10">
        <f t="shared" si="1"/>
        <v>-0.53203278062910586</v>
      </c>
      <c r="M10">
        <f t="shared" si="1"/>
        <v>-0.41260814927422879</v>
      </c>
      <c r="N10">
        <f t="shared" si="1"/>
        <v>-0.29442110113185727</v>
      </c>
      <c r="O10">
        <f t="shared" si="1"/>
        <v>-0.17744624920507698</v>
      </c>
      <c r="P10">
        <f t="shared" si="1"/>
        <v>-6.1658979731981235E-2</v>
      </c>
      <c r="Q10">
        <f t="shared" si="1"/>
        <v>5.2964578900489147E-2</v>
      </c>
      <c r="R10">
        <f t="shared" si="1"/>
        <v>0.16644758569605178</v>
      </c>
      <c r="S10">
        <f t="shared" si="1"/>
        <v>0.27881251513336841</v>
      </c>
      <c r="T10">
        <f t="shared" si="1"/>
        <v>0.39008118388029861</v>
      </c>
      <c r="U10">
        <f t="shared" si="2"/>
        <v>0.50027477621754801</v>
      </c>
      <c r="V10">
        <f t="shared" si="2"/>
        <v>0.60941386824581689</v>
      </c>
      <c r="W10">
        <f t="shared" si="2"/>
        <v>0.71751845094563771</v>
      </c>
      <c r="X10">
        <f t="shared" si="2"/>
        <v>0.82460795215454308</v>
      </c>
      <c r="Y10">
        <f t="shared" si="2"/>
        <v>0.93070125752199273</v>
      </c>
      <c r="Z10">
        <f t="shared" si="2"/>
        <v>1.0358167304985957</v>
      </c>
      <c r="AA10">
        <f t="shared" si="2"/>
        <v>1.1399722314125422</v>
      </c>
      <c r="AB10">
        <f t="shared" si="2"/>
        <v>1.2431851356828141</v>
      </c>
    </row>
    <row r="11" spans="2:28" x14ac:dyDescent="0.25">
      <c r="J11" s="36">
        <f t="shared" si="3"/>
        <v>0.09</v>
      </c>
      <c r="K11">
        <f t="shared" si="1"/>
        <v>-0.60914950234502718</v>
      </c>
      <c r="L11">
        <f t="shared" si="1"/>
        <v>-0.49536338051129652</v>
      </c>
      <c r="M11">
        <f t="shared" si="1"/>
        <v>-0.3827687582823136</v>
      </c>
      <c r="N11">
        <f t="shared" si="1"/>
        <v>-0.27134094069579112</v>
      </c>
      <c r="O11">
        <f t="shared" si="1"/>
        <v>-0.16105599266149964</v>
      </c>
      <c r="P11">
        <f t="shared" si="1"/>
        <v>-5.1890708102166137E-2</v>
      </c>
      <c r="Q11">
        <f t="shared" si="1"/>
        <v>5.6177419354838713E-2</v>
      </c>
      <c r="R11">
        <f t="shared" si="1"/>
        <v>0.1631702242276139</v>
      </c>
      <c r="S11">
        <f t="shared" si="1"/>
        <v>0.26910889565784657</v>
      </c>
      <c r="T11">
        <f t="shared" si="1"/>
        <v>0.37401400259725187</v>
      </c>
      <c r="U11">
        <f t="shared" si="2"/>
        <v>0.47790551777721862</v>
      </c>
      <c r="V11">
        <f t="shared" si="2"/>
        <v>0.58080284053152742</v>
      </c>
      <c r="W11">
        <f t="shared" si="2"/>
        <v>0.68272481853737454</v>
      </c>
      <c r="X11">
        <f t="shared" si="2"/>
        <v>0.78368976853564365</v>
      </c>
      <c r="Y11">
        <f t="shared" si="2"/>
        <v>0.88371549608740196</v>
      </c>
      <c r="Z11">
        <f t="shared" si="2"/>
        <v>0.98281931441991854</v>
      </c>
      <c r="AA11">
        <f t="shared" si="2"/>
        <v>1.081018062412096</v>
      </c>
      <c r="AB11">
        <f t="shared" si="2"/>
        <v>1.1783281217660522</v>
      </c>
    </row>
    <row r="12" spans="2:28" x14ac:dyDescent="0.25">
      <c r="J12" s="36">
        <f t="shared" si="3"/>
        <v>9.9999999999999992E-2</v>
      </c>
      <c r="K12">
        <f t="shared" si="1"/>
        <v>-0.57196833894945243</v>
      </c>
      <c r="L12">
        <f t="shared" si="1"/>
        <v>-0.46402134561585123</v>
      </c>
      <c r="M12">
        <f t="shared" si="1"/>
        <v>-0.35720470805690796</v>
      </c>
      <c r="N12">
        <f t="shared" si="1"/>
        <v>-0.25149499857435476</v>
      </c>
      <c r="O12">
        <f t="shared" si="1"/>
        <v>-0.14686951034785356</v>
      </c>
      <c r="P12">
        <f t="shared" si="1"/>
        <v>-4.3306228159482249E-2</v>
      </c>
      <c r="Q12">
        <f t="shared" si="1"/>
        <v>5.92161994105724E-2</v>
      </c>
      <c r="R12">
        <f t="shared" si="1"/>
        <v>0.16071848640495184</v>
      </c>
      <c r="S12">
        <f t="shared" si="1"/>
        <v>0.26122073460847473</v>
      </c>
      <c r="T12">
        <f t="shared" si="1"/>
        <v>0.36074245744209166</v>
      </c>
      <c r="U12">
        <f t="shared" si="2"/>
        <v>0.45930260270248741</v>
      </c>
      <c r="V12">
        <f t="shared" si="2"/>
        <v>0.55691957421361327</v>
      </c>
      <c r="W12">
        <f t="shared" si="2"/>
        <v>0.65361125245203222</v>
      </c>
      <c r="X12">
        <f t="shared" si="2"/>
        <v>0.74939501420389554</v>
      </c>
      <c r="Y12">
        <f t="shared" si="2"/>
        <v>0.84428775130759981</v>
      </c>
      <c r="Z12">
        <f t="shared" si="2"/>
        <v>0.93830588853269037</v>
      </c>
      <c r="AA12">
        <f t="shared" si="2"/>
        <v>1.0314654006423407</v>
      </c>
      <c r="AB12">
        <f t="shared" si="2"/>
        <v>1.1237818286837431</v>
      </c>
    </row>
    <row r="13" spans="2:28" x14ac:dyDescent="0.25">
      <c r="J13" s="36">
        <f t="shared" si="3"/>
        <v>0.10999999999999999</v>
      </c>
      <c r="K13">
        <f t="shared" ref="K13:T22" si="4">(LN(K$2/$B$59)+($F$61+$F$60^2/2)*$J13)/($F$60*SQRT($J13))</f>
        <v>-0.53970437033971663</v>
      </c>
      <c r="L13">
        <f t="shared" si="4"/>
        <v>-0.4367809505745846</v>
      </c>
      <c r="M13">
        <f t="shared" si="4"/>
        <v>-0.33493528275312662</v>
      </c>
      <c r="N13">
        <f t="shared" si="4"/>
        <v>-0.2341450294414921</v>
      </c>
      <c r="O13">
        <f t="shared" si="4"/>
        <v>-0.13438854053596805</v>
      </c>
      <c r="P13">
        <f t="shared" si="4"/>
        <v>-3.5644825349871567E-2</v>
      </c>
      <c r="Q13">
        <f t="shared" si="4"/>
        <v>6.2106473896816443E-2</v>
      </c>
      <c r="R13">
        <f t="shared" si="4"/>
        <v>0.15888510726882668</v>
      </c>
      <c r="S13">
        <f t="shared" si="4"/>
        <v>0.2547102410659608</v>
      </c>
      <c r="T13">
        <f t="shared" si="4"/>
        <v>0.34960048060508336</v>
      </c>
      <c r="U13">
        <f t="shared" ref="U13:AB22" si="5">(LN(U$2/$B$59)+($F$61+$F$60^2/2)*$J13)/($F$60*SQRT($J13))</f>
        <v>0.44357389190148211</v>
      </c>
      <c r="V13">
        <f t="shared" si="5"/>
        <v>0.5366480223127934</v>
      </c>
      <c r="W13">
        <f t="shared" si="5"/>
        <v>0.62883992020449797</v>
      </c>
      <c r="X13">
        <f t="shared" si="5"/>
        <v>0.72016615369211245</v>
      </c>
      <c r="Y13">
        <f t="shared" si="5"/>
        <v>0.81064282851161162</v>
      </c>
      <c r="Z13">
        <f t="shared" si="5"/>
        <v>0.90028560506629396</v>
      </c>
      <c r="AA13">
        <f t="shared" si="5"/>
        <v>0.98910971469521736</v>
      </c>
      <c r="AB13">
        <f t="shared" si="5"/>
        <v>1.0771299752054773</v>
      </c>
    </row>
    <row r="14" spans="2:28" x14ac:dyDescent="0.25">
      <c r="J14" s="36">
        <f t="shared" si="3"/>
        <v>0.11999999999999998</v>
      </c>
      <c r="K14">
        <f t="shared" si="4"/>
        <v>-0.51132191963999474</v>
      </c>
      <c r="L14">
        <f t="shared" si="4"/>
        <v>-0.41278024753387282</v>
      </c>
      <c r="M14">
        <f t="shared" si="4"/>
        <v>-0.31527044435406154</v>
      </c>
      <c r="N14">
        <f t="shared" si="4"/>
        <v>-0.21877112363587464</v>
      </c>
      <c r="O14">
        <f t="shared" si="4"/>
        <v>-0.12326155698313151</v>
      </c>
      <c r="P14">
        <f t="shared" si="4"/>
        <v>-2.8721647343391568E-2</v>
      </c>
      <c r="Q14">
        <f t="shared" si="4"/>
        <v>6.4868096373789236E-2</v>
      </c>
      <c r="R14">
        <f t="shared" si="4"/>
        <v>0.15752658341576403</v>
      </c>
      <c r="S14">
        <f t="shared" si="4"/>
        <v>0.24927216411751826</v>
      </c>
      <c r="T14">
        <f t="shared" si="4"/>
        <v>0.34012265171376649</v>
      </c>
      <c r="U14">
        <f t="shared" si="5"/>
        <v>0.43009534309727432</v>
      </c>
      <c r="V14">
        <f t="shared" si="5"/>
        <v>0.51920703858391226</v>
      </c>
      <c r="W14">
        <f t="shared" si="5"/>
        <v>0.60747406074093468</v>
      </c>
      <c r="X14">
        <f t="shared" si="5"/>
        <v>0.69491227233126152</v>
      </c>
      <c r="Y14">
        <f t="shared" si="5"/>
        <v>0.78153709342310529</v>
      </c>
      <c r="Z14">
        <f t="shared" si="5"/>
        <v>0.86736351771110243</v>
      </c>
      <c r="AA14">
        <f t="shared" si="5"/>
        <v>0.95240612809215441</v>
      </c>
      <c r="AB14">
        <f t="shared" si="5"/>
        <v>1.036679111536452</v>
      </c>
    </row>
    <row r="15" spans="2:28" x14ac:dyDescent="0.25">
      <c r="J15" s="36">
        <f t="shared" si="3"/>
        <v>0.12999999999999998</v>
      </c>
      <c r="K15">
        <f t="shared" si="4"/>
        <v>-0.48606860569556026</v>
      </c>
      <c r="L15">
        <f t="shared" si="4"/>
        <v>-0.39139282953224291</v>
      </c>
      <c r="M15">
        <f t="shared" si="4"/>
        <v>-0.29770844096575938</v>
      </c>
      <c r="N15">
        <f t="shared" si="4"/>
        <v>-0.20499489254546976</v>
      </c>
      <c r="O15">
        <f t="shared" si="4"/>
        <v>-0.11323226907250371</v>
      </c>
      <c r="P15">
        <f t="shared" si="4"/>
        <v>-2.2401261923435792E-2</v>
      </c>
      <c r="Q15">
        <f t="shared" si="4"/>
        <v>6.7516855335704701E-2</v>
      </c>
      <c r="R15">
        <f t="shared" si="4"/>
        <v>0.15654025012212877</v>
      </c>
      <c r="S15">
        <f t="shared" si="4"/>
        <v>0.24468655286741398</v>
      </c>
      <c r="T15">
        <f t="shared" si="4"/>
        <v>0.33197287797388925</v>
      </c>
      <c r="U15">
        <f t="shared" si="5"/>
        <v>0.41841584375858504</v>
      </c>
      <c r="V15">
        <f t="shared" si="5"/>
        <v>0.50403159144288379</v>
      </c>
      <c r="W15">
        <f t="shared" si="5"/>
        <v>0.58883580324214402</v>
      </c>
      <c r="X15">
        <f t="shared" si="5"/>
        <v>0.67284371960600964</v>
      </c>
      <c r="Y15">
        <f t="shared" si="5"/>
        <v>0.75607015565680724</v>
      </c>
      <c r="Z15">
        <f t="shared" si="5"/>
        <v>0.83852951687038157</v>
      </c>
      <c r="AA15">
        <f t="shared" si="5"/>
        <v>0.92023581404088084</v>
      </c>
      <c r="AB15">
        <f t="shared" si="5"/>
        <v>1.0012026775683731</v>
      </c>
    </row>
    <row r="16" spans="2:28" x14ac:dyDescent="0.25">
      <c r="J16" s="36">
        <f t="shared" si="3"/>
        <v>0.13999999999999999</v>
      </c>
      <c r="K16">
        <f t="shared" si="4"/>
        <v>-0.46338274608085295</v>
      </c>
      <c r="L16">
        <f t="shared" si="4"/>
        <v>-0.37215088537980912</v>
      </c>
      <c r="M16">
        <f t="shared" si="4"/>
        <v>-0.28187434967107439</v>
      </c>
      <c r="N16">
        <f t="shared" si="4"/>
        <v>-0.19253333893577912</v>
      </c>
      <c r="O16">
        <f t="shared" si="4"/>
        <v>-0.10410866240810333</v>
      </c>
      <c r="P16">
        <f t="shared" si="4"/>
        <v>-1.65817138329513E-2</v>
      </c>
      <c r="Q16">
        <f t="shared" si="4"/>
        <v>7.0065552032976555E-2</v>
      </c>
      <c r="R16">
        <f t="shared" si="4"/>
        <v>0.15585064175095134</v>
      </c>
      <c r="S16">
        <f t="shared" si="4"/>
        <v>0.24079054442994011</v>
      </c>
      <c r="T16">
        <f t="shared" si="4"/>
        <v>0.3249017519206836</v>
      </c>
      <c r="U16">
        <f t="shared" si="5"/>
        <v>0.40820027803416775</v>
      </c>
      <c r="V16">
        <f t="shared" si="5"/>
        <v>0.49070167684050819</v>
      </c>
      <c r="W16">
        <f t="shared" si="5"/>
        <v>0.57242106010054861</v>
      </c>
      <c r="X16">
        <f t="shared" si="5"/>
        <v>0.6533731138790384</v>
      </c>
      <c r="Y16">
        <f t="shared" si="5"/>
        <v>0.73357211438506864</v>
      </c>
      <c r="Z16">
        <f t="shared" si="5"/>
        <v>0.81303194308250348</v>
      </c>
      <c r="AA16">
        <f t="shared" si="5"/>
        <v>0.89176610111040722</v>
      </c>
      <c r="AB16">
        <f t="shared" si="5"/>
        <v>0.96978772305093741</v>
      </c>
    </row>
    <row r="17" spans="10:28" x14ac:dyDescent="0.25">
      <c r="J17" s="36">
        <f t="shared" si="3"/>
        <v>0.15</v>
      </c>
      <c r="K17">
        <f t="shared" si="4"/>
        <v>-0.44283528097400515</v>
      </c>
      <c r="L17">
        <f t="shared" si="4"/>
        <v>-0.3546969299956918</v>
      </c>
      <c r="M17">
        <f t="shared" si="4"/>
        <v>-0.26748151064261849</v>
      </c>
      <c r="N17">
        <f t="shared" si="4"/>
        <v>-0.18116989427925059</v>
      </c>
      <c r="O17">
        <f t="shared" si="4"/>
        <v>-9.5743540864418344E-2</v>
      </c>
      <c r="P17">
        <f t="shared" si="4"/>
        <v>-1.1184475047959873E-2</v>
      </c>
      <c r="Q17">
        <f t="shared" si="4"/>
        <v>7.252473653140018E-2</v>
      </c>
      <c r="R17">
        <f t="shared" si="4"/>
        <v>0.15540100681865579</v>
      </c>
      <c r="S17">
        <f t="shared" si="4"/>
        <v>0.23746074885238191</v>
      </c>
      <c r="T17">
        <f t="shared" si="4"/>
        <v>0.31871989527406691</v>
      </c>
      <c r="U17">
        <f t="shared" si="5"/>
        <v>0.39919391689492012</v>
      </c>
      <c r="V17">
        <f t="shared" si="5"/>
        <v>0.47889784037427363</v>
      </c>
      <c r="W17">
        <f t="shared" si="5"/>
        <v>0.55784626506010637</v>
      </c>
      <c r="X17">
        <f t="shared" si="5"/>
        <v>0.6360533790388988</v>
      </c>
      <c r="Y17">
        <f t="shared" si="5"/>
        <v>0.71353297443894692</v>
      </c>
      <c r="Z17">
        <f t="shared" si="5"/>
        <v>0.79029846202842702</v>
      </c>
      <c r="AA17">
        <f t="shared" si="5"/>
        <v>0.86636288514685178</v>
      </c>
      <c r="AB17">
        <f t="shared" si="5"/>
        <v>0.94173893300611722</v>
      </c>
    </row>
    <row r="18" spans="10:28" x14ac:dyDescent="0.25">
      <c r="J18" s="36">
        <f t="shared" si="3"/>
        <v>0.16</v>
      </c>
      <c r="K18">
        <f t="shared" si="4"/>
        <v>-0.4240919654684478</v>
      </c>
      <c r="L18">
        <f t="shared" si="4"/>
        <v>-0.33875237409314979</v>
      </c>
      <c r="M18">
        <f t="shared" si="4"/>
        <v>-0.25430640742141264</v>
      </c>
      <c r="N18">
        <f t="shared" si="4"/>
        <v>-0.17073554423152074</v>
      </c>
      <c r="O18">
        <f t="shared" si="4"/>
        <v>-8.8021833205802133E-2</v>
      </c>
      <c r="P18">
        <f t="shared" si="4"/>
        <v>-6.1478697863020116E-3</v>
      </c>
      <c r="Q18">
        <f t="shared" si="4"/>
        <v>7.4903225806451618E-2</v>
      </c>
      <c r="R18">
        <f t="shared" si="4"/>
        <v>0.155147829461033</v>
      </c>
      <c r="S18">
        <f t="shared" si="4"/>
        <v>0.23460183303370752</v>
      </c>
      <c r="T18">
        <f t="shared" si="4"/>
        <v>0.31328066323826154</v>
      </c>
      <c r="U18">
        <f t="shared" si="5"/>
        <v>0.39119929962323652</v>
      </c>
      <c r="V18">
        <f t="shared" si="5"/>
        <v>0.46837229168896816</v>
      </c>
      <c r="W18">
        <f t="shared" si="5"/>
        <v>0.5448137751933535</v>
      </c>
      <c r="X18">
        <f t="shared" si="5"/>
        <v>0.62053748769205541</v>
      </c>
      <c r="Y18">
        <f t="shared" si="5"/>
        <v>0.69555678335587423</v>
      </c>
      <c r="Z18">
        <f t="shared" si="5"/>
        <v>0.76988464710526139</v>
      </c>
      <c r="AA18">
        <f t="shared" si="5"/>
        <v>0.84353370809939465</v>
      </c>
      <c r="AB18">
        <f t="shared" si="5"/>
        <v>0.9165162526148618</v>
      </c>
    </row>
    <row r="19" spans="10:28" x14ac:dyDescent="0.25">
      <c r="J19" s="36">
        <f t="shared" si="3"/>
        <v>0.17</v>
      </c>
      <c r="K19">
        <f t="shared" si="4"/>
        <v>-0.4068879644990564</v>
      </c>
      <c r="L19">
        <f t="shared" si="4"/>
        <v>-0.32409639996084377</v>
      </c>
      <c r="M19">
        <f t="shared" si="4"/>
        <v>-0.24217177872673529</v>
      </c>
      <c r="N19">
        <f t="shared" si="4"/>
        <v>-0.16109613257239011</v>
      </c>
      <c r="O19">
        <f t="shared" si="4"/>
        <v>-8.0852046161600938E-2</v>
      </c>
      <c r="P19">
        <f t="shared" si="4"/>
        <v>-1.4226345929996402E-3</v>
      </c>
      <c r="Q19">
        <f t="shared" si="4"/>
        <v>7.7208477924872662E-2</v>
      </c>
      <c r="R19">
        <f t="shared" si="4"/>
        <v>0.15505717833749949</v>
      </c>
      <c r="S19">
        <f t="shared" si="4"/>
        <v>0.23213888401005006</v>
      </c>
      <c r="T19">
        <f t="shared" si="4"/>
        <v>0.30846856105320619</v>
      </c>
      <c r="U19">
        <f t="shared" si="5"/>
        <v>0.38406074176364086</v>
      </c>
      <c r="V19">
        <f t="shared" si="5"/>
        <v>0.45892954122998558</v>
      </c>
      <c r="W19">
        <f t="shared" si="5"/>
        <v>0.53308867315174802</v>
      </c>
      <c r="X19">
        <f t="shared" si="5"/>
        <v>0.60655146491552503</v>
      </c>
      <c r="Y19">
        <f t="shared" si="5"/>
        <v>0.67933087196996411</v>
      </c>
      <c r="Z19">
        <f t="shared" si="5"/>
        <v>0.75143949153825618</v>
      </c>
      <c r="AA19">
        <f t="shared" si="5"/>
        <v>0.82288957570446064</v>
      </c>
      <c r="AB19">
        <f t="shared" si="5"/>
        <v>0.89369304390766391</v>
      </c>
    </row>
    <row r="20" spans="10:28" x14ac:dyDescent="0.25">
      <c r="J20" s="36">
        <f t="shared" si="3"/>
        <v>0.18000000000000002</v>
      </c>
      <c r="K20">
        <f t="shared" si="4"/>
        <v>-0.39101030968921258</v>
      </c>
      <c r="L20">
        <f t="shared" si="4"/>
        <v>-0.31055137133566296</v>
      </c>
      <c r="M20">
        <f t="shared" si="4"/>
        <v>-0.23093495043241155</v>
      </c>
      <c r="N20">
        <f t="shared" si="4"/>
        <v>-0.15214358500416389</v>
      </c>
      <c r="O20">
        <f t="shared" si="4"/>
        <v>-7.4160350386310359E-2</v>
      </c>
      <c r="P20">
        <f t="shared" si="4"/>
        <v>3.0311625957534696E-3</v>
      </c>
      <c r="Q20">
        <f t="shared" si="4"/>
        <v>7.9446868350733724E-2</v>
      </c>
      <c r="R20">
        <f t="shared" si="4"/>
        <v>0.15510220621444212</v>
      </c>
      <c r="S20">
        <f t="shared" si="4"/>
        <v>0.23001215917265319</v>
      </c>
      <c r="T20">
        <f t="shared" si="4"/>
        <v>0.30419127167060672</v>
      </c>
      <c r="U20">
        <f t="shared" si="5"/>
        <v>0.37765366656210625</v>
      </c>
      <c r="V20">
        <f t="shared" si="5"/>
        <v>0.45041306124761882</v>
      </c>
      <c r="W20">
        <f t="shared" si="5"/>
        <v>0.5224827830474994</v>
      </c>
      <c r="X20">
        <f t="shared" si="5"/>
        <v>0.59387578385343631</v>
      </c>
      <c r="Y20">
        <f t="shared" si="5"/>
        <v>0.66460465409840275</v>
      </c>
      <c r="Z20">
        <f t="shared" si="5"/>
        <v>0.73468163608280468</v>
      </c>
      <c r="AA20">
        <f t="shared" si="5"/>
        <v>0.80411863669210237</v>
      </c>
      <c r="AB20">
        <f t="shared" si="5"/>
        <v>0.87292723953895024</v>
      </c>
    </row>
    <row r="21" spans="10:28" x14ac:dyDescent="0.25">
      <c r="J21" s="36">
        <f t="shared" si="3"/>
        <v>0.19000000000000003</v>
      </c>
      <c r="K21">
        <f t="shared" si="4"/>
        <v>-0.37628549405796691</v>
      </c>
      <c r="L21">
        <f t="shared" si="4"/>
        <v>-0.2979725141236555</v>
      </c>
      <c r="M21">
        <f t="shared" si="4"/>
        <v>-0.22047958045803315</v>
      </c>
      <c r="N21">
        <f t="shared" si="4"/>
        <v>-0.14378969682241172</v>
      </c>
      <c r="O21">
        <f t="shared" si="4"/>
        <v>-6.788638995792047E-2</v>
      </c>
      <c r="P21">
        <f t="shared" si="4"/>
        <v>7.2463116531841162E-3</v>
      </c>
      <c r="Q21">
        <f t="shared" si="4"/>
        <v>8.1623897958882627E-2</v>
      </c>
      <c r="R21">
        <f t="shared" si="4"/>
        <v>0.15526139650515525</v>
      </c>
      <c r="S21">
        <f t="shared" si="4"/>
        <v>0.22817339065947267</v>
      </c>
      <c r="T21">
        <f t="shared" si="4"/>
        <v>0.30037403694529297</v>
      </c>
      <c r="U21">
        <f t="shared" si="5"/>
        <v>0.37187708153910298</v>
      </c>
      <c r="V21">
        <f t="shared" si="5"/>
        <v>0.4426958759780904</v>
      </c>
      <c r="W21">
        <f t="shared" si="5"/>
        <v>0.51284339212334229</v>
      </c>
      <c r="X21">
        <f t="shared" si="5"/>
        <v>0.58233223642051479</v>
      </c>
      <c r="Y21">
        <f t="shared" si="5"/>
        <v>0.65117466349718545</v>
      </c>
      <c r="Z21">
        <f t="shared" si="5"/>
        <v>0.71938258913357256</v>
      </c>
      <c r="AA21">
        <f t="shared" si="5"/>
        <v>0.78696760264096</v>
      </c>
      <c r="AB21">
        <f t="shared" si="5"/>
        <v>0.85394097867998731</v>
      </c>
    </row>
    <row r="22" spans="10:28" x14ac:dyDescent="0.25">
      <c r="J22" s="36">
        <f t="shared" si="3"/>
        <v>0.20000000000000004</v>
      </c>
      <c r="K22">
        <f t="shared" si="4"/>
        <v>-0.36257051493585279</v>
      </c>
      <c r="L22">
        <f t="shared" si="4"/>
        <v>-0.28624046394096436</v>
      </c>
      <c r="M22">
        <f t="shared" si="4"/>
        <v>-0.21070969517948998</v>
      </c>
      <c r="N22">
        <f t="shared" si="4"/>
        <v>-0.13596164276711672</v>
      </c>
      <c r="O22">
        <f t="shared" si="4"/>
        <v>-6.1980250557204464E-2</v>
      </c>
      <c r="P22">
        <f t="shared" si="4"/>
        <v>1.1250048560128888E-2</v>
      </c>
      <c r="Q22">
        <f t="shared" si="4"/>
        <v>8.3744352318621165E-2</v>
      </c>
      <c r="R22">
        <f t="shared" si="4"/>
        <v>0.15551730775828995</v>
      </c>
      <c r="S22">
        <f t="shared" si="4"/>
        <v>0.22658312898749447</v>
      </c>
      <c r="T22">
        <f t="shared" si="4"/>
        <v>0.29695561407851306</v>
      </c>
      <c r="U22">
        <f t="shared" si="5"/>
        <v>0.3666481611468701</v>
      </c>
      <c r="V22">
        <f t="shared" si="5"/>
        <v>0.43567378366128118</v>
      </c>
      <c r="W22">
        <f t="shared" si="5"/>
        <v>0.50404512502797494</v>
      </c>
      <c r="X22">
        <f t="shared" si="5"/>
        <v>0.57177447249027413</v>
      </c>
      <c r="Y22">
        <f t="shared" si="5"/>
        <v>0.63887377038165571</v>
      </c>
      <c r="Z22">
        <f t="shared" si="5"/>
        <v>0.70535463276804466</v>
      </c>
      <c r="AA22">
        <f t="shared" si="5"/>
        <v>0.77122835551280866</v>
      </c>
      <c r="AB22">
        <f t="shared" si="5"/>
        <v>0.83650592779580424</v>
      </c>
    </row>
    <row r="23" spans="10:28" x14ac:dyDescent="0.25">
      <c r="J23" s="36">
        <f t="shared" si="3"/>
        <v>0.21000000000000005</v>
      </c>
      <c r="K23">
        <f t="shared" ref="K23:T32" si="6">(LN(K$2/$B$59)+($F$61+$F$60^2/2)*$J23)/($F$60*SQRT($J23))</f>
        <v>-0.34974628599804747</v>
      </c>
      <c r="L23">
        <f t="shared" si="6"/>
        <v>-0.27525578366397063</v>
      </c>
      <c r="M23">
        <f t="shared" si="6"/>
        <v>-0.20154530091978898</v>
      </c>
      <c r="N23">
        <f t="shared" si="6"/>
        <v>-0.12859867111779313</v>
      </c>
      <c r="O23">
        <f t="shared" si="6"/>
        <v>-5.6400225063305706E-2</v>
      </c>
      <c r="P23">
        <f t="shared" si="6"/>
        <v>1.5065229187342823E-2</v>
      </c>
      <c r="Q23">
        <f t="shared" si="6"/>
        <v>8.581242551360857E-2</v>
      </c>
      <c r="R23">
        <f t="shared" si="6"/>
        <v>0.15585565796291317</v>
      </c>
      <c r="S23">
        <f t="shared" si="6"/>
        <v>0.22520879808464128</v>
      </c>
      <c r="T23">
        <f t="shared" si="6"/>
        <v>0.29388531141853591</v>
      </c>
      <c r="U23">
        <f t="shared" ref="U23:AB32" si="7">(LN(U$2/$B$59)+($F$61+$F$60^2/2)*$J23)/($F$60*SQRT($J23))</f>
        <v>0.36189827318651457</v>
      </c>
      <c r="V23">
        <f t="shared" si="7"/>
        <v>0.42926038323364635</v>
      </c>
      <c r="W23">
        <f t="shared" si="7"/>
        <v>0.49598398026099183</v>
      </c>
      <c r="X23">
        <f t="shared" si="7"/>
        <v>0.56208105539020614</v>
      </c>
      <c r="Y23">
        <f t="shared" si="7"/>
        <v>0.62756326509720084</v>
      </c>
      <c r="Z23">
        <f t="shared" si="7"/>
        <v>0.69244194354975919</v>
      </c>
      <c r="AA23">
        <f t="shared" si="7"/>
        <v>0.7567281143817659</v>
      </c>
      <c r="AB23">
        <f t="shared" si="7"/>
        <v>0.82043250193464434</v>
      </c>
    </row>
    <row r="24" spans="10:28" x14ac:dyDescent="0.25">
      <c r="J24" s="36">
        <f t="shared" si="3"/>
        <v>0.22000000000000006</v>
      </c>
      <c r="K24">
        <f t="shared" si="6"/>
        <v>-0.33771271125520513</v>
      </c>
      <c r="L24">
        <f t="shared" si="6"/>
        <v>-0.26493486319637072</v>
      </c>
      <c r="M24">
        <f t="shared" si="6"/>
        <v>-0.19291910084534522</v>
      </c>
      <c r="N24">
        <f t="shared" si="6"/>
        <v>-0.12164962925117859</v>
      </c>
      <c r="O24">
        <f t="shared" si="6"/>
        <v>-5.1111139478721965E-2</v>
      </c>
      <c r="P24">
        <f t="shared" si="6"/>
        <v>1.8711211128919904E-2</v>
      </c>
      <c r="Q24">
        <f t="shared" si="6"/>
        <v>8.783181769604842E-2</v>
      </c>
      <c r="R24">
        <f t="shared" si="6"/>
        <v>0.15626464562736356</v>
      </c>
      <c r="S24">
        <f t="shared" si="6"/>
        <v>0.22402324754342529</v>
      </c>
      <c r="T24">
        <f t="shared" si="6"/>
        <v>0.29112077938995473</v>
      </c>
      <c r="U24">
        <f t="shared" si="7"/>
        <v>0.35757001576887071</v>
      </c>
      <c r="V24">
        <f t="shared" si="7"/>
        <v>0.42338336453574993</v>
      </c>
      <c r="W24">
        <f t="shared" si="7"/>
        <v>0.48857288070543203</v>
      </c>
      <c r="X24">
        <f t="shared" si="7"/>
        <v>0.55315027970475017</v>
      </c>
      <c r="Y24">
        <f t="shared" si="7"/>
        <v>0.61712695000882822</v>
      </c>
      <c r="Z24">
        <f t="shared" si="7"/>
        <v>0.68051396519503449</v>
      </c>
      <c r="AA24">
        <f t="shared" si="7"/>
        <v>0.74332209544650341</v>
      </c>
      <c r="AB24">
        <f t="shared" si="7"/>
        <v>0.80556181853511466</v>
      </c>
    </row>
    <row r="25" spans="10:28" x14ac:dyDescent="0.25">
      <c r="J25" s="36">
        <f t="shared" si="3"/>
        <v>0.23000000000000007</v>
      </c>
      <c r="K25">
        <f t="shared" si="6"/>
        <v>-0.32638494682383645</v>
      </c>
      <c r="L25">
        <f t="shared" si="6"/>
        <v>-0.25520680725787465</v>
      </c>
      <c r="M25">
        <f t="shared" si="6"/>
        <v>-0.18477400221771248</v>
      </c>
      <c r="N25">
        <f t="shared" si="6"/>
        <v>-0.11507108393657546</v>
      </c>
      <c r="O25">
        <f t="shared" si="6"/>
        <v>-4.6083079980519782E-2</v>
      </c>
      <c r="P25">
        <f t="shared" si="6"/>
        <v>2.2204526055269968E-2</v>
      </c>
      <c r="Q25">
        <f t="shared" si="6"/>
        <v>8.9805812880097868E-2</v>
      </c>
      <c r="R25">
        <f t="shared" si="6"/>
        <v>0.1567344389292068</v>
      </c>
      <c r="S25">
        <f t="shared" si="6"/>
        <v>0.22300365892698656</v>
      </c>
      <c r="T25">
        <f t="shared" si="6"/>
        <v>0.28862633964218121</v>
      </c>
      <c r="U25">
        <f t="shared" si="7"/>
        <v>0.35361497488193849</v>
      </c>
      <c r="V25">
        <f t="shared" si="7"/>
        <v>0.41798169976840771</v>
      </c>
      <c r="W25">
        <f t="shared" si="7"/>
        <v>0.48173830433868947</v>
      </c>
      <c r="X25">
        <f t="shared" si="7"/>
        <v>0.54489624650626234</v>
      </c>
      <c r="Y25">
        <f t="shared" si="7"/>
        <v>0.60746666441952479</v>
      </c>
      <c r="Z25">
        <f t="shared" si="7"/>
        <v>0.66946038825079512</v>
      </c>
      <c r="AA25">
        <f t="shared" si="7"/>
        <v>0.73088795144697694</v>
      </c>
      <c r="AB25">
        <f t="shared" si="7"/>
        <v>0.7917596014711249</v>
      </c>
    </row>
    <row r="26" spans="10:28" x14ac:dyDescent="0.25">
      <c r="J26" s="36">
        <f t="shared" si="3"/>
        <v>0.24000000000000007</v>
      </c>
      <c r="K26">
        <f t="shared" si="6"/>
        <v>-0.31569052591819419</v>
      </c>
      <c r="L26">
        <f t="shared" si="6"/>
        <v>-0.24601104134249416</v>
      </c>
      <c r="M26">
        <f t="shared" si="6"/>
        <v>-0.17706119828188405</v>
      </c>
      <c r="N26">
        <f t="shared" si="6"/>
        <v>-0.10882587422215859</v>
      </c>
      <c r="O26">
        <f t="shared" si="6"/>
        <v>-4.1290411973815409E-2</v>
      </c>
      <c r="P26">
        <f t="shared" si="6"/>
        <v>2.5559399225208137E-2</v>
      </c>
      <c r="Q26">
        <f t="shared" si="6"/>
        <v>9.1737341657137747E-2</v>
      </c>
      <c r="R26">
        <f t="shared" si="6"/>
        <v>0.15725678617900396</v>
      </c>
      <c r="S26">
        <f t="shared" si="6"/>
        <v>0.222130708437112</v>
      </c>
      <c r="T26">
        <f t="shared" si="6"/>
        <v>0.28637170429052344</v>
      </c>
      <c r="U26">
        <f t="shared" si="7"/>
        <v>0.34999200448940626</v>
      </c>
      <c r="V26">
        <f t="shared" si="7"/>
        <v>0.41300348865103859</v>
      </c>
      <c r="W26">
        <f t="shared" si="7"/>
        <v>0.47541769857341232</v>
      </c>
      <c r="X26">
        <f t="shared" si="7"/>
        <v>0.53724585092375654</v>
      </c>
      <c r="Y26">
        <f t="shared" si="7"/>
        <v>0.5984988493368707</v>
      </c>
      <c r="Z26">
        <f t="shared" si="7"/>
        <v>0.6591872959559073</v>
      </c>
      <c r="AA26">
        <f t="shared" si="7"/>
        <v>0.71932150244615467</v>
      </c>
      <c r="AB26">
        <f t="shared" si="7"/>
        <v>0.778911500510439</v>
      </c>
    </row>
    <row r="27" spans="10:28" x14ac:dyDescent="0.25">
      <c r="J27" s="36">
        <f t="shared" si="3"/>
        <v>0.25000000000000006</v>
      </c>
      <c r="K27">
        <f t="shared" si="6"/>
        <v>-0.30556712076185499</v>
      </c>
      <c r="L27">
        <f t="shared" si="6"/>
        <v>-0.23729544766161662</v>
      </c>
      <c r="M27">
        <f t="shared" si="6"/>
        <v>-0.16973867432422685</v>
      </c>
      <c r="N27">
        <f t="shared" si="6"/>
        <v>-0.10288198377231335</v>
      </c>
      <c r="O27">
        <f t="shared" si="6"/>
        <v>-3.6711014951738459E-2</v>
      </c>
      <c r="P27">
        <f t="shared" si="6"/>
        <v>2.8788155783861638E-2</v>
      </c>
      <c r="Q27">
        <f t="shared" si="6"/>
        <v>9.3629032258064543E-2</v>
      </c>
      <c r="R27">
        <f t="shared" si="6"/>
        <v>0.15782471518172966</v>
      </c>
      <c r="S27">
        <f t="shared" si="6"/>
        <v>0.22138791803986926</v>
      </c>
      <c r="T27">
        <f t="shared" si="6"/>
        <v>0.28433098220351244</v>
      </c>
      <c r="U27">
        <f t="shared" si="7"/>
        <v>0.3466658913114925</v>
      </c>
      <c r="V27">
        <f t="shared" si="7"/>
        <v>0.40840428496407782</v>
      </c>
      <c r="W27">
        <f t="shared" si="7"/>
        <v>0.46955747176758594</v>
      </c>
      <c r="X27">
        <f t="shared" si="7"/>
        <v>0.53013644176654762</v>
      </c>
      <c r="Y27">
        <f t="shared" si="7"/>
        <v>0.59015187829760263</v>
      </c>
      <c r="Z27">
        <f t="shared" si="7"/>
        <v>0.64961416929711235</v>
      </c>
      <c r="AA27">
        <f t="shared" si="7"/>
        <v>0.70853341809241899</v>
      </c>
      <c r="AB27">
        <f t="shared" si="7"/>
        <v>0.76691945370479264</v>
      </c>
    </row>
    <row r="28" spans="10:28" x14ac:dyDescent="0.25">
      <c r="J28" s="36">
        <f t="shared" si="3"/>
        <v>0.26000000000000006</v>
      </c>
      <c r="K28">
        <f t="shared" si="6"/>
        <v>-0.29596078095695272</v>
      </c>
      <c r="L28">
        <f t="shared" si="6"/>
        <v>-0.22901489761777136</v>
      </c>
      <c r="M28">
        <f t="shared" si="6"/>
        <v>-0.1627700311710954</v>
      </c>
      <c r="N28">
        <f t="shared" si="6"/>
        <v>-9.7211652375241306E-2</v>
      </c>
      <c r="O28">
        <f t="shared" si="6"/>
        <v>-3.2325679058039167E-2</v>
      </c>
      <c r="P28">
        <f t="shared" si="6"/>
        <v>3.1901542039070516E-2</v>
      </c>
      <c r="Q28">
        <f t="shared" si="6"/>
        <v>9.548325250453589E-2</v>
      </c>
      <c r="R28">
        <f t="shared" si="6"/>
        <v>0.15843229864226349</v>
      </c>
      <c r="S28">
        <f t="shared" si="6"/>
        <v>0.22076114704997701</v>
      </c>
      <c r="T28">
        <f t="shared" si="6"/>
        <v>0.28248189943761925</v>
      </c>
      <c r="U28">
        <f t="shared" si="7"/>
        <v>0.34360630672985432</v>
      </c>
      <c r="V28">
        <f t="shared" si="7"/>
        <v>0.40414578249377847</v>
      </c>
      <c r="W28">
        <f t="shared" si="7"/>
        <v>0.46411141573021564</v>
      </c>
      <c r="X28">
        <f t="shared" si="7"/>
        <v>0.52351398306445729</v>
      </c>
      <c r="Y28">
        <f t="shared" si="7"/>
        <v>0.58236396036996485</v>
      </c>
      <c r="Z28">
        <f t="shared" si="7"/>
        <v>0.64067153385639419</v>
      </c>
      <c r="AA28">
        <f t="shared" si="7"/>
        <v>0.69844661065129743</v>
      </c>
      <c r="AB28">
        <f t="shared" si="7"/>
        <v>0.75569882890299289</v>
      </c>
    </row>
    <row r="29" spans="10:28" x14ac:dyDescent="0.25">
      <c r="J29" s="36">
        <f t="shared" si="3"/>
        <v>0.27000000000000007</v>
      </c>
      <c r="K29">
        <f t="shared" si="6"/>
        <v>-0.28682453278183867</v>
      </c>
      <c r="L29">
        <f t="shared" si="6"/>
        <v>-0.22113008471109075</v>
      </c>
      <c r="M29">
        <f t="shared" si="6"/>
        <v>-0.15612354925788324</v>
      </c>
      <c r="N29">
        <f t="shared" si="6"/>
        <v>-9.1790668779091977E-2</v>
      </c>
      <c r="O29">
        <f t="shared" si="6"/>
        <v>-2.8117624343929913E-2</v>
      </c>
      <c r="P29">
        <f t="shared" si="6"/>
        <v>3.4908982082563364E-2</v>
      </c>
      <c r="Q29">
        <f t="shared" si="6"/>
        <v>9.7302144560683895E-2</v>
      </c>
      <c r="R29">
        <f t="shared" si="6"/>
        <v>0.15907446925533375</v>
      </c>
      <c r="S29">
        <f t="shared" si="6"/>
        <v>0.22023818972316986</v>
      </c>
      <c r="T29">
        <f t="shared" si="6"/>
        <v>0.28080518145400207</v>
      </c>
      <c r="U29">
        <f t="shared" si="7"/>
        <v>0.34078697570967387</v>
      </c>
      <c r="V29">
        <f t="shared" si="7"/>
        <v>0.40019477270076587</v>
      </c>
      <c r="W29">
        <f t="shared" si="7"/>
        <v>0.45903945413878078</v>
      </c>
      <c r="X29">
        <f t="shared" si="7"/>
        <v>0.51733159519899863</v>
      </c>
      <c r="Y29">
        <f t="shared" si="7"/>
        <v>0.57508147592689451</v>
      </c>
      <c r="Z29">
        <f t="shared" si="7"/>
        <v>0.63229909211889257</v>
      </c>
      <c r="AA29">
        <f t="shared" si="7"/>
        <v>0.68899416570626049</v>
      </c>
      <c r="AB29">
        <f t="shared" si="7"/>
        <v>0.74517615466912557</v>
      </c>
    </row>
    <row r="30" spans="10:28" x14ac:dyDescent="0.25">
      <c r="J30" s="36">
        <f t="shared" si="3"/>
        <v>0.28000000000000008</v>
      </c>
      <c r="K30">
        <f t="shared" si="6"/>
        <v>-0.27811725506851853</v>
      </c>
      <c r="L30">
        <f t="shared" si="6"/>
        <v>-0.21360658770654395</v>
      </c>
      <c r="M30">
        <f t="shared" si="6"/>
        <v>-0.14977143712486812</v>
      </c>
      <c r="N30">
        <f t="shared" si="6"/>
        <v>-8.6597802595880721E-2</v>
      </c>
      <c r="O30">
        <f t="shared" si="6"/>
        <v>-2.4072114198934232E-2</v>
      </c>
      <c r="P30">
        <f t="shared" si="6"/>
        <v>3.7818784675121987E-2</v>
      </c>
      <c r="Q30">
        <f t="shared" si="6"/>
        <v>9.908765394019324E-2</v>
      </c>
      <c r="R30">
        <f t="shared" si="6"/>
        <v>0.15974687260446957</v>
      </c>
      <c r="S30">
        <f t="shared" si="6"/>
        <v>0.21980845378210792</v>
      </c>
      <c r="T30">
        <f t="shared" si="6"/>
        <v>0.27928405897260139</v>
      </c>
      <c r="U30">
        <f t="shared" si="7"/>
        <v>0.33818501165029075</v>
      </c>
      <c r="V30">
        <f t="shared" si="7"/>
        <v>0.39652231020362977</v>
      </c>
      <c r="W30">
        <f t="shared" si="7"/>
        <v>0.45430664026118678</v>
      </c>
      <c r="X30">
        <f t="shared" si="7"/>
        <v>0.51154838643893497</v>
      </c>
      <c r="Y30">
        <f t="shared" si="7"/>
        <v>0.5682576435411324</v>
      </c>
      <c r="Z30">
        <f t="shared" si="7"/>
        <v>0.62444422724500992</v>
      </c>
      <c r="AA30">
        <f t="shared" si="7"/>
        <v>0.68011768429755393</v>
      </c>
      <c r="AB30">
        <f t="shared" si="7"/>
        <v>0.73528730225087591</v>
      </c>
    </row>
    <row r="31" spans="10:28" x14ac:dyDescent="0.25">
      <c r="J31" s="36">
        <f t="shared" si="3"/>
        <v>0.29000000000000009</v>
      </c>
      <c r="K31">
        <f t="shared" si="6"/>
        <v>-0.26980276928162239</v>
      </c>
      <c r="L31">
        <f t="shared" si="6"/>
        <v>-0.20641411216031291</v>
      </c>
      <c r="M31">
        <f t="shared" si="6"/>
        <v>-0.14368922280512772</v>
      </c>
      <c r="N31">
        <f t="shared" si="6"/>
        <v>-8.1614343997947314E-2</v>
      </c>
      <c r="O31">
        <f t="shared" si="6"/>
        <v>-2.0176141834748283E-2</v>
      </c>
      <c r="P31">
        <f t="shared" si="6"/>
        <v>4.0638311465570301E-2</v>
      </c>
      <c r="Q31">
        <f t="shared" si="6"/>
        <v>0.10084155388843807</v>
      </c>
      <c r="R31">
        <f t="shared" si="6"/>
        <v>0.160445749138522</v>
      </c>
      <c r="S31">
        <f t="shared" si="6"/>
        <v>0.2194627013903159</v>
      </c>
      <c r="T31">
        <f t="shared" si="6"/>
        <v>0.2779038693191539</v>
      </c>
      <c r="U31">
        <f t="shared" si="7"/>
        <v>0.33578037945436456</v>
      </c>
      <c r="V31">
        <f t="shared" si="7"/>
        <v>0.39310303889348841</v>
      </c>
      <c r="W31">
        <f t="shared" si="7"/>
        <v>0.44988234741389782</v>
      </c>
      <c r="X31">
        <f t="shared" si="7"/>
        <v>0.506128509015771</v>
      </c>
      <c r="Y31">
        <f t="shared" si="7"/>
        <v>0.56185144292815936</v>
      </c>
      <c r="Z31">
        <f t="shared" si="7"/>
        <v>0.61706079410784054</v>
      </c>
      <c r="AA31">
        <f t="shared" si="7"/>
        <v>0.67176594325875205</v>
      </c>
      <c r="AB31">
        <f t="shared" si="7"/>
        <v>0.72597601639803766</v>
      </c>
    </row>
    <row r="32" spans="10:28" x14ac:dyDescent="0.25">
      <c r="J32" s="36">
        <f t="shared" si="3"/>
        <v>0.3000000000000001</v>
      </c>
      <c r="K32">
        <f t="shared" si="6"/>
        <v>-0.26184909712024829</v>
      </c>
      <c r="L32">
        <f t="shared" si="6"/>
        <v>-0.19952587146088294</v>
      </c>
      <c r="M32">
        <f t="shared" si="6"/>
        <v>-0.13785525701229637</v>
      </c>
      <c r="N32">
        <f t="shared" si="6"/>
        <v>-7.6823727786587151E-2</v>
      </c>
      <c r="O32">
        <f t="shared" si="6"/>
        <v>-1.6418173994920689E-2</v>
      </c>
      <c r="P32">
        <f t="shared" si="6"/>
        <v>4.3374114854696666E-2</v>
      </c>
      <c r="Q32">
        <f t="shared" si="6"/>
        <v>0.10256546601024162</v>
      </c>
      <c r="R32">
        <f t="shared" si="6"/>
        <v>0.16116783872980925</v>
      </c>
      <c r="S32">
        <f t="shared" si="6"/>
        <v>0.21919283878427573</v>
      </c>
      <c r="T32">
        <f t="shared" si="6"/>
        <v>0.27665173225247974</v>
      </c>
      <c r="U32">
        <f t="shared" si="7"/>
        <v>0.33355545864993791</v>
      </c>
      <c r="V32">
        <f t="shared" si="7"/>
        <v>0.3899146434293625</v>
      </c>
      <c r="W32">
        <f t="shared" si="7"/>
        <v>0.44573960988871025</v>
      </c>
      <c r="X32">
        <f t="shared" si="7"/>
        <v>0.5010403905201436</v>
      </c>
      <c r="Y32">
        <f t="shared" si="7"/>
        <v>0.55582673783110759</v>
      </c>
      <c r="Z32">
        <f t="shared" si="7"/>
        <v>0.61010813466672076</v>
      </c>
      <c r="AA32">
        <f t="shared" si="7"/>
        <v>0.66389380406080167</v>
      </c>
      <c r="AB32">
        <f t="shared" si="7"/>
        <v>0.71719271864112999</v>
      </c>
    </row>
    <row r="33" spans="10:28" x14ac:dyDescent="0.25">
      <c r="J33" s="36">
        <f t="shared" si="3"/>
        <v>0.31000000000000011</v>
      </c>
      <c r="K33">
        <f t="shared" ref="K33:T42" si="8">(LN(K$2/$B$59)+($F$61+$F$60^2/2)*$J33)/($F$60*SQRT($J33))</f>
        <v>-0.25422785032880352</v>
      </c>
      <c r="L33">
        <f t="shared" si="8"/>
        <v>-0.19291807799359575</v>
      </c>
      <c r="M33">
        <f t="shared" si="8"/>
        <v>-0.13225030459751447</v>
      </c>
      <c r="N33">
        <f t="shared" si="8"/>
        <v>-7.2211224102079238E-2</v>
      </c>
      <c r="O33">
        <f t="shared" si="8"/>
        <v>-1.278793989996096E-2</v>
      </c>
      <c r="P33">
        <f t="shared" si="8"/>
        <v>4.6032051812392782E-2</v>
      </c>
      <c r="Q33">
        <f t="shared" si="8"/>
        <v>0.10426087782654285</v>
      </c>
      <c r="R33">
        <f t="shared" si="8"/>
        <v>0.16191030292814257</v>
      </c>
      <c r="S33">
        <f t="shared" si="8"/>
        <v>0.21899174416376915</v>
      </c>
      <c r="T33">
        <f t="shared" si="8"/>
        <v>0.27551628441177822</v>
      </c>
      <c r="U33">
        <f t="shared" ref="U33:AB42" si="9">(LN(U$2/$B$59)+($F$61+$F$60^2/2)*$J33)/($F$60*SQRT($J33))</f>
        <v>0.33149468529752973</v>
      </c>
      <c r="V33">
        <f t="shared" si="9"/>
        <v>0.38693739949063227</v>
      </c>
      <c r="W33">
        <f t="shared" si="9"/>
        <v>0.44185458241935166</v>
      </c>
      <c r="X33">
        <f t="shared" si="9"/>
        <v>0.4962561034350238</v>
      </c>
      <c r="Y33">
        <f t="shared" si="9"/>
        <v>0.55015155645716818</v>
      </c>
      <c r="Z33">
        <f t="shared" si="9"/>
        <v>0.60355027012802287</v>
      </c>
      <c r="AA33">
        <f t="shared" si="9"/>
        <v>0.65646131750338144</v>
      </c>
      <c r="AB33">
        <f t="shared" si="9"/>
        <v>0.70889352530491356</v>
      </c>
    </row>
    <row r="34" spans="10:28" x14ac:dyDescent="0.25">
      <c r="J34" s="36">
        <f t="shared" si="3"/>
        <v>0.32000000000000012</v>
      </c>
      <c r="K34">
        <f t="shared" si="8"/>
        <v>-0.24691372572898135</v>
      </c>
      <c r="L34">
        <f t="shared" si="8"/>
        <v>-0.18656952196381915</v>
      </c>
      <c r="M34">
        <f t="shared" si="8"/>
        <v>-0.12685720628638059</v>
      </c>
      <c r="N34">
        <f t="shared" si="8"/>
        <v>-6.776368221519484E-2</v>
      </c>
      <c r="O34">
        <f t="shared" si="8"/>
        <v>-9.2762562518047247E-3</v>
      </c>
      <c r="P34">
        <f t="shared" si="8"/>
        <v>4.861737848474313E-2</v>
      </c>
      <c r="Q34">
        <f t="shared" si="8"/>
        <v>0.10592915780097831</v>
      </c>
      <c r="R34">
        <f t="shared" si="8"/>
        <v>0.16267066119875961</v>
      </c>
      <c r="S34">
        <f t="shared" si="8"/>
        <v>0.2188531259174179</v>
      </c>
      <c r="T34">
        <f t="shared" si="8"/>
        <v>0.274487460290883</v>
      </c>
      <c r="U34">
        <f t="shared" si="9"/>
        <v>0.32958425645950767</v>
      </c>
      <c r="V34">
        <f t="shared" si="9"/>
        <v>0.38415380247364211</v>
      </c>
      <c r="W34">
        <f t="shared" si="9"/>
        <v>0.43820609382355252</v>
      </c>
      <c r="X34">
        <f t="shared" si="9"/>
        <v>0.49175084442800521</v>
      </c>
      <c r="Y34">
        <f t="shared" si="9"/>
        <v>0.54479749711172998</v>
      </c>
      <c r="Z34">
        <f t="shared" si="9"/>
        <v>0.59735523360003151</v>
      </c>
      <c r="AA34">
        <f t="shared" si="9"/>
        <v>0.64943298405700467</v>
      </c>
      <c r="AB34">
        <f t="shared" si="9"/>
        <v>0.7010394361921406</v>
      </c>
    </row>
    <row r="35" spans="10:28" x14ac:dyDescent="0.25">
      <c r="J35" s="36">
        <f t="shared" si="3"/>
        <v>0.33000000000000013</v>
      </c>
      <c r="K35">
        <f t="shared" si="8"/>
        <v>-0.23988408465296193</v>
      </c>
      <c r="L35">
        <f t="shared" si="8"/>
        <v>-0.18046122054564609</v>
      </c>
      <c r="M35">
        <f t="shared" si="8"/>
        <v>-0.1216605968131301</v>
      </c>
      <c r="N35">
        <f t="shared" si="8"/>
        <v>-6.3469316931967348E-2</v>
      </c>
      <c r="O35">
        <f t="shared" si="8"/>
        <v>-5.8748812089511378E-3</v>
      </c>
      <c r="P35">
        <f t="shared" si="8"/>
        <v>5.1134829334525379E-2</v>
      </c>
      <c r="Q35">
        <f t="shared" si="8"/>
        <v>0.10757156826823634</v>
      </c>
      <c r="R35">
        <f t="shared" si="8"/>
        <v>0.16344673829737055</v>
      </c>
      <c r="S35">
        <f t="shared" si="8"/>
        <v>0.21877140509027782</v>
      </c>
      <c r="T35">
        <f t="shared" si="8"/>
        <v>0.27355631043165829</v>
      </c>
      <c r="U35">
        <f t="shared" si="9"/>
        <v>0.32781188474030148</v>
      </c>
      <c r="V35">
        <f t="shared" si="9"/>
        <v>0.38154825898786232</v>
      </c>
      <c r="W35">
        <f t="shared" si="9"/>
        <v>0.43477527605274047</v>
      </c>
      <c r="X35">
        <f t="shared" si="9"/>
        <v>0.48750250154088931</v>
      </c>
      <c r="Y35">
        <f t="shared" si="9"/>
        <v>0.53973923410330937</v>
      </c>
      <c r="Z35">
        <f t="shared" si="9"/>
        <v>0.59149451527806063</v>
      </c>
      <c r="AA35">
        <f t="shared" si="9"/>
        <v>0.64277713888284838</v>
      </c>
      <c r="AB35">
        <f t="shared" si="9"/>
        <v>0.69359565998258788</v>
      </c>
    </row>
    <row r="36" spans="10:28" x14ac:dyDescent="0.25">
      <c r="J36" s="36">
        <f t="shared" ref="J36:J55" si="10">J35+$C$5</f>
        <v>0.34000000000000014</v>
      </c>
      <c r="K36">
        <f t="shared" si="8"/>
        <v>-0.2331186005747046</v>
      </c>
      <c r="L36">
        <f t="shared" si="8"/>
        <v>-0.17457612386469079</v>
      </c>
      <c r="M36">
        <f t="shared" si="8"/>
        <v>-0.11664666864391325</v>
      </c>
      <c r="N36">
        <f t="shared" si="8"/>
        <v>-5.9317529459094742E-2</v>
      </c>
      <c r="O36">
        <f t="shared" si="8"/>
        <v>-2.5763918079064556E-3</v>
      </c>
      <c r="P36">
        <f t="shared" si="8"/>
        <v>5.3588683737908718E-2</v>
      </c>
      <c r="Q36">
        <f t="shared" si="8"/>
        <v>0.10918927661153863</v>
      </c>
      <c r="R36">
        <f t="shared" si="8"/>
        <v>0.16423662057986702</v>
      </c>
      <c r="S36">
        <f t="shared" si="8"/>
        <v>0.21874161736635311</v>
      </c>
      <c r="T36">
        <f t="shared" si="8"/>
        <v>0.27271484960934789</v>
      </c>
      <c r="U36">
        <f t="shared" si="9"/>
        <v>0.32616659319437519</v>
      </c>
      <c r="V36">
        <f t="shared" si="9"/>
        <v>0.37910682899632325</v>
      </c>
      <c r="W36">
        <f t="shared" si="9"/>
        <v>0.4315452540651093</v>
      </c>
      <c r="X36">
        <f t="shared" si="9"/>
        <v>0.48349129228617121</v>
      </c>
      <c r="Y36">
        <f t="shared" si="9"/>
        <v>0.53495410454510106</v>
      </c>
      <c r="Z36">
        <f t="shared" si="9"/>
        <v>0.58594259842384144</v>
      </c>
      <c r="AA36">
        <f t="shared" si="9"/>
        <v>0.63646543745411421</v>
      </c>
      <c r="AB36">
        <f t="shared" si="9"/>
        <v>0.68653104995212522</v>
      </c>
    </row>
    <row r="37" spans="10:28" x14ac:dyDescent="0.25">
      <c r="J37" s="36">
        <f t="shared" si="10"/>
        <v>0.35000000000000014</v>
      </c>
      <c r="K37">
        <f t="shared" si="8"/>
        <v>-0.22659896222541742</v>
      </c>
      <c r="L37">
        <f t="shared" si="8"/>
        <v>-0.16889886722731653</v>
      </c>
      <c r="M37">
        <f t="shared" si="8"/>
        <v>-0.11180297280549159</v>
      </c>
      <c r="N37">
        <f t="shared" si="8"/>
        <v>-5.5298756328474093E-2</v>
      </c>
      <c r="O37">
        <f t="shared" si="8"/>
        <v>6.2591950974277919E-4</v>
      </c>
      <c r="P37">
        <f t="shared" si="8"/>
        <v>5.5982822338124731E-2</v>
      </c>
      <c r="Q37">
        <f t="shared" si="8"/>
        <v>0.11078336497062348</v>
      </c>
      <c r="R37">
        <f t="shared" si="8"/>
        <v>0.16503861952876181</v>
      </c>
      <c r="S37">
        <f t="shared" si="8"/>
        <v>0.21875933086849031</v>
      </c>
      <c r="T37">
        <f t="shared" si="8"/>
        <v>0.27195592935204338</v>
      </c>
      <c r="U37">
        <f t="shared" si="9"/>
        <v>0.32463854300276801</v>
      </c>
      <c r="V37">
        <f t="shared" si="9"/>
        <v>0.37681700907835453</v>
      </c>
      <c r="W37">
        <f t="shared" si="9"/>
        <v>0.42850088509554723</v>
      </c>
      <c r="X37">
        <f t="shared" si="9"/>
        <v>0.47969945933724079</v>
      </c>
      <c r="Y37">
        <f t="shared" si="9"/>
        <v>0.53042176087085113</v>
      </c>
      <c r="Z37">
        <f t="shared" si="9"/>
        <v>0.58067656910499199</v>
      </c>
      <c r="AA37">
        <f t="shared" si="9"/>
        <v>0.63047242290975347</v>
      </c>
      <c r="AB37">
        <f t="shared" si="9"/>
        <v>0.67981762932428169</v>
      </c>
    </row>
    <row r="38" spans="10:28" x14ac:dyDescent="0.25">
      <c r="J38" s="36">
        <f t="shared" si="10"/>
        <v>0.36000000000000015</v>
      </c>
      <c r="K38">
        <f t="shared" si="8"/>
        <v>-0.22030862214025543</v>
      </c>
      <c r="L38">
        <f t="shared" si="8"/>
        <v>-0.16341556122339013</v>
      </c>
      <c r="M38">
        <f t="shared" si="8"/>
        <v>-0.10711825010889867</v>
      </c>
      <c r="N38">
        <f t="shared" si="8"/>
        <v>-5.1404341315637432E-2</v>
      </c>
      <c r="O38">
        <f t="shared" si="8"/>
        <v>3.7381327015083027E-3</v>
      </c>
      <c r="P38">
        <f t="shared" si="8"/>
        <v>5.8320774981175043E-2</v>
      </c>
      <c r="Q38">
        <f t="shared" si="8"/>
        <v>0.11235483870967745</v>
      </c>
      <c r="R38">
        <f t="shared" si="8"/>
        <v>0.16585124114606503</v>
      </c>
      <c r="S38">
        <f t="shared" si="8"/>
        <v>0.21882057686118134</v>
      </c>
      <c r="T38">
        <f t="shared" si="8"/>
        <v>0.27127313033088402</v>
      </c>
      <c r="U38">
        <f t="shared" si="9"/>
        <v>0.32321888792086734</v>
      </c>
      <c r="V38">
        <f t="shared" si="9"/>
        <v>0.37466754929802176</v>
      </c>
      <c r="W38">
        <f t="shared" si="9"/>
        <v>0.42562853830094532</v>
      </c>
      <c r="X38">
        <f t="shared" si="9"/>
        <v>0.47611101330007993</v>
      </c>
      <c r="Y38">
        <f t="shared" si="9"/>
        <v>0.52612387707595909</v>
      </c>
      <c r="Z38">
        <f t="shared" si="9"/>
        <v>0.57567578624221727</v>
      </c>
      <c r="AA38">
        <f t="shared" si="9"/>
        <v>0.62477516023830604</v>
      </c>
      <c r="AB38">
        <f t="shared" si="9"/>
        <v>0.67343018991528403</v>
      </c>
    </row>
    <row r="39" spans="10:28" x14ac:dyDescent="0.25">
      <c r="J39" s="36">
        <f t="shared" si="10"/>
        <v>0.37000000000000016</v>
      </c>
      <c r="K39">
        <f t="shared" si="8"/>
        <v>-0.21423258262985834</v>
      </c>
      <c r="L39">
        <f t="shared" si="8"/>
        <v>-0.15811361303325039</v>
      </c>
      <c r="M39">
        <f t="shared" si="8"/>
        <v>-0.10258228742182821</v>
      </c>
      <c r="N39">
        <f t="shared" si="8"/>
        <v>-4.7626426315217088E-2</v>
      </c>
      <c r="O39">
        <f t="shared" si="8"/>
        <v>6.7657750003673181E-3</v>
      </c>
      <c r="P39">
        <f t="shared" si="8"/>
        <v>6.0605761691734053E-2</v>
      </c>
      <c r="Q39">
        <f t="shared" si="8"/>
        <v>0.11390463383348766</v>
      </c>
      <c r="R39">
        <f t="shared" si="8"/>
        <v>0.16667316014361944</v>
      </c>
      <c r="S39">
        <f t="shared" si="8"/>
        <v>0.21892179104243514</v>
      </c>
      <c r="T39">
        <f t="shared" si="8"/>
        <v>0.27066067107443048</v>
      </c>
      <c r="U39">
        <f t="shared" si="9"/>
        <v>0.3218996507300475</v>
      </c>
      <c r="V39">
        <f t="shared" si="9"/>
        <v>0.37264829770177005</v>
      </c>
      <c r="W39">
        <f t="shared" si="9"/>
        <v>0.42291590760673053</v>
      </c>
      <c r="X39">
        <f t="shared" si="9"/>
        <v>0.47271151420588498</v>
      </c>
      <c r="Y39">
        <f t="shared" si="9"/>
        <v>0.52204389914785698</v>
      </c>
      <c r="Z39">
        <f t="shared" si="9"/>
        <v>0.57092160126373626</v>
      </c>
      <c r="AA39">
        <f t="shared" si="9"/>
        <v>0.61935292543744025</v>
      </c>
      <c r="AB39">
        <f t="shared" si="9"/>
        <v>0.66734595107468409</v>
      </c>
    </row>
    <row r="40" spans="10:28" x14ac:dyDescent="0.25">
      <c r="J40" s="36">
        <f t="shared" si="10"/>
        <v>0.38000000000000017</v>
      </c>
      <c r="K40">
        <f t="shared" si="8"/>
        <v>-0.20835721275691399</v>
      </c>
      <c r="L40">
        <f t="shared" si="8"/>
        <v>-0.15298157359043635</v>
      </c>
      <c r="M40">
        <f t="shared" si="8"/>
        <v>-9.81857947014355E-2</v>
      </c>
      <c r="N40">
        <f t="shared" si="8"/>
        <v>-4.3957857934280344E-2</v>
      </c>
      <c r="O40">
        <f t="shared" si="8"/>
        <v>9.7138850640848245E-3</v>
      </c>
      <c r="P40">
        <f t="shared" si="8"/>
        <v>6.2840727862162313E-2</v>
      </c>
      <c r="Q40">
        <f t="shared" si="8"/>
        <v>0.11543362350720943</v>
      </c>
      <c r="R40">
        <f t="shared" si="8"/>
        <v>0.16750319807889333</v>
      </c>
      <c r="S40">
        <f t="shared" si="8"/>
        <v>0.21905976357524506</v>
      </c>
      <c r="T40">
        <f t="shared" si="8"/>
        <v>0.27011333016999994</v>
      </c>
      <c r="U40">
        <f t="shared" si="9"/>
        <v>0.32067361787776705</v>
      </c>
      <c r="V40">
        <f t="shared" si="9"/>
        <v>0.37075006766103119</v>
      </c>
      <c r="W40">
        <f t="shared" si="9"/>
        <v>0.42035185201073166</v>
      </c>
      <c r="X40">
        <f t="shared" si="9"/>
        <v>0.46948788503007854</v>
      </c>
      <c r="Y40">
        <f t="shared" si="9"/>
        <v>0.51816683204933267</v>
      </c>
      <c r="Z40">
        <f t="shared" si="9"/>
        <v>0.56639711879748977</v>
      </c>
      <c r="AA40">
        <f t="shared" si="9"/>
        <v>0.61418694015514785</v>
      </c>
      <c r="AB40">
        <f t="shared" si="9"/>
        <v>0.66154426851130066</v>
      </c>
    </row>
    <row r="41" spans="10:28" x14ac:dyDescent="0.25">
      <c r="J41" s="36">
        <f t="shared" si="10"/>
        <v>0.39000000000000018</v>
      </c>
      <c r="K41">
        <f t="shared" si="8"/>
        <v>-0.20267009113714538</v>
      </c>
      <c r="L41">
        <f t="shared" si="8"/>
        <v>-0.14800900628351737</v>
      </c>
      <c r="M41">
        <f t="shared" si="8"/>
        <v>-9.39202993257926E-2</v>
      </c>
      <c r="N41">
        <f t="shared" si="8"/>
        <v>-4.0392107187813005E-2</v>
      </c>
      <c r="O41">
        <f t="shared" si="8"/>
        <v>1.2587068175850192E-2</v>
      </c>
      <c r="P41">
        <f t="shared" si="8"/>
        <v>6.5028374604129358E-2</v>
      </c>
      <c r="Q41">
        <f t="shared" si="8"/>
        <v>0.11694262380871845</v>
      </c>
      <c r="R41">
        <f t="shared" si="8"/>
        <v>0.16834030475283471</v>
      </c>
      <c r="S41">
        <f t="shared" si="8"/>
        <v>0.21923159637089534</v>
      </c>
      <c r="T41">
        <f t="shared" si="8"/>
        <v>0.26962637966769198</v>
      </c>
      <c r="U41">
        <f t="shared" si="9"/>
        <v>0.31953424923303575</v>
      </c>
      <c r="V41">
        <f t="shared" si="9"/>
        <v>0.36896452420543663</v>
      </c>
      <c r="W41">
        <f t="shared" si="9"/>
        <v>0.41792625871615363</v>
      </c>
      <c r="X41">
        <f t="shared" si="9"/>
        <v>0.46642825184289094</v>
      </c>
      <c r="Y41">
        <f t="shared" si="9"/>
        <v>0.51447905710051212</v>
      </c>
      <c r="Z41">
        <f t="shared" si="9"/>
        <v>0.56208699149437391</v>
      </c>
      <c r="AA41">
        <f t="shared" si="9"/>
        <v>0.6092601441602491</v>
      </c>
      <c r="AB41">
        <f t="shared" si="9"/>
        <v>0.65600638461328642</v>
      </c>
    </row>
    <row r="42" spans="10:28" x14ac:dyDescent="0.25">
      <c r="J42" s="36">
        <f t="shared" si="10"/>
        <v>0.40000000000000019</v>
      </c>
      <c r="K42">
        <f t="shared" si="8"/>
        <v>-0.19715987035886748</v>
      </c>
      <c r="L42">
        <f t="shared" si="8"/>
        <v>-0.14318637369206691</v>
      </c>
      <c r="M42">
        <f t="shared" si="8"/>
        <v>-8.9778054912595301E-2</v>
      </c>
      <c r="N42">
        <f t="shared" si="8"/>
        <v>-3.6923200171318719E-2</v>
      </c>
      <c r="O42">
        <f t="shared" si="8"/>
        <v>1.5389543941931854E-2</v>
      </c>
      <c r="P42">
        <f t="shared" si="8"/>
        <v>6.7171185036117506E-2</v>
      </c>
      <c r="Q42">
        <f t="shared" si="8"/>
        <v>0.11843239882114481</v>
      </c>
      <c r="R42">
        <f t="shared" si="8"/>
        <v>0.16918354231833452</v>
      </c>
      <c r="S42">
        <f t="shared" si="8"/>
        <v>0.21943466642009593</v>
      </c>
      <c r="T42">
        <f t="shared" si="8"/>
        <v>0.26919552783690437</v>
      </c>
      <c r="U42">
        <f t="shared" si="9"/>
        <v>0.31847560046710227</v>
      </c>
      <c r="V42">
        <f t="shared" si="9"/>
        <v>0.36728408622266523</v>
      </c>
      <c r="W42">
        <f t="shared" si="9"/>
        <v>0.4156299253418746</v>
      </c>
      <c r="X42">
        <f t="shared" si="9"/>
        <v>0.46352180621780631</v>
      </c>
      <c r="Y42">
        <f t="shared" si="9"/>
        <v>0.51096817476965839</v>
      </c>
      <c r="Z42">
        <f t="shared" si="9"/>
        <v>0.55797724338220367</v>
      </c>
      <c r="AA42">
        <f t="shared" si="9"/>
        <v>0.6045569994370289</v>
      </c>
      <c r="AB42">
        <f t="shared" si="9"/>
        <v>0.65071521345773009</v>
      </c>
    </row>
    <row r="43" spans="10:28" x14ac:dyDescent="0.25">
      <c r="J43" s="36">
        <f t="shared" si="10"/>
        <v>0.4100000000000002</v>
      </c>
      <c r="K43">
        <f t="shared" ref="K43:T55" si="11">(LN(K$2/$B$59)+($F$61+$F$60^2/2)*$J43)/($F$60*SQRT($J43))</f>
        <v>-0.19181615958710321</v>
      </c>
      <c r="L43">
        <f t="shared" si="11"/>
        <v>-0.13850493949463633</v>
      </c>
      <c r="M43">
        <f t="shared" si="11"/>
        <v>-8.5751962328856138E-2</v>
      </c>
      <c r="N43">
        <f t="shared" si="11"/>
        <v>-3.3545657974282377E-2</v>
      </c>
      <c r="O43">
        <f t="shared" si="11"/>
        <v>1.8125187668331808E-2</v>
      </c>
      <c r="P43">
        <f t="shared" si="11"/>
        <v>6.9271447140145617E-2</v>
      </c>
      <c r="Q43">
        <f t="shared" si="11"/>
        <v>0.11990366515579902</v>
      </c>
      <c r="R43">
        <f t="shared" si="11"/>
        <v>0.17003207165178363</v>
      </c>
      <c r="S43">
        <f t="shared" si="11"/>
        <v>0.2196665941920049</v>
      </c>
      <c r="T43">
        <f t="shared" si="11"/>
        <v>0.26881686976816527</v>
      </c>
      <c r="U43">
        <f t="shared" ref="U43:AB55" si="12">(LN(U$2/$B$59)+($F$61+$F$60^2/2)*$J43)/($F$60*SQRT($J43))</f>
        <v>0.3174922560300531</v>
      </c>
      <c r="V43">
        <f t="shared" si="12"/>
        <v>0.3657018419784725</v>
      </c>
      <c r="W43">
        <f t="shared" si="12"/>
        <v>0.41345445815137521</v>
      </c>
      <c r="X43">
        <f t="shared" si="12"/>
        <v>0.46075868633174938</v>
      </c>
      <c r="Y43">
        <f t="shared" si="12"/>
        <v>0.50762286880395802</v>
      </c>
      <c r="Z43">
        <f t="shared" si="12"/>
        <v>0.5540551171835002</v>
      </c>
      <c r="AA43">
        <f t="shared" si="12"/>
        <v>0.60006332084356895</v>
      </c>
      <c r="AB43">
        <f t="shared" si="12"/>
        <v>0.64565515496030157</v>
      </c>
    </row>
    <row r="44" spans="10:28" x14ac:dyDescent="0.25">
      <c r="J44" s="36">
        <f t="shared" si="10"/>
        <v>0.42000000000000021</v>
      </c>
      <c r="K44">
        <f t="shared" si="11"/>
        <v>-0.18662942253329085</v>
      </c>
      <c r="L44">
        <f t="shared" si="11"/>
        <v>-0.13395668319887277</v>
      </c>
      <c r="M44">
        <f t="shared" si="11"/>
        <v>-8.1835501005927916E-2</v>
      </c>
      <c r="N44">
        <f t="shared" si="11"/>
        <v>-3.0254444408231971E-2</v>
      </c>
      <c r="O44">
        <f t="shared" si="11"/>
        <v>2.0797566388027211E-2</v>
      </c>
      <c r="P44">
        <f t="shared" si="11"/>
        <v>7.1331273709237752E-2</v>
      </c>
      <c r="Q44">
        <f t="shared" si="11"/>
        <v>0.12135709598147626</v>
      </c>
      <c r="R44">
        <f t="shared" si="11"/>
        <v>0.17088514062260515</v>
      </c>
      <c r="S44">
        <f t="shared" si="11"/>
        <v>0.21992521629925993</v>
      </c>
      <c r="T44">
        <f t="shared" si="11"/>
        <v>0.26848684458590516</v>
      </c>
      <c r="U44">
        <f t="shared" si="12"/>
        <v>0.31657927106062422</v>
      </c>
      <c r="V44">
        <f t="shared" si="12"/>
        <v>0.36421147586998559</v>
      </c>
      <c r="W44">
        <f t="shared" si="12"/>
        <v>0.4113921837931801</v>
      </c>
      <c r="X44">
        <f t="shared" si="12"/>
        <v>0.45812987383364423</v>
      </c>
      <c r="Y44">
        <f t="shared" si="12"/>
        <v>0.50443278836453975</v>
      </c>
      <c r="Z44">
        <f t="shared" si="12"/>
        <v>0.55030894185276524</v>
      </c>
      <c r="AA44">
        <f t="shared" si="12"/>
        <v>0.59576612918459404</v>
      </c>
      <c r="AB44">
        <f t="shared" si="12"/>
        <v>0.64081193361457034</v>
      </c>
    </row>
    <row r="45" spans="10:28" x14ac:dyDescent="0.25">
      <c r="J45" s="36">
        <f t="shared" si="10"/>
        <v>0.43000000000000022</v>
      </c>
      <c r="K45">
        <f t="shared" si="11"/>
        <v>-0.18159088846463756</v>
      </c>
      <c r="L45">
        <f t="shared" si="11"/>
        <v>-0.12953422575463105</v>
      </c>
      <c r="M45">
        <f t="shared" si="11"/>
        <v>-7.8022669003452269E-2</v>
      </c>
      <c r="N45">
        <f t="shared" si="11"/>
        <v>-2.7044920371771451E-2</v>
      </c>
      <c r="O45">
        <f t="shared" si="11"/>
        <v>2.3409970341533682E-2</v>
      </c>
      <c r="P45">
        <f t="shared" si="11"/>
        <v>7.3352619817284637E-2</v>
      </c>
      <c r="Q45">
        <f t="shared" si="11"/>
        <v>0.12279332462442943</v>
      </c>
      <c r="R45">
        <f t="shared" si="11"/>
        <v>0.17174207396135008</v>
      </c>
      <c r="S45">
        <f t="shared" si="11"/>
        <v>0.22020856176948816</v>
      </c>
      <c r="T45">
        <f t="shared" si="11"/>
        <v>0.26820219825603309</v>
      </c>
      <c r="U45">
        <f t="shared" si="12"/>
        <v>0.31573212085993213</v>
      </c>
      <c r="V45">
        <f t="shared" si="12"/>
        <v>0.36280720469318617</v>
      </c>
      <c r="W45">
        <f t="shared" si="12"/>
        <v>0.4094360724872747</v>
      </c>
      <c r="X45">
        <f t="shared" si="12"/>
        <v>0.4556271040725916</v>
      </c>
      <c r="Y45">
        <f t="shared" si="12"/>
        <v>0.50138844541695693</v>
      </c>
      <c r="Z45">
        <f t="shared" si="12"/>
        <v>0.54672801724758968</v>
      </c>
      <c r="AA45">
        <f t="shared" si="12"/>
        <v>0.59165352327936616</v>
      </c>
      <c r="AB45">
        <f t="shared" si="12"/>
        <v>0.63617245807074385</v>
      </c>
    </row>
    <row r="46" spans="10:28" x14ac:dyDescent="0.25">
      <c r="J46" s="36">
        <f t="shared" si="10"/>
        <v>0.44000000000000022</v>
      </c>
      <c r="K46">
        <f t="shared" si="11"/>
        <v>-0.17669247432463353</v>
      </c>
      <c r="L46">
        <f t="shared" si="11"/>
        <v>-0.12523076444206752</v>
      </c>
      <c r="M46">
        <f t="shared" si="11"/>
        <v>-7.4307930531338537E-2</v>
      </c>
      <c r="N46">
        <f t="shared" si="11"/>
        <v>-2.3912803875521287E-2</v>
      </c>
      <c r="O46">
        <f t="shared" si="11"/>
        <v>2.596544057724072E-2</v>
      </c>
      <c r="P46">
        <f t="shared" si="11"/>
        <v>7.5337298170288933E-2</v>
      </c>
      <c r="Q46">
        <f t="shared" si="11"/>
        <v>0.12421294779363291</v>
      </c>
      <c r="R46">
        <f t="shared" si="11"/>
        <v>0.17260226447963803</v>
      </c>
      <c r="S46">
        <f t="shared" si="11"/>
        <v>0.22051483137820505</v>
      </c>
      <c r="T46">
        <f t="shared" si="11"/>
        <v>0.26795995114776633</v>
      </c>
      <c r="U46">
        <f t="shared" si="12"/>
        <v>0.31494665679596567</v>
      </c>
      <c r="V46">
        <f t="shared" si="12"/>
        <v>0.36148372200162127</v>
      </c>
      <c r="W46">
        <f t="shared" si="12"/>
        <v>0.4075796709474736</v>
      </c>
      <c r="X46">
        <f t="shared" si="12"/>
        <v>0.45324278769128074</v>
      </c>
      <c r="Y46">
        <f t="shared" si="12"/>
        <v>0.49848112510103032</v>
      </c>
      <c r="Z46">
        <f t="shared" si="12"/>
        <v>0.54330251337837154</v>
      </c>
      <c r="AA46">
        <f t="shared" si="12"/>
        <v>0.58771456819283308</v>
      </c>
      <c r="AB46">
        <f t="shared" si="12"/>
        <v>0.63172469844796308</v>
      </c>
    </row>
    <row r="47" spans="10:28" x14ac:dyDescent="0.25">
      <c r="J47" s="36">
        <f t="shared" si="10"/>
        <v>0.45000000000000023</v>
      </c>
      <c r="K47">
        <f t="shared" si="11"/>
        <v>-0.17192671635838416</v>
      </c>
      <c r="L47">
        <f t="shared" si="11"/>
        <v>-0.12104001569512522</v>
      </c>
      <c r="M47">
        <f t="shared" si="11"/>
        <v>-7.0686169854142292E-2</v>
      </c>
      <c r="N47">
        <f t="shared" si="11"/>
        <v>-2.0854134912560131E-2</v>
      </c>
      <c r="O47">
        <f t="shared" si="11"/>
        <v>2.8466793227381375E-2</v>
      </c>
      <c r="P47">
        <f t="shared" si="11"/>
        <v>7.7286992638936944E-2</v>
      </c>
      <c r="Q47">
        <f t="shared" si="11"/>
        <v>0.12561652847793178</v>
      </c>
      <c r="R47">
        <f t="shared" si="11"/>
        <v>0.17346516543771098</v>
      </c>
      <c r="S47">
        <f t="shared" si="11"/>
        <v>0.220842379590514</v>
      </c>
      <c r="T47">
        <f t="shared" si="11"/>
        <v>0.26775736965119307</v>
      </c>
      <c r="U47">
        <f t="shared" si="12"/>
        <v>0.31421906769676439</v>
      </c>
      <c r="V47">
        <f t="shared" si="12"/>
        <v>0.36023614937303849</v>
      </c>
      <c r="W47">
        <f t="shared" si="12"/>
        <v>0.40581704361750098</v>
      </c>
      <c r="X47">
        <f t="shared" si="12"/>
        <v>0.45096994192570045</v>
      </c>
      <c r="Y47">
        <f t="shared" si="12"/>
        <v>0.49570280718662152</v>
      </c>
      <c r="Z47">
        <f t="shared" si="12"/>
        <v>0.54002338211088075</v>
      </c>
      <c r="AA47">
        <f t="shared" si="12"/>
        <v>0.58393919727405685</v>
      </c>
      <c r="AB47">
        <f t="shared" si="12"/>
        <v>0.62745757879605379</v>
      </c>
    </row>
    <row r="48" spans="10:28" x14ac:dyDescent="0.25">
      <c r="J48" s="36">
        <f t="shared" si="10"/>
        <v>0.46000000000000024</v>
      </c>
      <c r="K48">
        <f t="shared" si="11"/>
        <v>-0.16728670989885799</v>
      </c>
      <c r="L48">
        <f t="shared" si="11"/>
        <v>-0.11695616473952394</v>
      </c>
      <c r="M48">
        <f t="shared" si="11"/>
        <v>-6.7152650677635234E-2</v>
      </c>
      <c r="N48">
        <f t="shared" si="11"/>
        <v>-1.7865244492551471E-2</v>
      </c>
      <c r="O48">
        <f t="shared" si="11"/>
        <v>3.0916640925299853E-2</v>
      </c>
      <c r="P48">
        <f t="shared" si="11"/>
        <v>7.9203270224202191E-2</v>
      </c>
      <c r="Q48">
        <f t="shared" si="11"/>
        <v>0.12700459855497481</v>
      </c>
      <c r="R48">
        <f t="shared" si="11"/>
        <v>0.17433028388979832</v>
      </c>
      <c r="S48">
        <f t="shared" si="11"/>
        <v>0.22118969873417157</v>
      </c>
      <c r="T48">
        <f t="shared" si="11"/>
        <v>0.26759194126752539</v>
      </c>
      <c r="U48">
        <f t="shared" si="12"/>
        <v>0.31354584594561674</v>
      </c>
      <c r="V48">
        <f t="shared" si="12"/>
        <v>0.35905999359560808</v>
      </c>
      <c r="W48">
        <f t="shared" si="12"/>
        <v>0.40414272103268356</v>
      </c>
      <c r="X48">
        <f t="shared" si="12"/>
        <v>0.44880213022516213</v>
      </c>
      <c r="Y48">
        <f t="shared" si="12"/>
        <v>0.49304609703330626</v>
      </c>
      <c r="Z48">
        <f t="shared" si="12"/>
        <v>0.53688227954540346</v>
      </c>
      <c r="AA48">
        <f t="shared" si="12"/>
        <v>0.58031812603318889</v>
      </c>
      <c r="AB48">
        <f t="shared" si="12"/>
        <v>0.62336088254727806</v>
      </c>
    </row>
    <row r="49" spans="1:28" x14ac:dyDescent="0.25">
      <c r="J49" s="36">
        <f t="shared" si="10"/>
        <v>0.47000000000000025</v>
      </c>
      <c r="K49">
        <f t="shared" si="11"/>
        <v>-0.16276605618499423</v>
      </c>
      <c r="L49">
        <f t="shared" si="11"/>
        <v>-0.11297382110342769</v>
      </c>
      <c r="M49">
        <f t="shared" si="11"/>
        <v>-6.370298026100997E-2</v>
      </c>
      <c r="N49">
        <f t="shared" si="11"/>
        <v>-1.4942727266348831E-2</v>
      </c>
      <c r="O49">
        <f t="shared" si="11"/>
        <v>3.3317411755754166E-2</v>
      </c>
      <c r="P49">
        <f t="shared" si="11"/>
        <v>8.1087591668091416E-2</v>
      </c>
      <c r="Q49">
        <f t="shared" si="11"/>
        <v>0.1283776611462196</v>
      </c>
      <c r="R49">
        <f t="shared" si="11"/>
        <v>0.17519717486552933</v>
      </c>
      <c r="S49">
        <f t="shared" si="11"/>
        <v>0.2215554050879367</v>
      </c>
      <c r="T49">
        <f t="shared" si="11"/>
        <v>0.26746135268334298</v>
      </c>
      <c r="U49">
        <f t="shared" si="12"/>
        <v>0.31292375761863056</v>
      </c>
      <c r="V49">
        <f t="shared" si="12"/>
        <v>0.35795110894477067</v>
      </c>
      <c r="W49">
        <f t="shared" si="12"/>
        <v>0.40255165431058509</v>
      </c>
      <c r="X49">
        <f t="shared" si="12"/>
        <v>0.44673340902983377</v>
      </c>
      <c r="Y49">
        <f t="shared" si="12"/>
        <v>0.49050416472655761</v>
      </c>
      <c r="Z49">
        <f t="shared" si="12"/>
        <v>0.53387149758200181</v>
      </c>
      <c r="AA49">
        <f t="shared" si="12"/>
        <v>0.57684277620495039</v>
      </c>
      <c r="AB49">
        <f t="shared" si="12"/>
        <v>0.61942516914592372</v>
      </c>
    </row>
    <row r="50" spans="1:28" x14ac:dyDescent="0.25">
      <c r="J50" s="36">
        <f t="shared" si="10"/>
        <v>0.48000000000000026</v>
      </c>
      <c r="K50">
        <f t="shared" si="11"/>
        <v>-0.15835881525931339</v>
      </c>
      <c r="L50">
        <f t="shared" si="11"/>
        <v>-0.10908797920625242</v>
      </c>
      <c r="M50">
        <f t="shared" si="11"/>
        <v>-6.0333077616346799E-2</v>
      </c>
      <c r="N50">
        <f t="shared" si="11"/>
        <v>-1.2083417257253358E-2</v>
      </c>
      <c r="O50">
        <f t="shared" si="11"/>
        <v>3.5671366069118186E-2</v>
      </c>
      <c r="P50">
        <f t="shared" si="11"/>
        <v>8.2941320888988146E-2</v>
      </c>
      <c r="Q50">
        <f t="shared" si="11"/>
        <v>0.12973619274757853</v>
      </c>
      <c r="R50">
        <f t="shared" si="11"/>
        <v>0.17606543626856591</v>
      </c>
      <c r="S50">
        <f t="shared" si="11"/>
        <v>0.22193822661944301</v>
      </c>
      <c r="T50">
        <f t="shared" si="11"/>
        <v>0.26736347041756714</v>
      </c>
      <c r="U50">
        <f t="shared" si="12"/>
        <v>0.312349816109321</v>
      </c>
      <c r="V50">
        <f t="shared" si="12"/>
        <v>0.35690566385263994</v>
      </c>
      <c r="W50">
        <f t="shared" si="12"/>
        <v>0.4010391749311511</v>
      </c>
      <c r="X50">
        <f t="shared" si="12"/>
        <v>0.44475828072631451</v>
      </c>
      <c r="Y50">
        <f t="shared" si="12"/>
        <v>0.4880706912722364</v>
      </c>
      <c r="Z50">
        <f t="shared" si="12"/>
        <v>0.53098390341623491</v>
      </c>
      <c r="AA50">
        <f t="shared" si="12"/>
        <v>0.57350520860676091</v>
      </c>
      <c r="AB50">
        <f t="shared" si="12"/>
        <v>0.61564170032890975</v>
      </c>
    </row>
    <row r="51" spans="1:28" x14ac:dyDescent="0.25">
      <c r="J51" s="36">
        <f t="shared" si="10"/>
        <v>0.49000000000000027</v>
      </c>
      <c r="K51">
        <f t="shared" si="11"/>
        <v>-0.1540594641386521</v>
      </c>
      <c r="L51">
        <f t="shared" si="11"/>
        <v>-0.10529398335276753</v>
      </c>
      <c r="M51">
        <f t="shared" si="11"/>
        <v>-5.7039145254632002E-2</v>
      </c>
      <c r="N51">
        <f t="shared" si="11"/>
        <v>-9.2843662889795162E-3</v>
      </c>
      <c r="O51">
        <f t="shared" si="11"/>
        <v>3.7980611440002539E-2</v>
      </c>
      <c r="P51">
        <f t="shared" si="11"/>
        <v>8.476573339400259E-2</v>
      </c>
      <c r="Q51">
        <f t="shared" si="11"/>
        <v>0.13108064516129037</v>
      </c>
      <c r="R51">
        <f t="shared" si="11"/>
        <v>0.17693470439247971</v>
      </c>
      <c r="S51">
        <f t="shared" si="11"/>
        <v>0.22233699214829372</v>
      </c>
      <c r="T51">
        <f t="shared" si="11"/>
        <v>0.26729632369375311</v>
      </c>
      <c r="U51">
        <f t="shared" si="12"/>
        <v>0.31182125877088168</v>
      </c>
      <c r="V51">
        <f t="shared" si="12"/>
        <v>0.35592011137987117</v>
      </c>
      <c r="W51">
        <f t="shared" si="12"/>
        <v>0.39960095909666282</v>
      </c>
      <c r="X51">
        <f t="shared" si="12"/>
        <v>0.44287165195306383</v>
      </c>
      <c r="Y51">
        <f t="shared" si="12"/>
        <v>0.4857398209038174</v>
      </c>
      <c r="Z51">
        <f t="shared" si="12"/>
        <v>0.52821288590346738</v>
      </c>
      <c r="AA51">
        <f t="shared" si="12"/>
        <v>0.5702980636144005</v>
      </c>
      <c r="AB51">
        <f t="shared" si="12"/>
        <v>0.61200237476609598</v>
      </c>
    </row>
    <row r="52" spans="1:28" x14ac:dyDescent="0.25">
      <c r="J52" s="36">
        <f t="shared" si="10"/>
        <v>0.50000000000000022</v>
      </c>
      <c r="K52">
        <f t="shared" si="11"/>
        <v>-0.14986285957274484</v>
      </c>
      <c r="L52">
        <f t="shared" si="11"/>
        <v>-0.10158749656061507</v>
      </c>
      <c r="M52">
        <f t="shared" si="11"/>
        <v>-5.3817644018664235E-2</v>
      </c>
      <c r="N52">
        <f t="shared" si="11"/>
        <v>-6.5428247617156298E-3</v>
      </c>
      <c r="O52">
        <f t="shared" si="11"/>
        <v>4.0247116008996463E-2</v>
      </c>
      <c r="P52">
        <f t="shared" si="11"/>
        <v>8.6562023798234744E-2</v>
      </c>
      <c r="Q52">
        <f t="shared" si="11"/>
        <v>0.13241144725122289</v>
      </c>
      <c r="R52">
        <f t="shared" si="11"/>
        <v>0.17780464996944792</v>
      </c>
      <c r="S52">
        <f t="shared" si="11"/>
        <v>0.22275062174437457</v>
      </c>
      <c r="T52">
        <f t="shared" si="11"/>
        <v>0.26725808924314665</v>
      </c>
      <c r="U52">
        <f t="shared" si="12"/>
        <v>0.31133552617804638</v>
      </c>
      <c r="V52">
        <f t="shared" si="12"/>
        <v>0.35499116298935396</v>
      </c>
      <c r="W52">
        <f t="shared" si="12"/>
        <v>0.39823299606928225</v>
      </c>
      <c r="X52">
        <f t="shared" si="12"/>
        <v>0.44106879655284442</v>
      </c>
      <c r="Y52">
        <f t="shared" si="12"/>
        <v>0.48350611869982429</v>
      </c>
      <c r="Z52">
        <f t="shared" si="12"/>
        <v>0.52555230789046536</v>
      </c>
      <c r="AA52">
        <f t="shared" si="12"/>
        <v>0.56721450825604403</v>
      </c>
      <c r="AB52">
        <f t="shared" si="12"/>
        <v>0.60849966996415272</v>
      </c>
    </row>
    <row r="53" spans="1:28" x14ac:dyDescent="0.25">
      <c r="J53" s="36">
        <f t="shared" si="10"/>
        <v>0.51000000000000023</v>
      </c>
      <c r="K53">
        <f t="shared" si="11"/>
        <v>-0.14576420480625599</v>
      </c>
      <c r="L53">
        <f t="shared" si="11"/>
        <v>-9.7964472733488683E-2</v>
      </c>
      <c r="M53">
        <f t="shared" si="11"/>
        <v>-5.0665270610718023E-2</v>
      </c>
      <c r="N53">
        <f t="shared" si="11"/>
        <v>-3.8562244787839948E-3</v>
      </c>
      <c r="O53">
        <f t="shared" si="11"/>
        <v>4.2472720411360708E-2</v>
      </c>
      <c r="P53">
        <f t="shared" si="11"/>
        <v>8.8331312562066236E-2</v>
      </c>
      <c r="Q53">
        <f t="shared" si="11"/>
        <v>0.13372900654093955</v>
      </c>
      <c r="R53">
        <f t="shared" si="11"/>
        <v>0.17867497468023213</v>
      </c>
      <c r="S53">
        <f t="shared" si="11"/>
        <v>0.22317811819987471</v>
      </c>
      <c r="T53">
        <f t="shared" si="11"/>
        <v>0.26724707778789808</v>
      </c>
      <c r="U53">
        <f t="shared" si="12"/>
        <v>0.31089024366969836</v>
      </c>
      <c r="V53">
        <f t="shared" si="12"/>
        <v>0.35411576519549659</v>
      </c>
      <c r="W53">
        <f t="shared" si="12"/>
        <v>0.39693155997339513</v>
      </c>
      <c r="X53">
        <f t="shared" si="12"/>
        <v>0.43934532257363323</v>
      </c>
      <c r="Y53">
        <f t="shared" si="12"/>
        <v>0.48136453282797492</v>
      </c>
      <c r="Z53">
        <f t="shared" si="12"/>
        <v>0.52299646374662068</v>
      </c>
      <c r="AA53">
        <f t="shared" si="12"/>
        <v>0.5642481890736003</v>
      </c>
      <c r="AB53">
        <f t="shared" si="12"/>
        <v>0.60512659050027862</v>
      </c>
    </row>
    <row r="54" spans="1:28" x14ac:dyDescent="0.25">
      <c r="J54" s="36">
        <f t="shared" si="10"/>
        <v>0.52000000000000024</v>
      </c>
      <c r="K54">
        <f t="shared" si="11"/>
        <v>-0.14175901984422293</v>
      </c>
      <c r="L54">
        <f t="shared" si="11"/>
        <v>-9.4421131762564295E-2</v>
      </c>
      <c r="M54">
        <f t="shared" si="11"/>
        <v>-4.7578937479322521E-2</v>
      </c>
      <c r="N54">
        <f t="shared" si="11"/>
        <v>-1.2221632691777333E-3</v>
      </c>
      <c r="O54">
        <f t="shared" si="11"/>
        <v>4.4659148467305267E-2</v>
      </c>
      <c r="P54">
        <f t="shared" si="11"/>
        <v>9.0074652041839204E-2</v>
      </c>
      <c r="Q54">
        <f t="shared" si="11"/>
        <v>0.13503371067140943</v>
      </c>
      <c r="R54">
        <f t="shared" si="11"/>
        <v>0.17954540806462144</v>
      </c>
      <c r="S54">
        <f t="shared" si="11"/>
        <v>0.22361855943726403</v>
      </c>
      <c r="T54">
        <f t="shared" si="11"/>
        <v>0.26726172199050163</v>
      </c>
      <c r="U54">
        <f t="shared" si="12"/>
        <v>0.31048320488284953</v>
      </c>
      <c r="V54">
        <f t="shared" si="12"/>
        <v>0.35329107872499893</v>
      </c>
      <c r="W54">
        <f t="shared" si="12"/>
        <v>0.39569318462462905</v>
      </c>
      <c r="X54">
        <f t="shared" si="12"/>
        <v>0.43769714280656186</v>
      </c>
      <c r="Y54">
        <f t="shared" si="12"/>
        <v>0.4793103608319606</v>
      </c>
      <c r="Z54">
        <f t="shared" si="12"/>
        <v>0.52054004143874777</v>
      </c>
      <c r="AA54">
        <f t="shared" si="12"/>
        <v>0.56139319002399735</v>
      </c>
      <c r="AB54">
        <f t="shared" si="12"/>
        <v>0.60187662178774348</v>
      </c>
    </row>
    <row r="55" spans="1:28" x14ac:dyDescent="0.25">
      <c r="J55" s="36">
        <f t="shared" si="10"/>
        <v>0.53000000000000025</v>
      </c>
      <c r="K55">
        <f t="shared" si="11"/>
        <v>-0.13784311479167638</v>
      </c>
      <c r="L55">
        <f t="shared" si="11"/>
        <v>-9.0953937197829973E-2</v>
      </c>
      <c r="M55">
        <f t="shared" si="11"/>
        <v>-4.4555754776941903E-2</v>
      </c>
      <c r="N55">
        <f t="shared" si="11"/>
        <v>1.3616088128272136E-3</v>
      </c>
      <c r="O55">
        <f t="shared" si="11"/>
        <v>4.6808016783953625E-2</v>
      </c>
      <c r="P55">
        <f t="shared" si="11"/>
        <v>9.1793031936021091E-2</v>
      </c>
      <c r="Q55">
        <f t="shared" si="11"/>
        <v>0.13632592873314006</v>
      </c>
      <c r="R55">
        <f t="shared" si="11"/>
        <v>0.18041570478046937</v>
      </c>
      <c r="S55">
        <f t="shared" si="11"/>
        <v>0.22407109173536424</v>
      </c>
      <c r="T55">
        <f t="shared" si="11"/>
        <v>0.26730056568624699</v>
      </c>
      <c r="U55">
        <f t="shared" si="12"/>
        <v>0.31011235703005902</v>
      </c>
      <c r="V55">
        <f t="shared" si="12"/>
        <v>0.35251445987708535</v>
      </c>
      <c r="W55">
        <f t="shared" si="12"/>
        <v>0.39451464101003242</v>
      </c>
      <c r="X55">
        <f t="shared" si="12"/>
        <v>0.43612044842247277</v>
      </c>
      <c r="Y55">
        <f t="shared" si="12"/>
        <v>0.47733921946013513</v>
      </c>
      <c r="Z55">
        <f t="shared" si="12"/>
        <v>0.51817808858700376</v>
      </c>
      <c r="AA55">
        <f t="shared" si="12"/>
        <v>0.55864399479678595</v>
      </c>
      <c r="AB55">
        <f t="shared" si="12"/>
        <v>0.59874368868900518</v>
      </c>
    </row>
    <row r="58" spans="1:28" x14ac:dyDescent="0.25">
      <c r="A58" s="3" t="s">
        <v>0</v>
      </c>
      <c r="B58">
        <v>47</v>
      </c>
    </row>
    <row r="59" spans="1:28" x14ac:dyDescent="0.25">
      <c r="A59" s="3" t="s">
        <v>1</v>
      </c>
      <c r="B59">
        <v>50</v>
      </c>
    </row>
    <row r="60" spans="1:28" x14ac:dyDescent="0.25">
      <c r="A60" s="3" t="s">
        <v>2</v>
      </c>
      <c r="E60">
        <v>31</v>
      </c>
      <c r="F60">
        <f>E60/100</f>
        <v>0.31</v>
      </c>
    </row>
    <row r="61" spans="1:28" x14ac:dyDescent="0.25">
      <c r="A61" s="3" t="s">
        <v>5</v>
      </c>
      <c r="E61">
        <v>1</v>
      </c>
      <c r="F61">
        <f>E61/100</f>
        <v>0.01</v>
      </c>
    </row>
    <row r="62" spans="1:28" x14ac:dyDescent="0.25">
      <c r="A62" s="3" t="s">
        <v>6</v>
      </c>
      <c r="B62">
        <v>0.01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>
                  <from>
                    <xdr:col>1</xdr:col>
                    <xdr:colOff>0</xdr:colOff>
                    <xdr:row>59</xdr:row>
                    <xdr:rowOff>9525</xdr:rowOff>
                  </from>
                  <to>
                    <xdr:col>3</xdr:col>
                    <xdr:colOff>600075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Scroll Bar 2">
              <controlPr defaultSize="0" autoPict="0">
                <anchor>
                  <from>
                    <xdr:col>1</xdr:col>
                    <xdr:colOff>9525</xdr:colOff>
                    <xdr:row>60</xdr:row>
                    <xdr:rowOff>9525</xdr:rowOff>
                  </from>
                  <to>
                    <xdr:col>4</xdr:col>
                    <xdr:colOff>0</xdr:colOff>
                    <xdr:row>60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4"/>
  <sheetViews>
    <sheetView topLeftCell="A19" zoomScaleNormal="100" workbookViewId="0">
      <selection activeCell="G26" sqref="G26"/>
    </sheetView>
  </sheetViews>
  <sheetFormatPr defaultRowHeight="15" x14ac:dyDescent="0.25"/>
  <cols>
    <col min="3" max="3" width="10.140625" customWidth="1"/>
    <col min="4" max="4" width="9.7109375" customWidth="1"/>
    <col min="7" max="7" width="10.140625" customWidth="1"/>
    <col min="9" max="9" width="11.140625" customWidth="1"/>
    <col min="16" max="16" width="11.5703125" customWidth="1"/>
    <col min="23" max="23" width="16.42578125" customWidth="1"/>
    <col min="26" max="26" width="16.140625" customWidth="1"/>
    <col min="30" max="30" width="19.140625" customWidth="1"/>
  </cols>
  <sheetData>
    <row r="2" spans="1:27" x14ac:dyDescent="0.25">
      <c r="J2" s="17" t="s">
        <v>13</v>
      </c>
      <c r="K2" s="5" t="s">
        <v>14</v>
      </c>
      <c r="L2" s="5" t="s">
        <v>15</v>
      </c>
      <c r="M2" s="37" t="s">
        <v>28</v>
      </c>
      <c r="N2" s="37" t="s">
        <v>29</v>
      </c>
      <c r="O2" s="37"/>
      <c r="P2" s="5" t="s">
        <v>30</v>
      </c>
      <c r="Q2" s="37" t="s">
        <v>47</v>
      </c>
      <c r="R2" s="37"/>
      <c r="S2" s="20" t="s">
        <v>30</v>
      </c>
    </row>
    <row r="3" spans="1:27" x14ac:dyDescent="0.25">
      <c r="B3" s="5" t="s">
        <v>13</v>
      </c>
      <c r="C3" s="5" t="s">
        <v>12</v>
      </c>
      <c r="D3" s="5" t="s">
        <v>8</v>
      </c>
      <c r="E3" s="5" t="s">
        <v>9</v>
      </c>
      <c r="F3" s="5" t="s">
        <v>10</v>
      </c>
      <c r="G3" s="5" t="s">
        <v>11</v>
      </c>
      <c r="H3" s="2"/>
      <c r="I3" s="19" t="s">
        <v>31</v>
      </c>
      <c r="J3" s="17"/>
      <c r="K3" s="5"/>
      <c r="L3" s="5"/>
      <c r="M3" s="37"/>
      <c r="N3" s="5" t="s">
        <v>16</v>
      </c>
      <c r="O3" s="5" t="s">
        <v>17</v>
      </c>
      <c r="P3" s="5" t="s">
        <v>18</v>
      </c>
      <c r="Q3" s="20" t="s">
        <v>16</v>
      </c>
      <c r="R3" s="20" t="s">
        <v>17</v>
      </c>
      <c r="S3" s="20" t="s">
        <v>18</v>
      </c>
      <c r="U3" s="5" t="s">
        <v>0</v>
      </c>
      <c r="V3" s="5" t="s">
        <v>1</v>
      </c>
      <c r="W3" s="5" t="s">
        <v>25</v>
      </c>
      <c r="X3" s="5" t="s">
        <v>2</v>
      </c>
      <c r="Y3" s="5" t="s">
        <v>24</v>
      </c>
      <c r="Z3" s="5" t="s">
        <v>26</v>
      </c>
      <c r="AA3" s="5" t="s">
        <v>27</v>
      </c>
    </row>
    <row r="4" spans="1:27" x14ac:dyDescent="0.25">
      <c r="A4" s="21" t="s">
        <v>32</v>
      </c>
      <c r="B4">
        <v>45</v>
      </c>
      <c r="C4">
        <v>2.0625</v>
      </c>
      <c r="D4">
        <f>AVERAGE(E4:F4)</f>
        <v>1.9375</v>
      </c>
      <c r="E4">
        <v>1.875</v>
      </c>
      <c r="F4">
        <v>2</v>
      </c>
      <c r="G4">
        <v>9</v>
      </c>
      <c r="I4">
        <v>25</v>
      </c>
      <c r="J4">
        <v>45</v>
      </c>
      <c r="K4">
        <f>D4</f>
        <v>1.9375</v>
      </c>
      <c r="U4">
        <v>70</v>
      </c>
      <c r="V4">
        <v>80</v>
      </c>
      <c r="W4">
        <v>90</v>
      </c>
      <c r="X4">
        <v>0.78</v>
      </c>
      <c r="Y4">
        <f>X4*SQRT(W4/365)</f>
        <v>0.38731955586590822</v>
      </c>
      <c r="Z4" s="4">
        <f>1-_xlfn.NORM.S.DIST((LN(V4/U4)/Y4),1)</f>
        <v>0.36513827444601266</v>
      </c>
    </row>
    <row r="5" spans="1:27" x14ac:dyDescent="0.25">
      <c r="A5" s="21" t="s">
        <v>32</v>
      </c>
      <c r="B5">
        <v>48</v>
      </c>
      <c r="C5">
        <v>1.125</v>
      </c>
      <c r="D5">
        <f t="shared" ref="D5:D6" si="0">AVERAGE(E5:F5)</f>
        <v>1.09375</v>
      </c>
      <c r="E5">
        <v>1.0625</v>
      </c>
      <c r="F5">
        <v>1.125</v>
      </c>
      <c r="G5">
        <v>9</v>
      </c>
      <c r="J5">
        <v>48</v>
      </c>
      <c r="K5">
        <f t="shared" ref="K5:K7" si="1">D5</f>
        <v>1.09375</v>
      </c>
      <c r="L5">
        <f>K4</f>
        <v>1.9375</v>
      </c>
      <c r="M5">
        <f>L5-K5</f>
        <v>0.84375</v>
      </c>
      <c r="N5" s="18">
        <f>M5*100-$I$4*2</f>
        <v>34.375</v>
      </c>
      <c r="O5" s="4">
        <f>K5*100</f>
        <v>109.375</v>
      </c>
      <c r="P5" s="4">
        <f>N5/O5</f>
        <v>0.31428571428571428</v>
      </c>
      <c r="Q5">
        <f>M5*5*100-2*$I$4</f>
        <v>371.875</v>
      </c>
      <c r="R5" s="4">
        <f>O5*5</f>
        <v>546.875</v>
      </c>
      <c r="S5" s="4">
        <f>Q5/R5</f>
        <v>0.68</v>
      </c>
    </row>
    <row r="6" spans="1:27" x14ac:dyDescent="0.25">
      <c r="A6" s="21" t="s">
        <v>32</v>
      </c>
      <c r="B6">
        <v>50</v>
      </c>
      <c r="C6">
        <v>0.5625</v>
      </c>
      <c r="D6">
        <f t="shared" si="0"/>
        <v>0.5625</v>
      </c>
      <c r="E6">
        <v>0.5</v>
      </c>
      <c r="F6">
        <v>0.625</v>
      </c>
      <c r="G6">
        <v>9</v>
      </c>
      <c r="J6">
        <v>50</v>
      </c>
      <c r="K6">
        <f t="shared" si="1"/>
        <v>0.5625</v>
      </c>
      <c r="L6">
        <f t="shared" ref="L6:L21" si="2">K5</f>
        <v>1.09375</v>
      </c>
      <c r="M6">
        <f t="shared" ref="M6:M7" si="3">L6-K6</f>
        <v>0.53125</v>
      </c>
      <c r="N6" s="18">
        <f t="shared" ref="N6:N21" si="4">M6*100-$I$4*2</f>
        <v>3.125</v>
      </c>
      <c r="O6" s="4">
        <f>K6*100</f>
        <v>56.25</v>
      </c>
      <c r="P6" s="4">
        <f t="shared" ref="P6:P21" si="5">N6/O6</f>
        <v>5.5555555555555552E-2</v>
      </c>
      <c r="Q6">
        <f t="shared" ref="Q6:Q21" si="6">M6*5*100-2*$I$4</f>
        <v>215.625</v>
      </c>
      <c r="R6" s="4">
        <f t="shared" ref="R6:R21" si="7">O6*5</f>
        <v>281.25</v>
      </c>
      <c r="S6" s="4">
        <f t="shared" ref="S6:S21" si="8">Q6/R6</f>
        <v>0.76666666666666672</v>
      </c>
    </row>
    <row r="7" spans="1:27" x14ac:dyDescent="0.25">
      <c r="A7" s="21" t="s">
        <v>32</v>
      </c>
      <c r="B7">
        <v>55</v>
      </c>
      <c r="C7">
        <v>0.125</v>
      </c>
      <c r="D7">
        <f>AVERAGE(E7:F7)</f>
        <v>0.15625</v>
      </c>
      <c r="E7">
        <v>0.125</v>
      </c>
      <c r="F7">
        <v>0.1875</v>
      </c>
      <c r="G7">
        <v>9</v>
      </c>
      <c r="J7">
        <v>55</v>
      </c>
      <c r="K7">
        <f t="shared" si="1"/>
        <v>0.15625</v>
      </c>
      <c r="L7">
        <f t="shared" si="2"/>
        <v>0.5625</v>
      </c>
      <c r="M7">
        <f t="shared" si="3"/>
        <v>0.40625</v>
      </c>
      <c r="N7" s="18">
        <f t="shared" si="4"/>
        <v>-9.375</v>
      </c>
      <c r="O7" s="4">
        <f>K7*100</f>
        <v>15.625</v>
      </c>
      <c r="P7" s="4">
        <f t="shared" si="5"/>
        <v>-0.6</v>
      </c>
      <c r="Q7">
        <f t="shared" si="6"/>
        <v>153.125</v>
      </c>
      <c r="R7" s="4">
        <f t="shared" si="7"/>
        <v>78.125</v>
      </c>
      <c r="S7" s="4">
        <f t="shared" si="8"/>
        <v>1.96</v>
      </c>
    </row>
    <row r="8" spans="1:27" x14ac:dyDescent="0.25">
      <c r="A8" s="21" t="s">
        <v>32</v>
      </c>
      <c r="B8">
        <v>60</v>
      </c>
      <c r="C8">
        <v>6.25E-2</v>
      </c>
      <c r="D8">
        <f t="shared" ref="D8:D21" si="9">AVERAGE(E8:F8)</f>
        <v>9.375E-2</v>
      </c>
      <c r="E8">
        <v>6.25E-2</v>
      </c>
      <c r="F8">
        <v>0.125</v>
      </c>
      <c r="G8">
        <v>9</v>
      </c>
      <c r="J8">
        <v>60</v>
      </c>
      <c r="K8">
        <f t="shared" ref="K8:K21" si="10">D8</f>
        <v>9.375E-2</v>
      </c>
      <c r="L8">
        <f t="shared" si="2"/>
        <v>0.15625</v>
      </c>
      <c r="M8">
        <f>L8-K8</f>
        <v>6.25E-2</v>
      </c>
      <c r="N8" s="18">
        <f t="shared" si="4"/>
        <v>-43.75</v>
      </c>
      <c r="O8" s="4">
        <f t="shared" ref="O8:O21" si="11">K8*100</f>
        <v>9.375</v>
      </c>
      <c r="P8" s="4">
        <f t="shared" si="5"/>
        <v>-4.666666666666667</v>
      </c>
      <c r="Q8">
        <f t="shared" si="6"/>
        <v>-18.75</v>
      </c>
      <c r="R8" s="4">
        <f t="shared" si="7"/>
        <v>46.875</v>
      </c>
      <c r="S8" s="4">
        <f t="shared" si="8"/>
        <v>-0.4</v>
      </c>
    </row>
    <row r="9" spans="1:27" x14ac:dyDescent="0.25">
      <c r="A9" s="21" t="s">
        <v>32</v>
      </c>
      <c r="B9">
        <v>65</v>
      </c>
      <c r="C9">
        <v>6.25E-2</v>
      </c>
      <c r="D9">
        <f t="shared" si="9"/>
        <v>6.25E-2</v>
      </c>
      <c r="E9">
        <v>6.25E-2</v>
      </c>
      <c r="F9">
        <v>6.25E-2</v>
      </c>
      <c r="G9">
        <v>9</v>
      </c>
      <c r="J9">
        <v>65</v>
      </c>
      <c r="K9">
        <f t="shared" si="10"/>
        <v>6.25E-2</v>
      </c>
      <c r="L9">
        <f t="shared" si="2"/>
        <v>9.375E-2</v>
      </c>
      <c r="M9">
        <f>L9-K9</f>
        <v>3.125E-2</v>
      </c>
      <c r="N9" s="18">
        <f t="shared" si="4"/>
        <v>-46.875</v>
      </c>
      <c r="O9" s="4">
        <f t="shared" si="11"/>
        <v>6.25</v>
      </c>
      <c r="P9" s="4">
        <f t="shared" si="5"/>
        <v>-7.5</v>
      </c>
      <c r="Q9">
        <f t="shared" si="6"/>
        <v>-34.375</v>
      </c>
      <c r="R9" s="4">
        <f t="shared" si="7"/>
        <v>31.25</v>
      </c>
      <c r="S9" s="4">
        <f t="shared" si="8"/>
        <v>-1.1000000000000001</v>
      </c>
    </row>
    <row r="10" spans="1:27" x14ac:dyDescent="0.25">
      <c r="A10" s="21" t="s">
        <v>45</v>
      </c>
      <c r="B10">
        <v>45</v>
      </c>
      <c r="C10">
        <v>3.5</v>
      </c>
      <c r="D10">
        <f t="shared" si="9"/>
        <v>3.40625</v>
      </c>
      <c r="E10">
        <v>3.4375</v>
      </c>
      <c r="F10">
        <v>3.375</v>
      </c>
      <c r="G10">
        <v>37</v>
      </c>
      <c r="J10">
        <v>45</v>
      </c>
      <c r="K10">
        <f t="shared" si="10"/>
        <v>3.40625</v>
      </c>
      <c r="L10">
        <f t="shared" si="2"/>
        <v>6.25E-2</v>
      </c>
      <c r="M10">
        <f t="shared" ref="M10:M21" si="12">L10-K10</f>
        <v>-3.34375</v>
      </c>
      <c r="N10" s="18">
        <f t="shared" si="4"/>
        <v>-384.375</v>
      </c>
      <c r="O10" s="4">
        <f>K10*100</f>
        <v>340.625</v>
      </c>
      <c r="P10" s="4">
        <f t="shared" si="5"/>
        <v>-1.128440366972477</v>
      </c>
      <c r="Q10">
        <f t="shared" si="6"/>
        <v>-1721.875</v>
      </c>
      <c r="R10" s="4">
        <f t="shared" si="7"/>
        <v>1703.125</v>
      </c>
      <c r="S10" s="4">
        <f t="shared" si="8"/>
        <v>-1.0110091743119265</v>
      </c>
    </row>
    <row r="11" spans="1:27" x14ac:dyDescent="0.25">
      <c r="A11" s="21" t="s">
        <v>45</v>
      </c>
      <c r="B11">
        <v>48</v>
      </c>
      <c r="C11">
        <v>2.3125</v>
      </c>
      <c r="D11">
        <f t="shared" si="9"/>
        <v>2.234375</v>
      </c>
      <c r="E11">
        <v>2.28125</v>
      </c>
      <c r="F11">
        <v>2.1875</v>
      </c>
      <c r="G11">
        <v>37</v>
      </c>
      <c r="J11">
        <v>48</v>
      </c>
      <c r="K11">
        <f t="shared" si="10"/>
        <v>2.234375</v>
      </c>
      <c r="L11">
        <f t="shared" si="2"/>
        <v>3.40625</v>
      </c>
      <c r="M11">
        <f t="shared" si="12"/>
        <v>1.171875</v>
      </c>
      <c r="N11" s="18">
        <f t="shared" si="4"/>
        <v>67.1875</v>
      </c>
      <c r="O11" s="4">
        <f t="shared" si="11"/>
        <v>223.4375</v>
      </c>
      <c r="P11" s="4">
        <f t="shared" si="5"/>
        <v>0.30069930069930068</v>
      </c>
      <c r="Q11">
        <f t="shared" si="6"/>
        <v>535.9375</v>
      </c>
      <c r="R11" s="4">
        <f t="shared" si="7"/>
        <v>1117.1875</v>
      </c>
      <c r="S11" s="4">
        <f t="shared" si="8"/>
        <v>0.4797202797202797</v>
      </c>
    </row>
    <row r="12" spans="1:27" x14ac:dyDescent="0.25">
      <c r="A12" s="21" t="s">
        <v>45</v>
      </c>
      <c r="B12">
        <v>50</v>
      </c>
      <c r="C12">
        <v>1.5625</v>
      </c>
      <c r="D12">
        <f t="shared" si="9"/>
        <v>1.46875</v>
      </c>
      <c r="E12">
        <v>1.5</v>
      </c>
      <c r="F12">
        <v>1.4375</v>
      </c>
      <c r="G12">
        <v>37</v>
      </c>
      <c r="J12">
        <v>50</v>
      </c>
      <c r="K12">
        <f t="shared" si="10"/>
        <v>1.46875</v>
      </c>
      <c r="L12">
        <f t="shared" si="2"/>
        <v>2.234375</v>
      </c>
      <c r="M12">
        <f t="shared" si="12"/>
        <v>0.765625</v>
      </c>
      <c r="N12" s="18">
        <f t="shared" si="4"/>
        <v>26.5625</v>
      </c>
      <c r="O12" s="4">
        <f t="shared" si="11"/>
        <v>146.875</v>
      </c>
      <c r="P12" s="4">
        <f t="shared" si="5"/>
        <v>0.18085106382978725</v>
      </c>
      <c r="Q12">
        <f t="shared" si="6"/>
        <v>332.8125</v>
      </c>
      <c r="R12" s="4">
        <f t="shared" si="7"/>
        <v>734.375</v>
      </c>
      <c r="S12" s="4">
        <f t="shared" si="8"/>
        <v>0.45319148936170212</v>
      </c>
    </row>
    <row r="13" spans="1:27" x14ac:dyDescent="0.25">
      <c r="A13" s="21" t="s">
        <v>45</v>
      </c>
      <c r="B13">
        <v>55</v>
      </c>
      <c r="C13">
        <v>0.5625</v>
      </c>
      <c r="D13">
        <f t="shared" si="9"/>
        <v>0.5625</v>
      </c>
      <c r="E13">
        <v>0.5625</v>
      </c>
      <c r="F13">
        <v>0.5625</v>
      </c>
      <c r="G13">
        <v>37</v>
      </c>
      <c r="J13" s="22">
        <v>55</v>
      </c>
      <c r="K13" s="22">
        <f t="shared" si="10"/>
        <v>0.5625</v>
      </c>
      <c r="L13" s="22">
        <f t="shared" si="2"/>
        <v>1.46875</v>
      </c>
      <c r="M13" s="22">
        <f t="shared" si="12"/>
        <v>0.90625</v>
      </c>
      <c r="N13" s="23">
        <f>M13*100-$I$4*2</f>
        <v>40.625</v>
      </c>
      <c r="O13" s="23">
        <f>K13*100</f>
        <v>56.25</v>
      </c>
      <c r="P13" s="23">
        <f t="shared" si="5"/>
        <v>0.72222222222222221</v>
      </c>
      <c r="Q13" s="22">
        <f>M13*5*100-2*$I$4</f>
        <v>403.125</v>
      </c>
      <c r="R13" s="23">
        <f t="shared" si="7"/>
        <v>281.25</v>
      </c>
      <c r="S13" s="23">
        <f t="shared" si="8"/>
        <v>1.4333333333333333</v>
      </c>
    </row>
    <row r="14" spans="1:27" x14ac:dyDescent="0.25">
      <c r="A14" s="21" t="s">
        <v>45</v>
      </c>
      <c r="B14">
        <v>60</v>
      </c>
      <c r="C14">
        <v>0.25</v>
      </c>
      <c r="D14">
        <f t="shared" si="9"/>
        <v>0.203125</v>
      </c>
      <c r="E14">
        <v>0.21875</v>
      </c>
      <c r="F14">
        <v>0.1875</v>
      </c>
      <c r="G14">
        <v>37</v>
      </c>
      <c r="J14">
        <v>60</v>
      </c>
      <c r="K14">
        <f t="shared" si="10"/>
        <v>0.203125</v>
      </c>
      <c r="L14">
        <f t="shared" si="2"/>
        <v>0.5625</v>
      </c>
      <c r="M14">
        <f t="shared" si="12"/>
        <v>0.359375</v>
      </c>
      <c r="N14" s="18">
        <f t="shared" si="4"/>
        <v>-14.0625</v>
      </c>
      <c r="O14" s="4">
        <f t="shared" si="11"/>
        <v>20.3125</v>
      </c>
      <c r="P14" s="4">
        <f t="shared" si="5"/>
        <v>-0.69230769230769229</v>
      </c>
      <c r="Q14">
        <f t="shared" si="6"/>
        <v>129.6875</v>
      </c>
      <c r="R14" s="4">
        <f t="shared" si="7"/>
        <v>101.5625</v>
      </c>
      <c r="S14" s="4">
        <f t="shared" si="8"/>
        <v>1.2769230769230768</v>
      </c>
    </row>
    <row r="15" spans="1:27" x14ac:dyDescent="0.25">
      <c r="A15" s="21" t="s">
        <v>45</v>
      </c>
      <c r="B15">
        <v>65</v>
      </c>
      <c r="C15">
        <v>0.1875</v>
      </c>
      <c r="D15">
        <f t="shared" si="9"/>
        <v>9.375E-2</v>
      </c>
      <c r="E15">
        <v>0.125</v>
      </c>
      <c r="F15">
        <v>6.25E-2</v>
      </c>
      <c r="G15">
        <v>37</v>
      </c>
      <c r="J15">
        <v>65</v>
      </c>
      <c r="K15">
        <f t="shared" si="10"/>
        <v>9.375E-2</v>
      </c>
      <c r="L15">
        <f t="shared" si="2"/>
        <v>0.203125</v>
      </c>
      <c r="M15">
        <f t="shared" si="12"/>
        <v>0.109375</v>
      </c>
      <c r="N15" s="18">
        <f t="shared" si="4"/>
        <v>-39.0625</v>
      </c>
      <c r="O15" s="4">
        <f t="shared" si="11"/>
        <v>9.375</v>
      </c>
      <c r="P15" s="4">
        <f t="shared" si="5"/>
        <v>-4.166666666666667</v>
      </c>
      <c r="Q15">
        <f t="shared" si="6"/>
        <v>4.6875</v>
      </c>
      <c r="R15" s="4">
        <f t="shared" si="7"/>
        <v>46.875</v>
      </c>
      <c r="S15" s="4">
        <f t="shared" si="8"/>
        <v>0.1</v>
      </c>
    </row>
    <row r="16" spans="1:27" x14ac:dyDescent="0.25">
      <c r="A16" s="21" t="s">
        <v>46</v>
      </c>
      <c r="B16">
        <v>45</v>
      </c>
      <c r="C16">
        <v>5.25</v>
      </c>
      <c r="D16">
        <f t="shared" si="9"/>
        <v>5.4375</v>
      </c>
      <c r="E16">
        <v>5.25</v>
      </c>
      <c r="F16">
        <v>5.625</v>
      </c>
      <c r="G16">
        <v>100</v>
      </c>
      <c r="J16">
        <v>45</v>
      </c>
      <c r="K16">
        <f t="shared" si="10"/>
        <v>5.4375</v>
      </c>
      <c r="L16">
        <f t="shared" si="2"/>
        <v>9.375E-2</v>
      </c>
      <c r="M16">
        <f t="shared" si="12"/>
        <v>-5.34375</v>
      </c>
      <c r="N16" s="18">
        <f t="shared" si="4"/>
        <v>-584.375</v>
      </c>
      <c r="O16" s="4">
        <f t="shared" si="11"/>
        <v>543.75</v>
      </c>
      <c r="P16" s="4">
        <f t="shared" si="5"/>
        <v>-1.0747126436781609</v>
      </c>
      <c r="Q16">
        <f t="shared" si="6"/>
        <v>-2721.875</v>
      </c>
      <c r="R16" s="4">
        <f t="shared" si="7"/>
        <v>2718.75</v>
      </c>
      <c r="S16" s="4">
        <f t="shared" si="8"/>
        <v>-1.0011494252873563</v>
      </c>
    </row>
    <row r="17" spans="1:19" x14ac:dyDescent="0.25">
      <c r="A17" s="21" t="s">
        <v>46</v>
      </c>
      <c r="B17">
        <v>50</v>
      </c>
      <c r="C17">
        <v>3.5</v>
      </c>
      <c r="D17">
        <f t="shared" si="9"/>
        <v>3.4375</v>
      </c>
      <c r="E17">
        <v>3.375</v>
      </c>
      <c r="F17">
        <v>3.5</v>
      </c>
      <c r="G17">
        <v>100</v>
      </c>
      <c r="J17">
        <v>50</v>
      </c>
      <c r="K17">
        <f t="shared" si="10"/>
        <v>3.4375</v>
      </c>
      <c r="L17">
        <f t="shared" si="2"/>
        <v>5.4375</v>
      </c>
      <c r="M17">
        <f t="shared" si="12"/>
        <v>2</v>
      </c>
      <c r="N17" s="18">
        <f t="shared" si="4"/>
        <v>150</v>
      </c>
      <c r="O17" s="4">
        <f t="shared" si="11"/>
        <v>343.75</v>
      </c>
      <c r="P17" s="4">
        <f t="shared" si="5"/>
        <v>0.43636363636363634</v>
      </c>
      <c r="Q17">
        <f t="shared" si="6"/>
        <v>950</v>
      </c>
      <c r="R17" s="4">
        <f t="shared" si="7"/>
        <v>1718.75</v>
      </c>
      <c r="S17" s="4">
        <f t="shared" si="8"/>
        <v>0.55272727272727273</v>
      </c>
    </row>
    <row r="18" spans="1:19" x14ac:dyDescent="0.25">
      <c r="A18" s="21" t="s">
        <v>46</v>
      </c>
      <c r="B18">
        <v>55</v>
      </c>
      <c r="C18">
        <v>2.125</v>
      </c>
      <c r="D18">
        <f t="shared" si="9"/>
        <v>2.09375</v>
      </c>
      <c r="E18">
        <v>2.0625</v>
      </c>
      <c r="F18">
        <v>2.125</v>
      </c>
      <c r="G18">
        <v>100</v>
      </c>
      <c r="J18">
        <v>55</v>
      </c>
      <c r="K18">
        <f t="shared" si="10"/>
        <v>2.09375</v>
      </c>
      <c r="L18">
        <f t="shared" si="2"/>
        <v>3.4375</v>
      </c>
      <c r="M18">
        <f t="shared" si="12"/>
        <v>1.34375</v>
      </c>
      <c r="N18" s="18">
        <f t="shared" si="4"/>
        <v>84.375</v>
      </c>
      <c r="O18" s="4">
        <f t="shared" si="11"/>
        <v>209.375</v>
      </c>
      <c r="P18" s="4">
        <f t="shared" si="5"/>
        <v>0.40298507462686567</v>
      </c>
      <c r="Q18">
        <f t="shared" si="6"/>
        <v>621.875</v>
      </c>
      <c r="R18" s="4">
        <f t="shared" si="7"/>
        <v>1046.875</v>
      </c>
      <c r="S18" s="4">
        <f t="shared" si="8"/>
        <v>0.59402985074626868</v>
      </c>
    </row>
    <row r="19" spans="1:19" x14ac:dyDescent="0.25">
      <c r="A19" s="21" t="s">
        <v>46</v>
      </c>
      <c r="B19">
        <v>60</v>
      </c>
      <c r="C19">
        <v>1.25</v>
      </c>
      <c r="D19">
        <f t="shared" si="9"/>
        <v>1.21875</v>
      </c>
      <c r="E19">
        <v>1.1875</v>
      </c>
      <c r="F19">
        <v>1.25</v>
      </c>
      <c r="G19">
        <v>100</v>
      </c>
      <c r="J19">
        <v>60</v>
      </c>
      <c r="K19">
        <f t="shared" si="10"/>
        <v>1.21875</v>
      </c>
      <c r="L19">
        <f t="shared" si="2"/>
        <v>2.09375</v>
      </c>
      <c r="M19">
        <f t="shared" si="12"/>
        <v>0.875</v>
      </c>
      <c r="N19" s="18">
        <f t="shared" si="4"/>
        <v>37.5</v>
      </c>
      <c r="O19" s="4">
        <f t="shared" si="11"/>
        <v>121.875</v>
      </c>
      <c r="P19" s="4">
        <f t="shared" si="5"/>
        <v>0.30769230769230771</v>
      </c>
      <c r="Q19">
        <f t="shared" si="6"/>
        <v>387.5</v>
      </c>
      <c r="R19" s="4">
        <f t="shared" si="7"/>
        <v>609.375</v>
      </c>
      <c r="S19" s="4">
        <f t="shared" si="8"/>
        <v>0.63589743589743586</v>
      </c>
    </row>
    <row r="20" spans="1:19" x14ac:dyDescent="0.25">
      <c r="A20" s="21" t="s">
        <v>46</v>
      </c>
      <c r="B20">
        <v>65</v>
      </c>
      <c r="C20">
        <v>0.6875</v>
      </c>
      <c r="D20">
        <f t="shared" si="9"/>
        <v>0.75</v>
      </c>
      <c r="E20">
        <v>0.6875</v>
      </c>
      <c r="F20">
        <v>0.8125</v>
      </c>
      <c r="G20">
        <v>100</v>
      </c>
      <c r="J20">
        <v>65</v>
      </c>
      <c r="K20">
        <f t="shared" si="10"/>
        <v>0.75</v>
      </c>
      <c r="L20">
        <f t="shared" si="2"/>
        <v>1.21875</v>
      </c>
      <c r="M20">
        <f t="shared" si="12"/>
        <v>0.46875</v>
      </c>
      <c r="N20" s="18">
        <f t="shared" si="4"/>
        <v>-3.125</v>
      </c>
      <c r="O20" s="4">
        <f t="shared" si="11"/>
        <v>75</v>
      </c>
      <c r="P20" s="4">
        <f t="shared" si="5"/>
        <v>-4.1666666666666664E-2</v>
      </c>
      <c r="Q20">
        <f t="shared" si="6"/>
        <v>184.375</v>
      </c>
      <c r="R20" s="4">
        <f t="shared" si="7"/>
        <v>375</v>
      </c>
      <c r="S20" s="4">
        <f t="shared" si="8"/>
        <v>0.49166666666666664</v>
      </c>
    </row>
    <row r="21" spans="1:19" x14ac:dyDescent="0.25">
      <c r="A21" s="21" t="s">
        <v>46</v>
      </c>
      <c r="B21">
        <v>70</v>
      </c>
      <c r="C21">
        <v>0.4375</v>
      </c>
      <c r="D21">
        <f t="shared" si="9"/>
        <v>0.40625</v>
      </c>
      <c r="E21">
        <v>0.375</v>
      </c>
      <c r="F21">
        <v>0.4375</v>
      </c>
      <c r="G21">
        <v>100</v>
      </c>
      <c r="J21">
        <v>70</v>
      </c>
      <c r="K21">
        <f t="shared" si="10"/>
        <v>0.40625</v>
      </c>
      <c r="L21">
        <f t="shared" si="2"/>
        <v>0.75</v>
      </c>
      <c r="M21">
        <f t="shared" si="12"/>
        <v>0.34375</v>
      </c>
      <c r="N21" s="18">
        <f t="shared" si="4"/>
        <v>-15.625</v>
      </c>
      <c r="O21" s="4">
        <f t="shared" si="11"/>
        <v>40.625</v>
      </c>
      <c r="P21" s="4">
        <f t="shared" si="5"/>
        <v>-0.38461538461538464</v>
      </c>
      <c r="Q21">
        <f t="shared" si="6"/>
        <v>121.875</v>
      </c>
      <c r="R21" s="4">
        <f t="shared" si="7"/>
        <v>203.125</v>
      </c>
      <c r="S21" s="4">
        <f t="shared" si="8"/>
        <v>0.6</v>
      </c>
    </row>
    <row r="25" spans="1:19" x14ac:dyDescent="0.25">
      <c r="B25" s="24" t="s">
        <v>33</v>
      </c>
      <c r="C25" s="22"/>
    </row>
    <row r="26" spans="1:19" x14ac:dyDescent="0.25">
      <c r="B26" s="24" t="s">
        <v>34</v>
      </c>
      <c r="C26" s="22"/>
    </row>
    <row r="27" spans="1:19" x14ac:dyDescent="0.25">
      <c r="B27" s="24" t="s">
        <v>35</v>
      </c>
      <c r="C27" s="22"/>
    </row>
    <row r="28" spans="1:19" x14ac:dyDescent="0.25">
      <c r="B28" s="24" t="s">
        <v>36</v>
      </c>
      <c r="C28" s="22"/>
    </row>
    <row r="29" spans="1:19" x14ac:dyDescent="0.25">
      <c r="B29" s="24" t="s">
        <v>37</v>
      </c>
      <c r="C29" s="22"/>
      <c r="L29">
        <v>1</v>
      </c>
    </row>
    <row r="30" spans="1:19" x14ac:dyDescent="0.25">
      <c r="B30" s="24" t="s">
        <v>38</v>
      </c>
      <c r="C30" s="22"/>
    </row>
    <row r="31" spans="1:19" ht="15.75" thickBot="1" x14ac:dyDescent="0.3">
      <c r="B31" s="24" t="s">
        <v>39</v>
      </c>
      <c r="C31" s="22"/>
    </row>
    <row r="32" spans="1:19" x14ac:dyDescent="0.25">
      <c r="B32" s="24" t="s">
        <v>40</v>
      </c>
      <c r="C32" s="22"/>
      <c r="E32" s="6"/>
      <c r="F32" s="7"/>
      <c r="G32" s="7"/>
      <c r="H32" s="7"/>
      <c r="I32" s="7"/>
      <c r="J32" s="7"/>
      <c r="K32" s="7"/>
      <c r="L32" s="7"/>
      <c r="M32" s="7"/>
      <c r="N32" s="7"/>
      <c r="O32" s="8"/>
    </row>
    <row r="33" spans="2:15" x14ac:dyDescent="0.25">
      <c r="B33" s="24" t="s">
        <v>41</v>
      </c>
      <c r="C33" s="22"/>
      <c r="E33" s="9"/>
      <c r="F33" s="10"/>
      <c r="G33" s="10"/>
      <c r="H33" s="10"/>
      <c r="I33" s="10" t="s">
        <v>22</v>
      </c>
      <c r="J33" s="10" t="s">
        <v>23</v>
      </c>
      <c r="K33" s="10"/>
      <c r="L33" s="10"/>
      <c r="M33" s="10"/>
      <c r="N33" s="10" t="s">
        <v>22</v>
      </c>
      <c r="O33" s="11" t="s">
        <v>23</v>
      </c>
    </row>
    <row r="34" spans="2:15" x14ac:dyDescent="0.25">
      <c r="B34" s="24" t="s">
        <v>42</v>
      </c>
      <c r="C34" s="22"/>
      <c r="E34" s="9"/>
      <c r="F34" s="10" t="s">
        <v>19</v>
      </c>
      <c r="G34" s="10">
        <v>2</v>
      </c>
      <c r="H34" s="10"/>
      <c r="I34" s="10">
        <v>1</v>
      </c>
      <c r="J34" s="10">
        <f t="shared" ref="J34:J53" si="13">$G$34*I34^2+$G$35*I34+$G$36</f>
        <v>-13</v>
      </c>
      <c r="K34" s="10"/>
      <c r="L34" s="10"/>
      <c r="M34" s="10"/>
      <c r="N34" s="12">
        <v>-1.3117376002932968</v>
      </c>
      <c r="O34" s="13">
        <f>$G$34*N34^2+$G$35*N34+$G$36</f>
        <v>-9.3448708327059649E-7</v>
      </c>
    </row>
    <row r="35" spans="2:15" x14ac:dyDescent="0.25">
      <c r="B35" s="24" t="s">
        <v>43</v>
      </c>
      <c r="C35" s="22"/>
      <c r="E35" s="9"/>
      <c r="F35" s="10" t="s">
        <v>20</v>
      </c>
      <c r="G35" s="10">
        <v>-5</v>
      </c>
      <c r="H35" s="10"/>
      <c r="I35" s="10">
        <f>I34+0.5</f>
        <v>1.5</v>
      </c>
      <c r="J35" s="10">
        <f t="shared" si="13"/>
        <v>-13</v>
      </c>
      <c r="K35" s="10"/>
      <c r="L35" s="10"/>
      <c r="M35" s="10"/>
      <c r="N35" s="10"/>
      <c r="O35" s="11"/>
    </row>
    <row r="36" spans="2:15" x14ac:dyDescent="0.25">
      <c r="B36" s="24" t="s">
        <v>44</v>
      </c>
      <c r="C36" s="22"/>
      <c r="E36" s="9"/>
      <c r="F36" s="10" t="s">
        <v>21</v>
      </c>
      <c r="G36" s="10">
        <v>-10</v>
      </c>
      <c r="H36" s="10"/>
      <c r="I36" s="10">
        <f t="shared" ref="I36:I53" si="14">I35+0.5</f>
        <v>2</v>
      </c>
      <c r="J36" s="10">
        <f t="shared" si="13"/>
        <v>-12</v>
      </c>
      <c r="K36" s="10"/>
      <c r="L36" s="10"/>
      <c r="M36" s="10"/>
      <c r="N36" s="10"/>
      <c r="O36" s="11"/>
    </row>
    <row r="37" spans="2:15" x14ac:dyDescent="0.25">
      <c r="E37" s="9"/>
      <c r="F37" s="10"/>
      <c r="G37" s="10"/>
      <c r="H37" s="10"/>
      <c r="I37" s="10">
        <f t="shared" si="14"/>
        <v>2.5</v>
      </c>
      <c r="J37" s="10">
        <f t="shared" si="13"/>
        <v>-10</v>
      </c>
      <c r="K37" s="10"/>
      <c r="L37" s="10"/>
      <c r="M37" s="10"/>
      <c r="N37" s="10"/>
      <c r="O37" s="11"/>
    </row>
    <row r="38" spans="2:15" x14ac:dyDescent="0.25">
      <c r="E38" s="9"/>
      <c r="F38" s="10"/>
      <c r="G38" s="10"/>
      <c r="H38" s="10"/>
      <c r="I38" s="10">
        <f t="shared" si="14"/>
        <v>3</v>
      </c>
      <c r="J38" s="10">
        <f t="shared" si="13"/>
        <v>-7</v>
      </c>
      <c r="K38" s="10"/>
      <c r="L38" s="10"/>
      <c r="M38" s="10"/>
      <c r="N38" s="10"/>
      <c r="O38" s="11"/>
    </row>
    <row r="39" spans="2:15" x14ac:dyDescent="0.25">
      <c r="E39" s="9"/>
      <c r="F39" s="10"/>
      <c r="G39" s="10"/>
      <c r="H39" s="10"/>
      <c r="I39" s="10">
        <f t="shared" si="14"/>
        <v>3.5</v>
      </c>
      <c r="J39" s="10">
        <f t="shared" si="13"/>
        <v>-3</v>
      </c>
      <c r="K39" s="10"/>
      <c r="L39" s="10"/>
      <c r="M39" s="10"/>
      <c r="N39" s="10"/>
      <c r="O39" s="11"/>
    </row>
    <row r="40" spans="2:15" x14ac:dyDescent="0.25">
      <c r="E40" s="9"/>
      <c r="F40" s="10"/>
      <c r="G40" s="10"/>
      <c r="H40" s="10"/>
      <c r="I40" s="10">
        <f t="shared" si="14"/>
        <v>4</v>
      </c>
      <c r="J40" s="10">
        <f t="shared" si="13"/>
        <v>2</v>
      </c>
      <c r="K40" s="10"/>
      <c r="L40" s="10"/>
      <c r="M40" s="10"/>
      <c r="N40" s="10"/>
      <c r="O40" s="11"/>
    </row>
    <row r="41" spans="2:15" x14ac:dyDescent="0.25">
      <c r="E41" s="9"/>
      <c r="F41" s="10"/>
      <c r="G41" s="10"/>
      <c r="H41" s="10"/>
      <c r="I41" s="10">
        <f t="shared" si="14"/>
        <v>4.5</v>
      </c>
      <c r="J41" s="10">
        <f t="shared" si="13"/>
        <v>8</v>
      </c>
      <c r="K41" s="10"/>
      <c r="L41" s="10"/>
      <c r="M41" s="10"/>
      <c r="N41" s="10"/>
      <c r="O41" s="11"/>
    </row>
    <row r="42" spans="2:15" x14ac:dyDescent="0.25">
      <c r="E42" s="9"/>
      <c r="F42" s="10"/>
      <c r="G42" s="10"/>
      <c r="H42" s="10"/>
      <c r="I42" s="10">
        <f t="shared" si="14"/>
        <v>5</v>
      </c>
      <c r="J42" s="10">
        <f t="shared" si="13"/>
        <v>15</v>
      </c>
      <c r="K42" s="10"/>
      <c r="L42" s="10"/>
      <c r="M42" s="10"/>
      <c r="N42" s="10"/>
      <c r="O42" s="11"/>
    </row>
    <row r="43" spans="2:15" x14ac:dyDescent="0.25">
      <c r="E43" s="9"/>
      <c r="F43" s="10"/>
      <c r="G43" s="10"/>
      <c r="H43" s="10"/>
      <c r="I43" s="10">
        <f t="shared" si="14"/>
        <v>5.5</v>
      </c>
      <c r="J43" s="10">
        <f t="shared" si="13"/>
        <v>23</v>
      </c>
      <c r="K43" s="10"/>
      <c r="L43" s="10"/>
      <c r="M43" s="10"/>
      <c r="N43" s="10"/>
      <c r="O43" s="11"/>
    </row>
    <row r="44" spans="2:15" x14ac:dyDescent="0.25">
      <c r="E44" s="9"/>
      <c r="F44" s="10"/>
      <c r="G44" s="10"/>
      <c r="H44" s="10"/>
      <c r="I44" s="10">
        <f t="shared" si="14"/>
        <v>6</v>
      </c>
      <c r="J44" s="10">
        <f t="shared" si="13"/>
        <v>32</v>
      </c>
      <c r="K44" s="10"/>
      <c r="L44" s="10"/>
      <c r="M44" s="10"/>
      <c r="N44" s="10"/>
      <c r="O44" s="11"/>
    </row>
    <row r="45" spans="2:15" x14ac:dyDescent="0.25">
      <c r="E45" s="9"/>
      <c r="F45" s="10"/>
      <c r="G45" s="10"/>
      <c r="H45" s="10"/>
      <c r="I45" s="10">
        <f t="shared" si="14"/>
        <v>6.5</v>
      </c>
      <c r="J45" s="10">
        <f t="shared" si="13"/>
        <v>42</v>
      </c>
      <c r="K45" s="10"/>
      <c r="L45" s="10"/>
      <c r="M45" s="10"/>
      <c r="N45" s="10"/>
      <c r="O45" s="11"/>
    </row>
    <row r="46" spans="2:15" x14ac:dyDescent="0.25">
      <c r="E46" s="9"/>
      <c r="F46" s="10"/>
      <c r="G46" s="10"/>
      <c r="H46" s="10"/>
      <c r="I46" s="10">
        <f t="shared" si="14"/>
        <v>7</v>
      </c>
      <c r="J46" s="10">
        <f t="shared" si="13"/>
        <v>53</v>
      </c>
      <c r="K46" s="10"/>
      <c r="L46" s="10"/>
      <c r="M46" s="10"/>
      <c r="N46" s="10"/>
      <c r="O46" s="11"/>
    </row>
    <row r="47" spans="2:15" x14ac:dyDescent="0.25">
      <c r="E47" s="9"/>
      <c r="F47" s="10"/>
      <c r="G47" s="10"/>
      <c r="H47" s="10"/>
      <c r="I47" s="10">
        <f t="shared" si="14"/>
        <v>7.5</v>
      </c>
      <c r="J47" s="10">
        <f t="shared" si="13"/>
        <v>65</v>
      </c>
      <c r="K47" s="10"/>
      <c r="L47" s="10"/>
      <c r="M47" s="10"/>
      <c r="N47" s="10"/>
      <c r="O47" s="11"/>
    </row>
    <row r="48" spans="2:15" x14ac:dyDescent="0.25">
      <c r="E48" s="9"/>
      <c r="F48" s="10"/>
      <c r="G48" s="10"/>
      <c r="H48" s="10"/>
      <c r="I48" s="10">
        <f t="shared" si="14"/>
        <v>8</v>
      </c>
      <c r="J48" s="10">
        <f t="shared" si="13"/>
        <v>78</v>
      </c>
      <c r="K48" s="10"/>
      <c r="L48" s="10"/>
      <c r="M48" s="10"/>
      <c r="N48" s="10"/>
      <c r="O48" s="11"/>
    </row>
    <row r="49" spans="5:15" x14ac:dyDescent="0.25">
      <c r="E49" s="9"/>
      <c r="F49" s="10"/>
      <c r="G49" s="10"/>
      <c r="H49" s="10"/>
      <c r="I49" s="10">
        <f t="shared" si="14"/>
        <v>8.5</v>
      </c>
      <c r="J49" s="10">
        <f t="shared" si="13"/>
        <v>92</v>
      </c>
      <c r="K49" s="10"/>
      <c r="L49" s="10"/>
      <c r="M49" s="10"/>
      <c r="N49" s="10"/>
      <c r="O49" s="11"/>
    </row>
    <row r="50" spans="5:15" x14ac:dyDescent="0.25">
      <c r="E50" s="9"/>
      <c r="F50" s="10"/>
      <c r="G50" s="10"/>
      <c r="H50" s="10"/>
      <c r="I50" s="10">
        <f t="shared" si="14"/>
        <v>9</v>
      </c>
      <c r="J50" s="10">
        <f t="shared" si="13"/>
        <v>107</v>
      </c>
      <c r="K50" s="10"/>
      <c r="L50" s="10"/>
      <c r="M50" s="10"/>
      <c r="N50" s="10"/>
      <c r="O50" s="11"/>
    </row>
    <row r="51" spans="5:15" x14ac:dyDescent="0.25">
      <c r="E51" s="9"/>
      <c r="F51" s="10"/>
      <c r="G51" s="10"/>
      <c r="H51" s="10"/>
      <c r="I51" s="10">
        <f t="shared" si="14"/>
        <v>9.5</v>
      </c>
      <c r="J51" s="10">
        <f t="shared" si="13"/>
        <v>123</v>
      </c>
      <c r="K51" s="10"/>
      <c r="L51" s="10"/>
      <c r="M51" s="10"/>
      <c r="N51" s="10"/>
      <c r="O51" s="11"/>
    </row>
    <row r="52" spans="5:15" x14ac:dyDescent="0.25">
      <c r="E52" s="9"/>
      <c r="F52" s="10"/>
      <c r="G52" s="10"/>
      <c r="H52" s="10"/>
      <c r="I52" s="10">
        <f t="shared" si="14"/>
        <v>10</v>
      </c>
      <c r="J52" s="10">
        <f t="shared" si="13"/>
        <v>140</v>
      </c>
      <c r="K52" s="10"/>
      <c r="L52" s="10"/>
      <c r="M52" s="10"/>
      <c r="N52" s="10"/>
      <c r="O52" s="11"/>
    </row>
    <row r="53" spans="5:15" x14ac:dyDescent="0.25">
      <c r="E53" s="9"/>
      <c r="F53" s="10"/>
      <c r="G53" s="10"/>
      <c r="H53" s="10"/>
      <c r="I53" s="10">
        <f t="shared" si="14"/>
        <v>10.5</v>
      </c>
      <c r="J53" s="10">
        <f t="shared" si="13"/>
        <v>158</v>
      </c>
      <c r="K53" s="10"/>
      <c r="L53" s="10"/>
      <c r="M53" s="10"/>
      <c r="N53" s="10"/>
      <c r="O53" s="11"/>
    </row>
    <row r="54" spans="5:15" ht="15.75" thickBot="1" x14ac:dyDescent="0.3">
      <c r="E54" s="14"/>
      <c r="F54" s="15"/>
      <c r="G54" s="15"/>
      <c r="H54" s="15"/>
      <c r="I54" s="15"/>
      <c r="J54" s="15"/>
      <c r="K54" s="15"/>
      <c r="L54" s="15"/>
      <c r="M54" s="15"/>
      <c r="N54" s="15"/>
      <c r="O54" s="16"/>
    </row>
  </sheetData>
  <mergeCells count="3">
    <mergeCell ref="M2:M3"/>
    <mergeCell ref="N2:O2"/>
    <mergeCell ref="Q2:R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K32" sqref="K32"/>
    </sheetView>
  </sheetViews>
  <sheetFormatPr defaultRowHeight="15" x14ac:dyDescent="0.25"/>
  <cols>
    <col min="3" max="3" width="10.85546875" customWidth="1"/>
    <col min="4" max="4" width="32.140625" customWidth="1"/>
    <col min="5" max="5" width="12.28515625" customWidth="1"/>
    <col min="6" max="6" width="16.42578125" customWidth="1"/>
    <col min="7" max="7" width="30.5703125" customWidth="1"/>
  </cols>
  <sheetData>
    <row r="1" spans="1:8" ht="15" customHeight="1" x14ac:dyDescent="0.25">
      <c r="A1" s="38" t="s">
        <v>48</v>
      </c>
      <c r="B1" s="38"/>
      <c r="C1" s="38"/>
      <c r="D1" s="38"/>
      <c r="E1" s="38"/>
      <c r="F1" s="38"/>
      <c r="G1" s="38"/>
      <c r="H1" s="38"/>
    </row>
    <row r="2" spans="1:8" ht="25.5" x14ac:dyDescent="0.25">
      <c r="A2" s="25" t="s">
        <v>49</v>
      </c>
      <c r="B2" s="25" t="s">
        <v>50</v>
      </c>
      <c r="C2" s="25" t="s">
        <v>51</v>
      </c>
      <c r="D2" s="25" t="s">
        <v>52</v>
      </c>
      <c r="E2" s="25" t="s">
        <v>53</v>
      </c>
      <c r="F2" s="25" t="s">
        <v>54</v>
      </c>
      <c r="G2" s="25" t="s">
        <v>55</v>
      </c>
      <c r="H2" s="25" t="s">
        <v>56</v>
      </c>
    </row>
    <row r="3" spans="1:8" ht="24" x14ac:dyDescent="0.25">
      <c r="A3" s="26" t="s">
        <v>57</v>
      </c>
      <c r="B3" s="26" t="s">
        <v>58</v>
      </c>
      <c r="C3" s="26" t="s">
        <v>59</v>
      </c>
      <c r="D3" s="27" t="s">
        <v>60</v>
      </c>
      <c r="E3" s="27" t="s">
        <v>61</v>
      </c>
      <c r="F3" s="26" t="s">
        <v>62</v>
      </c>
      <c r="G3" s="27" t="s">
        <v>63</v>
      </c>
      <c r="H3" s="27" t="s">
        <v>64</v>
      </c>
    </row>
    <row r="4" spans="1:8" ht="24" x14ac:dyDescent="0.25">
      <c r="A4" s="28" t="s">
        <v>65</v>
      </c>
      <c r="B4" s="28" t="s">
        <v>66</v>
      </c>
      <c r="C4" s="28" t="s">
        <v>59</v>
      </c>
      <c r="D4" s="29" t="s">
        <v>60</v>
      </c>
      <c r="E4" s="29" t="s">
        <v>67</v>
      </c>
      <c r="F4" s="28" t="s">
        <v>62</v>
      </c>
      <c r="G4" s="29" t="s">
        <v>68</v>
      </c>
      <c r="H4" s="29" t="s">
        <v>69</v>
      </c>
    </row>
    <row r="5" spans="1:8" ht="24" x14ac:dyDescent="0.25">
      <c r="A5" s="26" t="s">
        <v>70</v>
      </c>
      <c r="B5" s="26" t="s">
        <v>71</v>
      </c>
      <c r="C5" s="26" t="s">
        <v>59</v>
      </c>
      <c r="D5" s="27" t="s">
        <v>60</v>
      </c>
      <c r="E5" s="27" t="s">
        <v>72</v>
      </c>
      <c r="F5" s="26" t="s">
        <v>62</v>
      </c>
      <c r="G5" s="27" t="s">
        <v>73</v>
      </c>
      <c r="H5" s="27" t="s">
        <v>74</v>
      </c>
    </row>
    <row r="6" spans="1:8" ht="30" customHeight="1" x14ac:dyDescent="0.25">
      <c r="A6" s="28" t="s">
        <v>75</v>
      </c>
      <c r="B6" s="28" t="s">
        <v>76</v>
      </c>
      <c r="C6" s="28" t="s">
        <v>59</v>
      </c>
      <c r="D6" s="29" t="s">
        <v>60</v>
      </c>
      <c r="E6" s="29" t="s">
        <v>77</v>
      </c>
      <c r="F6" s="28" t="s">
        <v>62</v>
      </c>
      <c r="G6" s="29" t="s">
        <v>78</v>
      </c>
      <c r="H6" s="29" t="s">
        <v>74</v>
      </c>
    </row>
    <row r="7" spans="1:8" x14ac:dyDescent="0.25">
      <c r="A7" s="26" t="s">
        <v>79</v>
      </c>
      <c r="B7" s="26" t="s">
        <v>80</v>
      </c>
      <c r="C7" s="26" t="s">
        <v>59</v>
      </c>
      <c r="D7" s="27" t="s">
        <v>60</v>
      </c>
      <c r="E7" s="27" t="s">
        <v>81</v>
      </c>
      <c r="F7" s="26" t="s">
        <v>62</v>
      </c>
      <c r="G7" s="27" t="s">
        <v>78</v>
      </c>
      <c r="H7" s="27" t="s">
        <v>74</v>
      </c>
    </row>
    <row r="8" spans="1:8" ht="24" x14ac:dyDescent="0.25">
      <c r="A8" s="28" t="s">
        <v>82</v>
      </c>
      <c r="B8" s="28" t="s">
        <v>83</v>
      </c>
      <c r="C8" s="28" t="s">
        <v>59</v>
      </c>
      <c r="D8" s="29" t="s">
        <v>60</v>
      </c>
      <c r="E8" s="29" t="s">
        <v>84</v>
      </c>
      <c r="F8" s="28" t="s">
        <v>62</v>
      </c>
      <c r="G8" s="29" t="s">
        <v>68</v>
      </c>
      <c r="H8" s="29" t="s">
        <v>69</v>
      </c>
    </row>
    <row r="9" spans="1:8" ht="24" x14ac:dyDescent="0.25">
      <c r="A9" s="26" t="s">
        <v>85</v>
      </c>
      <c r="B9" s="26" t="s">
        <v>86</v>
      </c>
      <c r="C9" s="26" t="s">
        <v>59</v>
      </c>
      <c r="D9" s="27" t="s">
        <v>60</v>
      </c>
      <c r="E9" s="27" t="s">
        <v>87</v>
      </c>
      <c r="F9" s="26" t="s">
        <v>88</v>
      </c>
      <c r="G9" s="27" t="s">
        <v>89</v>
      </c>
      <c r="H9" s="27" t="s">
        <v>90</v>
      </c>
    </row>
    <row r="10" spans="1:8" ht="36" x14ac:dyDescent="0.25">
      <c r="A10" s="28" t="s">
        <v>91</v>
      </c>
      <c r="B10" s="28" t="s">
        <v>92</v>
      </c>
      <c r="C10" s="28" t="s">
        <v>59</v>
      </c>
      <c r="D10" s="29" t="s">
        <v>60</v>
      </c>
      <c r="E10" s="29" t="s">
        <v>93</v>
      </c>
      <c r="F10" s="28" t="s">
        <v>62</v>
      </c>
      <c r="G10" s="29" t="s">
        <v>68</v>
      </c>
      <c r="H10" s="29" t="s">
        <v>69</v>
      </c>
    </row>
    <row r="11" spans="1:8" ht="15" customHeight="1" x14ac:dyDescent="0.25">
      <c r="A11" s="38" t="s">
        <v>94</v>
      </c>
      <c r="B11" s="38"/>
      <c r="C11" s="38"/>
      <c r="D11" s="38"/>
      <c r="E11" s="38"/>
      <c r="F11" s="38"/>
      <c r="G11" s="38"/>
      <c r="H11" s="38"/>
    </row>
    <row r="12" spans="1:8" ht="25.5" x14ac:dyDescent="0.25">
      <c r="A12" s="25" t="s">
        <v>49</v>
      </c>
      <c r="B12" s="25" t="s">
        <v>50</v>
      </c>
      <c r="C12" s="25" t="s">
        <v>51</v>
      </c>
      <c r="D12" s="25" t="s">
        <v>52</v>
      </c>
      <c r="E12" s="25" t="s">
        <v>53</v>
      </c>
      <c r="F12" s="25" t="s">
        <v>54</v>
      </c>
      <c r="G12" s="25" t="s">
        <v>55</v>
      </c>
      <c r="H12" s="25" t="s">
        <v>56</v>
      </c>
    </row>
    <row r="13" spans="1:8" ht="48" x14ac:dyDescent="0.25">
      <c r="A13" s="26" t="s">
        <v>95</v>
      </c>
      <c r="B13" s="26" t="s">
        <v>96</v>
      </c>
      <c r="C13" s="26" t="s">
        <v>97</v>
      </c>
      <c r="D13" s="27" t="s">
        <v>98</v>
      </c>
      <c r="E13" s="27" t="s">
        <v>99</v>
      </c>
      <c r="F13" s="26" t="s">
        <v>88</v>
      </c>
      <c r="G13" s="27" t="s">
        <v>100</v>
      </c>
      <c r="H13" s="27" t="s">
        <v>101</v>
      </c>
    </row>
    <row r="14" spans="1:8" ht="24" x14ac:dyDescent="0.25">
      <c r="A14" s="28" t="s">
        <v>102</v>
      </c>
      <c r="B14" s="28" t="s">
        <v>103</v>
      </c>
      <c r="C14" s="28" t="s">
        <v>97</v>
      </c>
      <c r="D14" s="29" t="s">
        <v>98</v>
      </c>
      <c r="E14" s="29" t="s">
        <v>104</v>
      </c>
      <c r="F14" s="28" t="s">
        <v>88</v>
      </c>
      <c r="G14" s="29" t="s">
        <v>105</v>
      </c>
      <c r="H14" s="29" t="s">
        <v>106</v>
      </c>
    </row>
    <row r="15" spans="1:8" ht="24" x14ac:dyDescent="0.25">
      <c r="A15" s="26" t="s">
        <v>107</v>
      </c>
      <c r="B15" s="26" t="s">
        <v>108</v>
      </c>
      <c r="C15" s="26" t="s">
        <v>97</v>
      </c>
      <c r="D15" s="27" t="s">
        <v>98</v>
      </c>
      <c r="E15" s="27" t="s">
        <v>104</v>
      </c>
      <c r="F15" s="26" t="s">
        <v>88</v>
      </c>
      <c r="G15" s="27" t="s">
        <v>105</v>
      </c>
      <c r="H15" s="27" t="s">
        <v>106</v>
      </c>
    </row>
    <row r="16" spans="1:8" ht="36" x14ac:dyDescent="0.25">
      <c r="A16" s="28" t="s">
        <v>109</v>
      </c>
      <c r="B16" s="28" t="s">
        <v>110</v>
      </c>
      <c r="C16" s="28" t="s">
        <v>97</v>
      </c>
      <c r="D16" s="29" t="s">
        <v>98</v>
      </c>
      <c r="E16" s="29" t="s">
        <v>111</v>
      </c>
      <c r="F16" s="28" t="s">
        <v>88</v>
      </c>
      <c r="G16" s="29" t="s">
        <v>112</v>
      </c>
      <c r="H16" s="29" t="s">
        <v>113</v>
      </c>
    </row>
    <row r="17" spans="1:8" ht="36" x14ac:dyDescent="0.25">
      <c r="A17" s="26" t="s">
        <v>114</v>
      </c>
      <c r="B17" s="26" t="s">
        <v>115</v>
      </c>
      <c r="C17" s="26" t="s">
        <v>97</v>
      </c>
      <c r="D17" s="27" t="s">
        <v>116</v>
      </c>
      <c r="E17" s="27" t="s">
        <v>117</v>
      </c>
      <c r="F17" s="26" t="s">
        <v>88</v>
      </c>
      <c r="G17" s="27" t="s">
        <v>100</v>
      </c>
      <c r="H17" s="27" t="s">
        <v>101</v>
      </c>
    </row>
    <row r="18" spans="1:8" ht="24" x14ac:dyDescent="0.25">
      <c r="A18" s="28" t="s">
        <v>118</v>
      </c>
      <c r="B18" s="28" t="s">
        <v>119</v>
      </c>
      <c r="C18" s="28" t="s">
        <v>120</v>
      </c>
      <c r="D18" s="29" t="s">
        <v>116</v>
      </c>
      <c r="E18" s="29" t="s">
        <v>121</v>
      </c>
      <c r="F18" s="28" t="s">
        <v>88</v>
      </c>
      <c r="G18" s="29" t="s">
        <v>122</v>
      </c>
      <c r="H18" s="29" t="s">
        <v>123</v>
      </c>
    </row>
    <row r="19" spans="1:8" ht="15" customHeight="1" x14ac:dyDescent="0.25">
      <c r="A19" s="38" t="s">
        <v>124</v>
      </c>
      <c r="B19" s="38"/>
      <c r="C19" s="38"/>
      <c r="D19" s="38"/>
      <c r="E19" s="38"/>
      <c r="F19" s="38"/>
      <c r="G19" s="38"/>
      <c r="H19" s="38"/>
    </row>
    <row r="20" spans="1:8" ht="25.5" x14ac:dyDescent="0.25">
      <c r="A20" s="25" t="s">
        <v>49</v>
      </c>
      <c r="B20" s="25" t="s">
        <v>50</v>
      </c>
      <c r="C20" s="25" t="s">
        <v>51</v>
      </c>
      <c r="D20" s="25" t="s">
        <v>52</v>
      </c>
      <c r="E20" s="25" t="s">
        <v>53</v>
      </c>
      <c r="F20" s="25" t="s">
        <v>54</v>
      </c>
      <c r="G20" s="25" t="s">
        <v>55</v>
      </c>
      <c r="H20" s="25" t="s">
        <v>56</v>
      </c>
    </row>
    <row r="21" spans="1:8" ht="48" x14ac:dyDescent="0.25">
      <c r="A21" s="26" t="s">
        <v>125</v>
      </c>
      <c r="B21" s="26" t="s">
        <v>126</v>
      </c>
      <c r="C21" s="26" t="s">
        <v>120</v>
      </c>
      <c r="D21" s="27" t="s">
        <v>60</v>
      </c>
      <c r="E21" s="27" t="s">
        <v>69</v>
      </c>
      <c r="F21" s="26" t="s">
        <v>62</v>
      </c>
      <c r="G21" s="27" t="s">
        <v>127</v>
      </c>
      <c r="H21" s="27" t="s">
        <v>101</v>
      </c>
    </row>
    <row r="22" spans="1:8" ht="48" x14ac:dyDescent="0.25">
      <c r="A22" s="28" t="s">
        <v>128</v>
      </c>
      <c r="B22" s="28" t="s">
        <v>129</v>
      </c>
      <c r="C22" s="28" t="s">
        <v>120</v>
      </c>
      <c r="D22" s="29" t="s">
        <v>60</v>
      </c>
      <c r="E22" s="29" t="s">
        <v>69</v>
      </c>
      <c r="F22" s="28" t="s">
        <v>62</v>
      </c>
      <c r="G22" s="29" t="s">
        <v>127</v>
      </c>
      <c r="H22" s="29" t="s">
        <v>101</v>
      </c>
    </row>
    <row r="23" spans="1:8" ht="48" x14ac:dyDescent="0.25">
      <c r="A23" s="26" t="s">
        <v>130</v>
      </c>
      <c r="B23" s="26" t="s">
        <v>131</v>
      </c>
      <c r="C23" s="26" t="s">
        <v>120</v>
      </c>
      <c r="D23" s="27" t="s">
        <v>60</v>
      </c>
      <c r="E23" s="27" t="s">
        <v>69</v>
      </c>
      <c r="F23" s="26" t="s">
        <v>62</v>
      </c>
      <c r="G23" s="27" t="s">
        <v>132</v>
      </c>
      <c r="H23" s="27" t="s">
        <v>101</v>
      </c>
    </row>
    <row r="24" spans="1:8" ht="48" x14ac:dyDescent="0.25">
      <c r="A24" s="28" t="s">
        <v>133</v>
      </c>
      <c r="B24" s="28" t="s">
        <v>134</v>
      </c>
      <c r="C24" s="28" t="s">
        <v>120</v>
      </c>
      <c r="D24" s="29" t="s">
        <v>60</v>
      </c>
      <c r="E24" s="29" t="s">
        <v>69</v>
      </c>
      <c r="F24" s="28" t="s">
        <v>62</v>
      </c>
      <c r="G24" s="29" t="s">
        <v>135</v>
      </c>
      <c r="H24" s="29" t="s">
        <v>101</v>
      </c>
    </row>
    <row r="25" spans="1:8" ht="48" x14ac:dyDescent="0.25">
      <c r="A25" s="26" t="s">
        <v>136</v>
      </c>
      <c r="B25" s="26" t="s">
        <v>137</v>
      </c>
      <c r="C25" s="26" t="s">
        <v>120</v>
      </c>
      <c r="D25" s="27" t="s">
        <v>60</v>
      </c>
      <c r="E25" s="27" t="s">
        <v>138</v>
      </c>
      <c r="F25" s="26" t="s">
        <v>62</v>
      </c>
      <c r="G25" s="27" t="s">
        <v>139</v>
      </c>
      <c r="H25" s="27" t="s">
        <v>140</v>
      </c>
    </row>
    <row r="26" spans="1:8" ht="87.75" customHeight="1" x14ac:dyDescent="0.25">
      <c r="A26" s="28" t="s">
        <v>141</v>
      </c>
      <c r="B26" s="28" t="s">
        <v>142</v>
      </c>
      <c r="C26" s="28" t="s">
        <v>120</v>
      </c>
      <c r="D26" s="29" t="s">
        <v>60</v>
      </c>
      <c r="E26" s="29" t="s">
        <v>143</v>
      </c>
      <c r="F26" s="28" t="s">
        <v>88</v>
      </c>
      <c r="G26" s="29" t="s">
        <v>144</v>
      </c>
      <c r="H26" s="29" t="s">
        <v>145</v>
      </c>
    </row>
    <row r="27" spans="1:8" x14ac:dyDescent="0.25">
      <c r="A27" s="26" t="s">
        <v>146</v>
      </c>
      <c r="B27" s="26" t="s">
        <v>147</v>
      </c>
      <c r="C27" s="26" t="s">
        <v>59</v>
      </c>
      <c r="D27" s="27" t="s">
        <v>60</v>
      </c>
      <c r="E27" s="27" t="s">
        <v>148</v>
      </c>
      <c r="F27" s="26" t="s">
        <v>88</v>
      </c>
      <c r="G27" s="27" t="s">
        <v>149</v>
      </c>
      <c r="H27" s="27" t="s">
        <v>150</v>
      </c>
    </row>
    <row r="28" spans="1:8" ht="15" customHeight="1" x14ac:dyDescent="0.25">
      <c r="A28" s="38" t="s">
        <v>151</v>
      </c>
      <c r="B28" s="38"/>
      <c r="C28" s="38"/>
      <c r="D28" s="38"/>
      <c r="E28" s="38"/>
      <c r="F28" s="38"/>
      <c r="G28" s="38"/>
      <c r="H28" s="38"/>
    </row>
    <row r="29" spans="1:8" ht="25.5" x14ac:dyDescent="0.25">
      <c r="A29" s="25" t="s">
        <v>49</v>
      </c>
      <c r="B29" s="25" t="s">
        <v>50</v>
      </c>
      <c r="C29" s="25" t="s">
        <v>51</v>
      </c>
      <c r="D29" s="25" t="s">
        <v>52</v>
      </c>
      <c r="E29" s="25" t="s">
        <v>53</v>
      </c>
      <c r="F29" s="25" t="s">
        <v>54</v>
      </c>
      <c r="G29" s="25" t="s">
        <v>55</v>
      </c>
      <c r="H29" s="25" t="s">
        <v>56</v>
      </c>
    </row>
    <row r="30" spans="1:8" ht="24" x14ac:dyDescent="0.25">
      <c r="A30" s="26" t="s">
        <v>152</v>
      </c>
      <c r="B30" s="26" t="s">
        <v>153</v>
      </c>
      <c r="C30" s="26" t="s">
        <v>120</v>
      </c>
      <c r="D30" s="27" t="s">
        <v>154</v>
      </c>
      <c r="E30" s="27" t="s">
        <v>155</v>
      </c>
      <c r="F30" s="26" t="s">
        <v>156</v>
      </c>
      <c r="G30" s="27" t="s">
        <v>157</v>
      </c>
      <c r="H30" s="27" t="s">
        <v>158</v>
      </c>
    </row>
    <row r="31" spans="1:8" ht="24" x14ac:dyDescent="0.25">
      <c r="A31" s="28" t="s">
        <v>159</v>
      </c>
      <c r="B31" s="28" t="s">
        <v>160</v>
      </c>
      <c r="C31" s="28" t="s">
        <v>120</v>
      </c>
      <c r="D31" s="29" t="s">
        <v>154</v>
      </c>
      <c r="E31" s="29" t="s">
        <v>155</v>
      </c>
      <c r="F31" s="28" t="s">
        <v>156</v>
      </c>
      <c r="G31" s="29" t="s">
        <v>157</v>
      </c>
      <c r="H31" s="29" t="s">
        <v>158</v>
      </c>
    </row>
    <row r="32" spans="1:8" ht="24" x14ac:dyDescent="0.25">
      <c r="A32" s="26" t="s">
        <v>161</v>
      </c>
      <c r="B32" s="26" t="s">
        <v>162</v>
      </c>
      <c r="C32" s="26" t="s">
        <v>120</v>
      </c>
      <c r="D32" s="27" t="s">
        <v>154</v>
      </c>
      <c r="E32" s="27" t="s">
        <v>155</v>
      </c>
      <c r="F32" s="26" t="s">
        <v>163</v>
      </c>
      <c r="G32" s="27" t="s">
        <v>157</v>
      </c>
      <c r="H32" s="27" t="s">
        <v>158</v>
      </c>
    </row>
    <row r="33" spans="1:8" ht="48" x14ac:dyDescent="0.25">
      <c r="A33" s="28" t="s">
        <v>164</v>
      </c>
      <c r="B33" s="28" t="s">
        <v>165</v>
      </c>
      <c r="C33" s="28" t="s">
        <v>120</v>
      </c>
      <c r="D33" s="29" t="s">
        <v>154</v>
      </c>
      <c r="E33" s="29" t="s">
        <v>166</v>
      </c>
      <c r="F33" s="28" t="s">
        <v>167</v>
      </c>
      <c r="G33" s="29" t="s">
        <v>168</v>
      </c>
      <c r="H33" s="29" t="s">
        <v>169</v>
      </c>
    </row>
    <row r="34" spans="1:8" ht="24" x14ac:dyDescent="0.25">
      <c r="A34" s="26" t="s">
        <v>170</v>
      </c>
      <c r="B34" s="26" t="s">
        <v>171</v>
      </c>
      <c r="C34" s="26" t="s">
        <v>120</v>
      </c>
      <c r="D34" s="27" t="s">
        <v>154</v>
      </c>
      <c r="E34" s="27" t="s">
        <v>172</v>
      </c>
      <c r="F34" s="26" t="s">
        <v>167</v>
      </c>
      <c r="G34" s="27" t="s">
        <v>173</v>
      </c>
      <c r="H34" s="27" t="s">
        <v>174</v>
      </c>
    </row>
    <row r="35" spans="1:8" ht="24" x14ac:dyDescent="0.25">
      <c r="A35" s="28" t="s">
        <v>175</v>
      </c>
      <c r="B35" s="28" t="s">
        <v>176</v>
      </c>
      <c r="C35" s="28" t="s">
        <v>120</v>
      </c>
      <c r="D35" s="29" t="s">
        <v>154</v>
      </c>
      <c r="E35" s="29" t="s">
        <v>155</v>
      </c>
      <c r="F35" s="28" t="s">
        <v>156</v>
      </c>
      <c r="G35" s="29" t="s">
        <v>157</v>
      </c>
      <c r="H35" s="29" t="s">
        <v>158</v>
      </c>
    </row>
    <row r="36" spans="1:8" ht="24" x14ac:dyDescent="0.25">
      <c r="A36" s="26" t="s">
        <v>177</v>
      </c>
      <c r="B36" s="26" t="s">
        <v>178</v>
      </c>
      <c r="C36" s="26" t="s">
        <v>120</v>
      </c>
      <c r="D36" s="27" t="s">
        <v>154</v>
      </c>
      <c r="E36" s="27" t="s">
        <v>179</v>
      </c>
      <c r="F36" s="26" t="s">
        <v>180</v>
      </c>
      <c r="G36" s="27" t="s">
        <v>181</v>
      </c>
      <c r="H36" s="27" t="s">
        <v>140</v>
      </c>
    </row>
    <row r="37" spans="1:8" ht="24" x14ac:dyDescent="0.25">
      <c r="A37" s="28" t="s">
        <v>182</v>
      </c>
      <c r="B37" s="28" t="s">
        <v>183</v>
      </c>
      <c r="C37" s="28" t="s">
        <v>184</v>
      </c>
      <c r="D37" s="29" t="s">
        <v>154</v>
      </c>
      <c r="E37" s="29" t="s">
        <v>155</v>
      </c>
      <c r="F37" s="28" t="s">
        <v>156</v>
      </c>
      <c r="G37" s="29" t="s">
        <v>157</v>
      </c>
      <c r="H37" s="29" t="s">
        <v>158</v>
      </c>
    </row>
    <row r="38" spans="1:8" ht="24" x14ac:dyDescent="0.25">
      <c r="A38" s="26" t="s">
        <v>185</v>
      </c>
      <c r="B38" s="26" t="s">
        <v>186</v>
      </c>
      <c r="C38" s="26" t="s">
        <v>187</v>
      </c>
      <c r="D38" s="27" t="s">
        <v>188</v>
      </c>
      <c r="E38" s="27" t="s">
        <v>155</v>
      </c>
      <c r="F38" s="26" t="s">
        <v>156</v>
      </c>
      <c r="G38" s="27" t="s">
        <v>157</v>
      </c>
      <c r="H38" s="27" t="s">
        <v>158</v>
      </c>
    </row>
    <row r="39" spans="1:8" ht="15" customHeight="1" x14ac:dyDescent="0.25">
      <c r="A39" s="38" t="s">
        <v>189</v>
      </c>
      <c r="B39" s="38"/>
      <c r="C39" s="38"/>
      <c r="D39" s="38"/>
      <c r="E39" s="38"/>
      <c r="F39" s="38"/>
      <c r="G39" s="38"/>
      <c r="H39" s="38"/>
    </row>
    <row r="40" spans="1:8" ht="25.5" x14ac:dyDescent="0.25">
      <c r="A40" s="25" t="s">
        <v>49</v>
      </c>
      <c r="B40" s="25" t="s">
        <v>50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56</v>
      </c>
    </row>
    <row r="41" spans="1:8" ht="24" x14ac:dyDescent="0.25">
      <c r="A41" s="26" t="s">
        <v>190</v>
      </c>
      <c r="B41" s="26" t="s">
        <v>191</v>
      </c>
      <c r="C41" s="26" t="s">
        <v>59</v>
      </c>
      <c r="D41" s="27" t="s">
        <v>116</v>
      </c>
      <c r="E41" s="27" t="s">
        <v>192</v>
      </c>
      <c r="F41" s="26" t="s">
        <v>62</v>
      </c>
      <c r="G41" s="27" t="s">
        <v>193</v>
      </c>
      <c r="H41" s="27" t="s">
        <v>158</v>
      </c>
    </row>
    <row r="42" spans="1:8" ht="36" x14ac:dyDescent="0.25">
      <c r="A42" s="28" t="s">
        <v>194</v>
      </c>
      <c r="B42" s="28" t="s">
        <v>195</v>
      </c>
      <c r="C42" s="28" t="s">
        <v>59</v>
      </c>
      <c r="D42" s="29" t="s">
        <v>116</v>
      </c>
      <c r="E42" s="29" t="s">
        <v>196</v>
      </c>
      <c r="F42" s="28" t="s">
        <v>62</v>
      </c>
      <c r="G42" s="29" t="s">
        <v>197</v>
      </c>
      <c r="H42" s="29" t="s">
        <v>198</v>
      </c>
    </row>
    <row r="43" spans="1:8" ht="24" x14ac:dyDescent="0.25">
      <c r="A43" s="26" t="s">
        <v>199</v>
      </c>
      <c r="B43" s="26" t="s">
        <v>200</v>
      </c>
      <c r="C43" s="26" t="s">
        <v>201</v>
      </c>
      <c r="D43" s="27" t="s">
        <v>116</v>
      </c>
      <c r="E43" s="27" t="s">
        <v>202</v>
      </c>
      <c r="F43" s="26" t="s">
        <v>62</v>
      </c>
      <c r="G43" s="27" t="s">
        <v>203</v>
      </c>
      <c r="H43" s="27" t="s">
        <v>204</v>
      </c>
    </row>
    <row r="44" spans="1:8" ht="36" x14ac:dyDescent="0.25">
      <c r="A44" s="28" t="s">
        <v>205</v>
      </c>
      <c r="B44" s="28" t="s">
        <v>206</v>
      </c>
      <c r="C44" s="28" t="s">
        <v>59</v>
      </c>
      <c r="D44" s="29" t="s">
        <v>116</v>
      </c>
      <c r="E44" s="29" t="s">
        <v>207</v>
      </c>
      <c r="F44" s="28" t="s">
        <v>62</v>
      </c>
      <c r="G44" s="29" t="s">
        <v>208</v>
      </c>
      <c r="H44" s="29" t="s">
        <v>169</v>
      </c>
    </row>
    <row r="45" spans="1:8" ht="24" x14ac:dyDescent="0.25">
      <c r="A45" s="26" t="s">
        <v>209</v>
      </c>
      <c r="B45" s="26" t="s">
        <v>210</v>
      </c>
      <c r="C45" s="26" t="s">
        <v>59</v>
      </c>
      <c r="D45" s="27" t="s">
        <v>211</v>
      </c>
      <c r="E45" s="27" t="s">
        <v>212</v>
      </c>
      <c r="F45" s="26" t="s">
        <v>62</v>
      </c>
      <c r="G45" s="27" t="s">
        <v>213</v>
      </c>
      <c r="H45" s="27" t="s">
        <v>214</v>
      </c>
    </row>
    <row r="46" spans="1:8" ht="24" x14ac:dyDescent="0.25">
      <c r="A46" s="28" t="s">
        <v>215</v>
      </c>
      <c r="B46" s="28" t="s">
        <v>216</v>
      </c>
      <c r="C46" s="28" t="s">
        <v>59</v>
      </c>
      <c r="D46" s="29" t="s">
        <v>211</v>
      </c>
      <c r="E46" s="29" t="s">
        <v>207</v>
      </c>
      <c r="F46" s="28" t="s">
        <v>62</v>
      </c>
      <c r="G46" s="29" t="s">
        <v>217</v>
      </c>
      <c r="H46" s="29" t="s">
        <v>169</v>
      </c>
    </row>
    <row r="47" spans="1:8" ht="24" x14ac:dyDescent="0.25">
      <c r="A47" s="26" t="s">
        <v>218</v>
      </c>
      <c r="B47" s="26" t="s">
        <v>219</v>
      </c>
      <c r="C47" s="26" t="s">
        <v>120</v>
      </c>
      <c r="D47" s="27" t="s">
        <v>220</v>
      </c>
      <c r="E47" s="27" t="s">
        <v>221</v>
      </c>
      <c r="F47" s="26" t="s">
        <v>62</v>
      </c>
      <c r="G47" s="27" t="s">
        <v>222</v>
      </c>
      <c r="H47" s="27" t="s">
        <v>223</v>
      </c>
    </row>
    <row r="48" spans="1:8" ht="36" x14ac:dyDescent="0.25">
      <c r="A48" s="28" t="s">
        <v>224</v>
      </c>
      <c r="B48" s="28" t="s">
        <v>225</v>
      </c>
      <c r="C48" s="28" t="s">
        <v>226</v>
      </c>
      <c r="D48" s="29" t="s">
        <v>227</v>
      </c>
      <c r="E48" s="29" t="s">
        <v>228</v>
      </c>
      <c r="F48" s="28" t="s">
        <v>88</v>
      </c>
      <c r="G48" s="29" t="s">
        <v>229</v>
      </c>
      <c r="H48" s="29" t="s">
        <v>101</v>
      </c>
    </row>
    <row r="49" spans="1:8" ht="15" customHeight="1" x14ac:dyDescent="0.25">
      <c r="A49" s="38" t="s">
        <v>230</v>
      </c>
      <c r="B49" s="38"/>
      <c r="C49" s="38"/>
      <c r="D49" s="38"/>
      <c r="E49" s="38"/>
      <c r="F49" s="38"/>
      <c r="G49" s="38"/>
      <c r="H49" s="38"/>
    </row>
    <row r="50" spans="1:8" ht="25.5" x14ac:dyDescent="0.25">
      <c r="A50" s="25" t="s">
        <v>49</v>
      </c>
      <c r="B50" s="25" t="s">
        <v>50</v>
      </c>
      <c r="C50" s="25" t="s">
        <v>51</v>
      </c>
      <c r="D50" s="25" t="s">
        <v>52</v>
      </c>
      <c r="E50" s="25" t="s">
        <v>53</v>
      </c>
      <c r="F50" s="25" t="s">
        <v>54</v>
      </c>
      <c r="G50" s="25" t="s">
        <v>55</v>
      </c>
      <c r="H50" s="25" t="s">
        <v>56</v>
      </c>
    </row>
    <row r="51" spans="1:8" ht="36" x14ac:dyDescent="0.25">
      <c r="A51" s="26" t="s">
        <v>231</v>
      </c>
      <c r="B51" s="26" t="s">
        <v>232</v>
      </c>
      <c r="C51" s="26" t="s">
        <v>59</v>
      </c>
      <c r="D51" s="27" t="s">
        <v>233</v>
      </c>
      <c r="E51" s="27" t="s">
        <v>234</v>
      </c>
      <c r="F51" s="26" t="s">
        <v>235</v>
      </c>
      <c r="G51" s="27" t="s">
        <v>236</v>
      </c>
      <c r="H51" s="27" t="s">
        <v>237</v>
      </c>
    </row>
    <row r="52" spans="1:8" ht="36" x14ac:dyDescent="0.25">
      <c r="A52" s="28" t="s">
        <v>238</v>
      </c>
      <c r="B52" s="28" t="s">
        <v>239</v>
      </c>
      <c r="C52" s="28" t="s">
        <v>59</v>
      </c>
      <c r="D52" s="29" t="s">
        <v>233</v>
      </c>
      <c r="E52" s="29" t="s">
        <v>240</v>
      </c>
      <c r="F52" s="28" t="s">
        <v>241</v>
      </c>
      <c r="G52" s="29" t="s">
        <v>242</v>
      </c>
      <c r="H52" s="29" t="s">
        <v>243</v>
      </c>
    </row>
    <row r="53" spans="1:8" ht="36" x14ac:dyDescent="0.25">
      <c r="A53" s="26" t="s">
        <v>244</v>
      </c>
      <c r="B53" s="26" t="s">
        <v>245</v>
      </c>
      <c r="C53" s="26" t="s">
        <v>59</v>
      </c>
      <c r="D53" s="27" t="s">
        <v>233</v>
      </c>
      <c r="E53" s="27" t="s">
        <v>234</v>
      </c>
      <c r="F53" s="26" t="s">
        <v>246</v>
      </c>
      <c r="G53" s="27" t="s">
        <v>236</v>
      </c>
      <c r="H53" s="27" t="s">
        <v>237</v>
      </c>
    </row>
    <row r="54" spans="1:8" ht="24" x14ac:dyDescent="0.25">
      <c r="A54" s="28" t="s">
        <v>247</v>
      </c>
      <c r="B54" s="28" t="s">
        <v>248</v>
      </c>
      <c r="C54" s="28" t="s">
        <v>59</v>
      </c>
      <c r="D54" s="29" t="s">
        <v>249</v>
      </c>
      <c r="E54" s="29" t="s">
        <v>250</v>
      </c>
      <c r="F54" s="28" t="s">
        <v>88</v>
      </c>
      <c r="G54" s="29" t="s">
        <v>251</v>
      </c>
      <c r="H54" s="29" t="s">
        <v>140</v>
      </c>
    </row>
    <row r="55" spans="1:8" ht="15" customHeight="1" x14ac:dyDescent="0.25">
      <c r="A55" s="38" t="s">
        <v>252</v>
      </c>
      <c r="B55" s="38"/>
      <c r="C55" s="38"/>
      <c r="D55" s="38"/>
      <c r="E55" s="38"/>
      <c r="F55" s="38"/>
      <c r="G55" s="38"/>
      <c r="H55" s="38"/>
    </row>
    <row r="56" spans="1:8" ht="25.5" x14ac:dyDescent="0.25">
      <c r="A56" s="25" t="s">
        <v>49</v>
      </c>
      <c r="B56" s="25" t="s">
        <v>50</v>
      </c>
      <c r="C56" s="25" t="s">
        <v>51</v>
      </c>
      <c r="D56" s="25" t="s">
        <v>52</v>
      </c>
      <c r="E56" s="25" t="s">
        <v>53</v>
      </c>
      <c r="F56" s="25" t="s">
        <v>54</v>
      </c>
      <c r="G56" s="25" t="s">
        <v>55</v>
      </c>
      <c r="H56" s="25" t="s">
        <v>56</v>
      </c>
    </row>
    <row r="57" spans="1:8" ht="24" x14ac:dyDescent="0.25">
      <c r="A57" s="26" t="s">
        <v>253</v>
      </c>
      <c r="B57" s="26" t="s">
        <v>254</v>
      </c>
      <c r="C57" s="26" t="s">
        <v>255</v>
      </c>
      <c r="D57" s="27" t="s">
        <v>256</v>
      </c>
      <c r="E57" s="27" t="s">
        <v>257</v>
      </c>
      <c r="F57" s="26" t="s">
        <v>235</v>
      </c>
      <c r="G57" s="27" t="s">
        <v>258</v>
      </c>
      <c r="H57" s="27" t="s">
        <v>169</v>
      </c>
    </row>
    <row r="58" spans="1:8" ht="24" x14ac:dyDescent="0.25">
      <c r="A58" s="28" t="s">
        <v>259</v>
      </c>
      <c r="B58" s="28" t="s">
        <v>260</v>
      </c>
      <c r="C58" s="28" t="s">
        <v>255</v>
      </c>
      <c r="D58" s="29" t="s">
        <v>261</v>
      </c>
      <c r="E58" s="29" t="s">
        <v>262</v>
      </c>
      <c r="F58" s="28" t="s">
        <v>156</v>
      </c>
      <c r="G58" s="29" t="s">
        <v>263</v>
      </c>
      <c r="H58" s="29" t="s">
        <v>264</v>
      </c>
    </row>
    <row r="59" spans="1:8" ht="36" x14ac:dyDescent="0.25">
      <c r="A59" s="26" t="s">
        <v>265</v>
      </c>
      <c r="B59" s="26" t="s">
        <v>266</v>
      </c>
      <c r="C59" s="26" t="s">
        <v>255</v>
      </c>
      <c r="D59" s="27" t="s">
        <v>267</v>
      </c>
      <c r="E59" s="27" t="s">
        <v>268</v>
      </c>
      <c r="F59" s="26" t="s">
        <v>156</v>
      </c>
      <c r="G59" s="27" t="s">
        <v>269</v>
      </c>
      <c r="H59" s="27" t="s">
        <v>270</v>
      </c>
    </row>
    <row r="60" spans="1:8" ht="24" x14ac:dyDescent="0.25">
      <c r="A60" s="28" t="s">
        <v>271</v>
      </c>
      <c r="B60" s="28" t="s">
        <v>272</v>
      </c>
      <c r="C60" s="28" t="s">
        <v>97</v>
      </c>
      <c r="D60" s="29" t="s">
        <v>273</v>
      </c>
      <c r="E60" s="29" t="s">
        <v>274</v>
      </c>
      <c r="F60" s="28" t="s">
        <v>275</v>
      </c>
      <c r="G60" s="29" t="s">
        <v>276</v>
      </c>
      <c r="H60" s="29" t="s">
        <v>158</v>
      </c>
    </row>
    <row r="61" spans="1:8" ht="24" x14ac:dyDescent="0.25">
      <c r="A61" s="26" t="s">
        <v>277</v>
      </c>
      <c r="B61" s="26" t="s">
        <v>278</v>
      </c>
      <c r="C61" s="26" t="s">
        <v>97</v>
      </c>
      <c r="D61" s="27" t="s">
        <v>279</v>
      </c>
      <c r="E61" s="27" t="s">
        <v>280</v>
      </c>
      <c r="F61" s="26" t="s">
        <v>62</v>
      </c>
      <c r="G61" s="27" t="s">
        <v>281</v>
      </c>
      <c r="H61" s="27" t="s">
        <v>169</v>
      </c>
    </row>
    <row r="62" spans="1:8" ht="15" customHeight="1" x14ac:dyDescent="0.25">
      <c r="A62" s="38" t="s">
        <v>282</v>
      </c>
      <c r="B62" s="38"/>
      <c r="C62" s="38"/>
      <c r="D62" s="38"/>
      <c r="E62" s="38"/>
      <c r="F62" s="38"/>
      <c r="G62" s="38"/>
      <c r="H62" s="38"/>
    </row>
    <row r="63" spans="1:8" ht="25.5" x14ac:dyDescent="0.25">
      <c r="A63" s="25" t="s">
        <v>49</v>
      </c>
      <c r="B63" s="25" t="s">
        <v>50</v>
      </c>
      <c r="C63" s="25" t="s">
        <v>51</v>
      </c>
      <c r="D63" s="25" t="s">
        <v>52</v>
      </c>
      <c r="E63" s="25" t="s">
        <v>53</v>
      </c>
      <c r="F63" s="25" t="s">
        <v>54</v>
      </c>
      <c r="G63" s="25" t="s">
        <v>55</v>
      </c>
      <c r="H63" s="25" t="s">
        <v>56</v>
      </c>
    </row>
    <row r="64" spans="1:8" ht="48" x14ac:dyDescent="0.25">
      <c r="A64" s="26" t="s">
        <v>283</v>
      </c>
      <c r="B64" s="26" t="s">
        <v>284</v>
      </c>
      <c r="C64" s="26" t="s">
        <v>97</v>
      </c>
      <c r="D64" s="27" t="s">
        <v>116</v>
      </c>
      <c r="E64" s="27" t="s">
        <v>285</v>
      </c>
      <c r="F64" s="26" t="s">
        <v>156</v>
      </c>
      <c r="G64" s="27" t="s">
        <v>286</v>
      </c>
      <c r="H64" s="27" t="s">
        <v>287</v>
      </c>
    </row>
    <row r="65" spans="1:8" ht="36" x14ac:dyDescent="0.25">
      <c r="A65" s="28" t="s">
        <v>288</v>
      </c>
      <c r="B65" s="28" t="s">
        <v>289</v>
      </c>
      <c r="C65" s="28" t="s">
        <v>97</v>
      </c>
      <c r="D65" s="29" t="s">
        <v>116</v>
      </c>
      <c r="E65" s="29" t="s">
        <v>290</v>
      </c>
      <c r="F65" s="28" t="s">
        <v>291</v>
      </c>
      <c r="G65" s="29" t="s">
        <v>292</v>
      </c>
      <c r="H65" s="29" t="s">
        <v>293</v>
      </c>
    </row>
    <row r="66" spans="1:8" ht="36" x14ac:dyDescent="0.25">
      <c r="A66" s="26" t="s">
        <v>294</v>
      </c>
      <c r="B66" s="26" t="s">
        <v>295</v>
      </c>
      <c r="C66" s="26" t="s">
        <v>97</v>
      </c>
      <c r="D66" s="27" t="s">
        <v>116</v>
      </c>
      <c r="E66" s="27" t="s">
        <v>296</v>
      </c>
      <c r="F66" s="26" t="s">
        <v>156</v>
      </c>
      <c r="G66" s="27" t="s">
        <v>297</v>
      </c>
      <c r="H66" s="27" t="s">
        <v>223</v>
      </c>
    </row>
    <row r="67" spans="1:8" ht="48" x14ac:dyDescent="0.25">
      <c r="A67" s="28" t="s">
        <v>298</v>
      </c>
      <c r="B67" s="28" t="s">
        <v>299</v>
      </c>
      <c r="C67" s="28" t="s">
        <v>97</v>
      </c>
      <c r="D67" s="29" t="s">
        <v>116</v>
      </c>
      <c r="E67" s="29" t="s">
        <v>300</v>
      </c>
      <c r="F67" s="28" t="s">
        <v>301</v>
      </c>
      <c r="G67" s="29" t="s">
        <v>302</v>
      </c>
      <c r="H67" s="29" t="s">
        <v>243</v>
      </c>
    </row>
    <row r="68" spans="1:8" ht="36" x14ac:dyDescent="0.25">
      <c r="A68" s="26" t="s">
        <v>303</v>
      </c>
      <c r="B68" s="26" t="s">
        <v>304</v>
      </c>
      <c r="C68" s="26" t="s">
        <v>59</v>
      </c>
      <c r="D68" s="27" t="s">
        <v>305</v>
      </c>
      <c r="E68" s="27" t="s">
        <v>306</v>
      </c>
      <c r="F68" s="26" t="s">
        <v>180</v>
      </c>
      <c r="G68" s="27" t="s">
        <v>307</v>
      </c>
      <c r="H68" s="27" t="s">
        <v>308</v>
      </c>
    </row>
  </sheetData>
  <mergeCells count="8">
    <mergeCell ref="A55:H55"/>
    <mergeCell ref="A62:H62"/>
    <mergeCell ref="A1:H1"/>
    <mergeCell ref="A11:H11"/>
    <mergeCell ref="A19:H19"/>
    <mergeCell ref="A28:H28"/>
    <mergeCell ref="A39:H39"/>
    <mergeCell ref="A49:H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71"/>
  <sheetViews>
    <sheetView topLeftCell="A91" workbookViewId="0">
      <selection activeCell="E117" sqref="E117"/>
    </sheetView>
  </sheetViews>
  <sheetFormatPr defaultRowHeight="15" x14ac:dyDescent="0.25"/>
  <cols>
    <col min="10" max="11" width="12" bestFit="1" customWidth="1"/>
  </cols>
  <sheetData>
    <row r="2" spans="2:27" x14ac:dyDescent="0.25">
      <c r="I2" s="30"/>
      <c r="J2" s="30">
        <v>37</v>
      </c>
      <c r="K2" s="30">
        <f>J2+$C$3</f>
        <v>37.5</v>
      </c>
      <c r="L2" s="30">
        <f>K2+$C$3</f>
        <v>38</v>
      </c>
      <c r="M2" s="30">
        <f t="shared" ref="M2:AA2" si="0">L2+$C$3</f>
        <v>38.5</v>
      </c>
      <c r="N2" s="30">
        <f t="shared" si="0"/>
        <v>39</v>
      </c>
      <c r="O2" s="30">
        <f t="shared" si="0"/>
        <v>39.5</v>
      </c>
      <c r="P2" s="30">
        <f t="shared" si="0"/>
        <v>40</v>
      </c>
      <c r="Q2" s="30">
        <f t="shared" si="0"/>
        <v>40.5</v>
      </c>
      <c r="R2" s="30">
        <f t="shared" si="0"/>
        <v>41</v>
      </c>
      <c r="S2" s="30">
        <f t="shared" si="0"/>
        <v>41.5</v>
      </c>
      <c r="T2" s="30">
        <f t="shared" si="0"/>
        <v>42</v>
      </c>
      <c r="U2" s="30">
        <f t="shared" si="0"/>
        <v>42.5</v>
      </c>
      <c r="V2" s="30">
        <f t="shared" si="0"/>
        <v>43</v>
      </c>
      <c r="W2" s="30">
        <f t="shared" si="0"/>
        <v>43.5</v>
      </c>
      <c r="X2" s="30">
        <f t="shared" si="0"/>
        <v>44</v>
      </c>
      <c r="Y2" s="30">
        <f t="shared" si="0"/>
        <v>44.5</v>
      </c>
      <c r="Z2" s="30">
        <f t="shared" si="0"/>
        <v>45</v>
      </c>
      <c r="AA2" s="30">
        <f t="shared" si="0"/>
        <v>45.5</v>
      </c>
    </row>
    <row r="3" spans="2:27" x14ac:dyDescent="0.25">
      <c r="B3" s="1" t="s">
        <v>4</v>
      </c>
      <c r="C3">
        <v>0.5</v>
      </c>
      <c r="I3" s="30">
        <v>1E-4</v>
      </c>
      <c r="J3">
        <f t="shared" ref="J3:S12" si="1">J$2*_xlfn.NORM.S.DIST((LN(J$2/$F$68)+($F$70+$F$69^2/2)*$I3)/($F$69*SQRT($I3)),TRUE) -($F$68*EXP(-$F$70*$I3)*_xlfn.NORM.S.DIST(((LN(J$2/$F$68)+($F$70+$F$69^2/2)*$I3)/($F$69*SQRT($I3))-$F$69*SQRT($I3)),TRUE))</f>
        <v>0</v>
      </c>
      <c r="K3">
        <f t="shared" si="1"/>
        <v>2.3369781843861942E-231</v>
      </c>
      <c r="L3">
        <f t="shared" si="1"/>
        <v>7.1662564898528294E-148</v>
      </c>
      <c r="M3">
        <f t="shared" si="1"/>
        <v>4.2901418329410249E-84</v>
      </c>
      <c r="N3">
        <f t="shared" si="1"/>
        <v>3.1184304397449991E-39</v>
      </c>
      <c r="O3">
        <f t="shared" si="1"/>
        <v>1.9360644320195781E-12</v>
      </c>
      <c r="P3">
        <f t="shared" si="1"/>
        <v>3.195536111520525E-2</v>
      </c>
      <c r="Q3">
        <f t="shared" si="1"/>
        <v>0.50007999992322993</v>
      </c>
      <c r="R3">
        <f t="shared" si="1"/>
        <v>1.000079999919997</v>
      </c>
      <c r="S3">
        <f t="shared" si="1"/>
        <v>1.500079999919997</v>
      </c>
      <c r="T3">
        <f t="shared" ref="T3:AA12" si="2">T$2*_xlfn.NORM.S.DIST((LN(T$2/$F$68)+($F$70+$F$69^2/2)*$I3)/($F$69*SQRT($I3)),TRUE) -($F$68*EXP(-$F$70*$I3)*_xlfn.NORM.S.DIST(((LN(T$2/$F$68)+($F$70+$F$69^2/2)*$I3)/($F$69*SQRT($I3))-$F$69*SQRT($I3)),TRUE))</f>
        <v>2.000079999919997</v>
      </c>
      <c r="U3">
        <f t="shared" si="2"/>
        <v>2.500079999919997</v>
      </c>
      <c r="V3">
        <f t="shared" si="2"/>
        <v>3.000079999919997</v>
      </c>
      <c r="W3">
        <f t="shared" si="2"/>
        <v>3.500079999919997</v>
      </c>
      <c r="X3">
        <f t="shared" si="2"/>
        <v>4.000079999919997</v>
      </c>
      <c r="Y3">
        <f t="shared" si="2"/>
        <v>4.500079999919997</v>
      </c>
      <c r="Z3">
        <f t="shared" si="2"/>
        <v>5.000079999919997</v>
      </c>
      <c r="AA3">
        <f t="shared" si="2"/>
        <v>5.500079999919997</v>
      </c>
    </row>
    <row r="4" spans="2:27" x14ac:dyDescent="0.25">
      <c r="B4" s="1" t="s">
        <v>3</v>
      </c>
      <c r="I4" s="30">
        <f>I3+$C$5</f>
        <v>1.01E-2</v>
      </c>
      <c r="J4">
        <f t="shared" si="1"/>
        <v>9.8092274651386847E-6</v>
      </c>
      <c r="K4">
        <f t="shared" si="1"/>
        <v>1.437261778060861E-4</v>
      </c>
      <c r="L4">
        <f t="shared" si="1"/>
        <v>1.3781224436794914E-3</v>
      </c>
      <c r="M4">
        <f t="shared" si="1"/>
        <v>8.9119038523823857E-3</v>
      </c>
      <c r="N4">
        <f t="shared" si="1"/>
        <v>4.0191357401966776E-2</v>
      </c>
      <c r="O4">
        <f t="shared" si="1"/>
        <v>0.13132211015901163</v>
      </c>
      <c r="P4">
        <f t="shared" si="1"/>
        <v>0.32476362026743288</v>
      </c>
      <c r="Q4">
        <f t="shared" si="1"/>
        <v>0.63839125411184483</v>
      </c>
      <c r="R4">
        <f t="shared" si="1"/>
        <v>1.0502442340730482</v>
      </c>
      <c r="S4">
        <f t="shared" si="1"/>
        <v>1.5185985155724566</v>
      </c>
      <c r="T4">
        <f t="shared" si="2"/>
        <v>2.0100797527882648</v>
      </c>
      <c r="U4">
        <f t="shared" si="2"/>
        <v>2.508367725958351</v>
      </c>
      <c r="V4">
        <f t="shared" si="2"/>
        <v>3.0081107195482417</v>
      </c>
      <c r="W4">
        <f t="shared" si="2"/>
        <v>3.5080818012188857</v>
      </c>
      <c r="X4">
        <f t="shared" si="2"/>
        <v>4.008079349586346</v>
      </c>
      <c r="Y4">
        <f t="shared" si="2"/>
        <v>4.5080791920070311</v>
      </c>
      <c r="Z4">
        <f t="shared" si="2"/>
        <v>5.0080791842753314</v>
      </c>
      <c r="AA4">
        <f t="shared" si="2"/>
        <v>5.5080791839836607</v>
      </c>
    </row>
    <row r="5" spans="2:27" x14ac:dyDescent="0.25">
      <c r="B5" s="1" t="s">
        <v>7</v>
      </c>
      <c r="C5">
        <v>0.01</v>
      </c>
      <c r="I5" s="30">
        <f t="shared" ref="I5:I54" si="3">I4+$C$5</f>
        <v>2.01E-2</v>
      </c>
      <c r="J5">
        <f t="shared" si="1"/>
        <v>1.0294180712979162E-3</v>
      </c>
      <c r="K5">
        <f t="shared" si="1"/>
        <v>4.4914950723775049E-3</v>
      </c>
      <c r="L5">
        <f t="shared" si="1"/>
        <v>1.5984720658005713E-2</v>
      </c>
      <c r="M5">
        <f t="shared" si="1"/>
        <v>4.7115994114490967E-2</v>
      </c>
      <c r="N5">
        <f t="shared" si="1"/>
        <v>0.11690102040734107</v>
      </c>
      <c r="O5">
        <f t="shared" si="1"/>
        <v>0.24840678556259022</v>
      </c>
      <c r="P5">
        <f t="shared" si="1"/>
        <v>0.46045639839697472</v>
      </c>
      <c r="Q5">
        <f t="shared" si="1"/>
        <v>0.75901574141147066</v>
      </c>
      <c r="R5">
        <f t="shared" si="1"/>
        <v>1.1345701050841726</v>
      </c>
      <c r="S5">
        <f t="shared" si="1"/>
        <v>1.5672766518159023</v>
      </c>
      <c r="T5">
        <f t="shared" si="2"/>
        <v>2.0355844263495371</v>
      </c>
      <c r="U5">
        <f t="shared" si="2"/>
        <v>2.5226135942943841</v>
      </c>
      <c r="V5">
        <f t="shared" si="2"/>
        <v>3.0180012524482294</v>
      </c>
      <c r="W5">
        <f t="shared" si="2"/>
        <v>3.5165746615704023</v>
      </c>
      <c r="X5">
        <f t="shared" si="2"/>
        <v>4.0161900901077487</v>
      </c>
      <c r="Y5">
        <f t="shared" si="2"/>
        <v>4.5160994989404699</v>
      </c>
      <c r="Z5">
        <f t="shared" si="2"/>
        <v>5.016080795483596</v>
      </c>
      <c r="AA5">
        <f t="shared" si="2"/>
        <v>5.5160774001483759</v>
      </c>
    </row>
    <row r="6" spans="2:27" x14ac:dyDescent="0.25">
      <c r="I6" s="30">
        <f t="shared" si="3"/>
        <v>3.0100000000000002E-2</v>
      </c>
      <c r="J6">
        <f t="shared" si="1"/>
        <v>5.9943261570710171E-3</v>
      </c>
      <c r="K6">
        <f t="shared" si="1"/>
        <v>1.7213418343491327E-2</v>
      </c>
      <c r="L6">
        <f t="shared" si="1"/>
        <v>4.3299083389026549E-2</v>
      </c>
      <c r="M6">
        <f t="shared" si="1"/>
        <v>9.6361183149675789E-2</v>
      </c>
      <c r="N6">
        <f t="shared" si="1"/>
        <v>0.19169472934802201</v>
      </c>
      <c r="O6">
        <f t="shared" si="1"/>
        <v>0.34453400934630807</v>
      </c>
      <c r="P6">
        <f t="shared" si="1"/>
        <v>0.56563647577031162</v>
      </c>
      <c r="Q6">
        <f t="shared" si="1"/>
        <v>0.85779262145613444</v>
      </c>
      <c r="R6">
        <f t="shared" si="1"/>
        <v>1.2151016122812095</v>
      </c>
      <c r="S6">
        <f t="shared" si="1"/>
        <v>1.6252750002191121</v>
      </c>
      <c r="T6">
        <f t="shared" si="2"/>
        <v>2.0735664998376393</v>
      </c>
      <c r="U6">
        <f t="shared" si="2"/>
        <v>2.5463833928070301</v>
      </c>
      <c r="V6">
        <f t="shared" si="2"/>
        <v>3.0333361593322365</v>
      </c>
      <c r="W6">
        <f t="shared" si="2"/>
        <v>3.527615280590318</v>
      </c>
      <c r="X6">
        <f t="shared" si="2"/>
        <v>4.0253211555540673</v>
      </c>
      <c r="Y6">
        <f t="shared" si="2"/>
        <v>4.5244785279219144</v>
      </c>
      <c r="Z6">
        <f t="shared" si="2"/>
        <v>5.0241945474430665</v>
      </c>
      <c r="AA6">
        <f t="shared" si="2"/>
        <v>5.5241065597121732</v>
      </c>
    </row>
    <row r="7" spans="2:27" x14ac:dyDescent="0.25">
      <c r="I7" s="30">
        <f t="shared" si="3"/>
        <v>4.0100000000000004E-2</v>
      </c>
      <c r="J7">
        <f t="shared" si="1"/>
        <v>1.5882181845072507E-2</v>
      </c>
      <c r="K7">
        <f t="shared" si="1"/>
        <v>3.6766342204911151E-2</v>
      </c>
      <c r="L7">
        <f t="shared" si="1"/>
        <v>7.7196472920562975E-2</v>
      </c>
      <c r="M7">
        <f t="shared" si="1"/>
        <v>0.14808465703274543</v>
      </c>
      <c r="N7">
        <f t="shared" si="1"/>
        <v>0.26145732544080857</v>
      </c>
      <c r="O7">
        <f t="shared" si="1"/>
        <v>0.42809055044724786</v>
      </c>
      <c r="P7">
        <f t="shared" si="1"/>
        <v>0.65496779184702092</v>
      </c>
      <c r="Q7">
        <f t="shared" si="1"/>
        <v>0.94355665639604069</v>
      </c>
      <c r="R7">
        <f t="shared" si="1"/>
        <v>1.2895977798093909</v>
      </c>
      <c r="S7">
        <f t="shared" si="1"/>
        <v>1.6844154033770238</v>
      </c>
      <c r="T7">
        <f t="shared" si="2"/>
        <v>2.1171201295710844</v>
      </c>
      <c r="U7">
        <f t="shared" si="2"/>
        <v>2.5768335779811764</v>
      </c>
      <c r="V7">
        <f t="shared" si="2"/>
        <v>3.0542704277672286</v>
      </c>
      <c r="W7">
        <f t="shared" si="2"/>
        <v>3.5424438512027407</v>
      </c>
      <c r="X7">
        <f t="shared" si="2"/>
        <v>4.0366380790919365</v>
      </c>
      <c r="Y7">
        <f t="shared" si="2"/>
        <v>4.5339660254014618</v>
      </c>
      <c r="Z7">
        <f t="shared" si="2"/>
        <v>5.032811660509978</v>
      </c>
      <c r="AA7">
        <f t="shared" si="2"/>
        <v>5.5323429099809189</v>
      </c>
    </row>
    <row r="8" spans="2:27" x14ac:dyDescent="0.25">
      <c r="I8" s="30">
        <f t="shared" si="3"/>
        <v>5.0100000000000006E-2</v>
      </c>
      <c r="J8">
        <f t="shared" si="1"/>
        <v>3.003389349426655E-2</v>
      </c>
      <c r="K8">
        <f t="shared" si="1"/>
        <v>6.087868329627355E-2</v>
      </c>
      <c r="L8">
        <f t="shared" si="1"/>
        <v>0.11424262193060386</v>
      </c>
      <c r="M8">
        <f t="shared" si="1"/>
        <v>0.1996005572994104</v>
      </c>
      <c r="N8">
        <f t="shared" si="1"/>
        <v>0.32654378878145174</v>
      </c>
      <c r="O8">
        <f t="shared" si="1"/>
        <v>0.5030996239577803</v>
      </c>
      <c r="P8">
        <f t="shared" si="1"/>
        <v>0.73415437743503631</v>
      </c>
      <c r="Q8">
        <f t="shared" si="1"/>
        <v>1.020497040605516</v>
      </c>
      <c r="R8">
        <f t="shared" si="1"/>
        <v>1.3587872422556622</v>
      </c>
      <c r="S8">
        <f t="shared" si="1"/>
        <v>1.7424073388884302</v>
      </c>
      <c r="T8">
        <f t="shared" si="2"/>
        <v>2.1628599163339359</v>
      </c>
      <c r="U8">
        <f t="shared" si="2"/>
        <v>2.6112506110919327</v>
      </c>
      <c r="V8">
        <f t="shared" si="2"/>
        <v>3.0794716787097229</v>
      </c>
      <c r="W8">
        <f t="shared" si="2"/>
        <v>3.560894647532983</v>
      </c>
      <c r="X8">
        <f t="shared" si="2"/>
        <v>4.0505794604216945</v>
      </c>
      <c r="Y8">
        <f t="shared" si="2"/>
        <v>4.5451348044151771</v>
      </c>
      <c r="Z8">
        <f t="shared" si="2"/>
        <v>5.0424004718045126</v>
      </c>
      <c r="AA8">
        <f t="shared" si="2"/>
        <v>5.5410926090396799</v>
      </c>
    </row>
    <row r="9" spans="2:27" x14ac:dyDescent="0.25">
      <c r="I9" s="30">
        <f t="shared" si="3"/>
        <v>6.0100000000000008E-2</v>
      </c>
      <c r="J9">
        <f t="shared" si="1"/>
        <v>4.7489126588390107E-2</v>
      </c>
      <c r="K9">
        <f t="shared" si="1"/>
        <v>8.7907007669603576E-2</v>
      </c>
      <c r="L9">
        <f t="shared" si="1"/>
        <v>0.15268830150813528</v>
      </c>
      <c r="M9">
        <f t="shared" si="1"/>
        <v>0.25000159314973658</v>
      </c>
      <c r="N9">
        <f t="shared" si="1"/>
        <v>0.38764242716049502</v>
      </c>
      <c r="O9">
        <f t="shared" si="1"/>
        <v>0.57182131064774921</v>
      </c>
      <c r="P9">
        <f t="shared" si="1"/>
        <v>0.80612740090181489</v>
      </c>
      <c r="Q9">
        <f t="shared" si="1"/>
        <v>1.090956673053185</v>
      </c>
      <c r="R9">
        <f t="shared" si="1"/>
        <v>1.4235504053795971</v>
      </c>
      <c r="S9">
        <f t="shared" si="1"/>
        <v>1.7985978724760194</v>
      </c>
      <c r="T9">
        <f t="shared" si="2"/>
        <v>2.2091987080860775</v>
      </c>
      <c r="U9">
        <f t="shared" si="2"/>
        <v>2.6479130981024568</v>
      </c>
      <c r="V9">
        <f t="shared" si="2"/>
        <v>3.1076603653226016</v>
      </c>
      <c r="W9">
        <f t="shared" si="2"/>
        <v>3.5823242630847076</v>
      </c>
      <c r="X9">
        <f t="shared" si="2"/>
        <v>4.0670352059265724</v>
      </c>
      <c r="Y9">
        <f t="shared" si="2"/>
        <v>4.5581845048199696</v>
      </c>
      <c r="Z9">
        <f t="shared" si="2"/>
        <v>5.0532658872133496</v>
      </c>
      <c r="AA9">
        <f t="shared" si="2"/>
        <v>5.5506396876726711</v>
      </c>
    </row>
    <row r="10" spans="2:27" x14ac:dyDescent="0.25">
      <c r="I10" s="30">
        <f t="shared" si="3"/>
        <v>7.010000000000001E-2</v>
      </c>
      <c r="J10">
        <f t="shared" si="1"/>
        <v>6.7411195638105603E-2</v>
      </c>
      <c r="K10">
        <f t="shared" si="1"/>
        <v>0.11677344818354207</v>
      </c>
      <c r="L10">
        <f t="shared" si="1"/>
        <v>0.19161501821460281</v>
      </c>
      <c r="M10">
        <f t="shared" si="1"/>
        <v>0.29899675581151008</v>
      </c>
      <c r="N10">
        <f t="shared" si="1"/>
        <v>0.44536732484449004</v>
      </c>
      <c r="O10">
        <f t="shared" si="1"/>
        <v>0.63566982483828127</v>
      </c>
      <c r="P10">
        <f t="shared" si="1"/>
        <v>0.87263019828482058</v>
      </c>
      <c r="Q10">
        <f t="shared" si="1"/>
        <v>1.1563980631268649</v>
      </c>
      <c r="R10">
        <f t="shared" si="1"/>
        <v>1.4846138439818084</v>
      </c>
      <c r="S10">
        <f t="shared" si="1"/>
        <v>1.8528603754732345</v>
      </c>
      <c r="T10">
        <f t="shared" si="2"/>
        <v>2.2553652185902848</v>
      </c>
      <c r="U10">
        <f t="shared" si="2"/>
        <v>2.6857798488313662</v>
      </c>
      <c r="V10">
        <f t="shared" si="2"/>
        <v>3.1378775390662881</v>
      </c>
      <c r="W10">
        <f t="shared" si="2"/>
        <v>3.6060661766528668</v>
      </c>
      <c r="X10">
        <f t="shared" si="2"/>
        <v>4.0856792077646347</v>
      </c>
      <c r="Y10">
        <f t="shared" si="2"/>
        <v>4.5730643712722667</v>
      </c>
      <c r="Z10">
        <f t="shared" si="2"/>
        <v>5.0655234198841796</v>
      </c>
      <c r="AA10">
        <f t="shared" si="2"/>
        <v>5.5611655416684798</v>
      </c>
    </row>
    <row r="11" spans="2:27" x14ac:dyDescent="0.25">
      <c r="I11" s="30">
        <f t="shared" si="3"/>
        <v>8.0100000000000005E-2</v>
      </c>
      <c r="J11">
        <f t="shared" si="1"/>
        <v>8.9151682443698643E-2</v>
      </c>
      <c r="K11">
        <f t="shared" si="1"/>
        <v>0.14677679825896295</v>
      </c>
      <c r="L11">
        <f t="shared" si="1"/>
        <v>0.23052353385050584</v>
      </c>
      <c r="M11">
        <f t="shared" si="1"/>
        <v>0.34653100790901981</v>
      </c>
      <c r="N11">
        <f t="shared" si="1"/>
        <v>0.50021563301460148</v>
      </c>
      <c r="O11">
        <f t="shared" si="1"/>
        <v>0.69559843041496094</v>
      </c>
      <c r="P11">
        <f t="shared" si="1"/>
        <v>0.93479958368310534</v>
      </c>
      <c r="Q11">
        <f t="shared" si="1"/>
        <v>1.2178055243262413</v>
      </c>
      <c r="R11">
        <f t="shared" si="1"/>
        <v>1.5425467525572785</v>
      </c>
      <c r="S11">
        <f t="shared" si="1"/>
        <v>1.9052506710301067</v>
      </c>
      <c r="T11">
        <f t="shared" si="2"/>
        <v>2.3009767153028022</v>
      </c>
      <c r="U11">
        <f t="shared" si="2"/>
        <v>2.7242158476971028</v>
      </c>
      <c r="V11">
        <f t="shared" si="2"/>
        <v>3.1694448350969537</v>
      </c>
      <c r="W11">
        <f t="shared" si="2"/>
        <v>3.6315583427486544</v>
      </c>
      <c r="X11">
        <f t="shared" si="2"/>
        <v>4.1061441524851929</v>
      </c>
      <c r="Y11">
        <f t="shared" si="2"/>
        <v>4.5896051831591791</v>
      </c>
      <c r="Z11">
        <f t="shared" si="2"/>
        <v>5.0791580142986774</v>
      </c>
      <c r="AA11">
        <f t="shared" si="2"/>
        <v>5.5727489982208738</v>
      </c>
    </row>
    <row r="12" spans="2:27" x14ac:dyDescent="0.25">
      <c r="I12" s="30">
        <f t="shared" si="3"/>
        <v>9.01E-2</v>
      </c>
      <c r="J12">
        <f t="shared" si="1"/>
        <v>0.11222491649203548</v>
      </c>
      <c r="K12">
        <f t="shared" si="1"/>
        <v>0.17745517020341506</v>
      </c>
      <c r="L12">
        <f t="shared" si="1"/>
        <v>0.26913681537761747</v>
      </c>
      <c r="M12">
        <f t="shared" si="1"/>
        <v>0.39264349012307953</v>
      </c>
      <c r="N12">
        <f t="shared" si="1"/>
        <v>0.55258385798606291</v>
      </c>
      <c r="O12">
        <f t="shared" si="1"/>
        <v>0.75228537718101052</v>
      </c>
      <c r="P12">
        <f t="shared" si="1"/>
        <v>0.99342567212105592</v>
      </c>
      <c r="Q12">
        <f t="shared" si="1"/>
        <v>1.2758786571002751</v>
      </c>
      <c r="R12">
        <f t="shared" si="1"/>
        <v>1.5977948544385896</v>
      </c>
      <c r="S12">
        <f t="shared" si="1"/>
        <v>1.9558859052356645</v>
      </c>
      <c r="T12">
        <f t="shared" si="2"/>
        <v>2.3458460938297421</v>
      </c>
      <c r="U12">
        <f t="shared" si="2"/>
        <v>2.7628271438624168</v>
      </c>
      <c r="V12">
        <f t="shared" si="2"/>
        <v>3.2018873952437872</v>
      </c>
      <c r="W12">
        <f t="shared" si="2"/>
        <v>3.6583572116235956</v>
      </c>
      <c r="X12">
        <f t="shared" si="2"/>
        <v>4.1280904132188567</v>
      </c>
      <c r="Y12">
        <f t="shared" si="2"/>
        <v>4.6075982795992303</v>
      </c>
      <c r="Z12">
        <f t="shared" si="2"/>
        <v>5.0940824956452033</v>
      </c>
      <c r="AA12">
        <f t="shared" si="2"/>
        <v>5.5853940876485098</v>
      </c>
    </row>
    <row r="13" spans="2:27" x14ac:dyDescent="0.25">
      <c r="I13" s="30">
        <f t="shared" si="3"/>
        <v>0.10009999999999999</v>
      </c>
      <c r="J13">
        <f t="shared" ref="J13:S22" si="4">J$2*_xlfn.NORM.S.DIST((LN(J$2/$F$68)+($F$70+$F$69^2/2)*$I13)/($F$69*SQRT($I13)),TRUE) -($F$68*EXP(-$F$70*$I13)*_xlfn.NORM.S.DIST(((LN(J$2/$F$68)+($F$70+$F$69^2/2)*$I13)/($F$69*SQRT($I13))-$F$69*SQRT($I13)),TRUE))</f>
        <v>0.1362696889807804</v>
      </c>
      <c r="K13">
        <f t="shared" si="4"/>
        <v>0.20849936118685708</v>
      </c>
      <c r="L13">
        <f t="shared" si="4"/>
        <v>0.30730101718034319</v>
      </c>
      <c r="M13">
        <f t="shared" si="4"/>
        <v>0.43740967102785255</v>
      </c>
      <c r="N13">
        <f t="shared" si="4"/>
        <v>0.60278997075660889</v>
      </c>
      <c r="O13">
        <f t="shared" si="4"/>
        <v>0.80623344516139284</v>
      </c>
      <c r="P13">
        <f t="shared" si="4"/>
        <v>1.0490840155861392</v>
      </c>
      <c r="Q13">
        <f t="shared" si="4"/>
        <v>1.331135664503833</v>
      </c>
      <c r="R13">
        <f t="shared" si="4"/>
        <v>1.6507114172872406</v>
      </c>
      <c r="S13">
        <f t="shared" si="4"/>
        <v>2.0048984841089599</v>
      </c>
      <c r="T13">
        <f t="shared" ref="T13:AA22" si="5">T$2*_xlfn.NORM.S.DIST((LN(T$2/$F$68)+($F$70+$F$69^2/2)*$I13)/($F$69*SQRT($I13)),TRUE) -($F$68*EXP(-$F$70*$I13)*_xlfn.NORM.S.DIST(((LN(T$2/$F$68)+($F$70+$F$69^2/2)*$I13)/($F$69*SQRT($I13))-$F$69*SQRT($I13)),TRUE))</f>
        <v>2.3898891621535761</v>
      </c>
      <c r="U13">
        <f t="shared" si="5"/>
        <v>2.8013658375050525</v>
      </c>
      <c r="V13">
        <f t="shared" si="5"/>
        <v>3.2348714665770402</v>
      </c>
      <c r="W13">
        <f t="shared" si="5"/>
        <v>3.6861207674801477</v>
      </c>
      <c r="X13">
        <f t="shared" si="5"/>
        <v>4.1512265558556791</v>
      </c>
      <c r="Y13">
        <f t="shared" si="5"/>
        <v>4.6268347928936677</v>
      </c>
      <c r="Z13">
        <f t="shared" si="5"/>
        <v>5.1101770315963009</v>
      </c>
      <c r="AA13">
        <f t="shared" si="5"/>
        <v>5.599058182868049</v>
      </c>
    </row>
    <row r="14" spans="2:27" x14ac:dyDescent="0.25">
      <c r="I14" s="30">
        <f t="shared" si="3"/>
        <v>0.11009999999999999</v>
      </c>
      <c r="J14">
        <f t="shared" si="4"/>
        <v>0.16101654312368563</v>
      </c>
      <c r="K14">
        <f t="shared" si="4"/>
        <v>0.23969930809894535</v>
      </c>
      <c r="L14">
        <f t="shared" si="4"/>
        <v>0.34493310832600343</v>
      </c>
      <c r="M14">
        <f t="shared" si="4"/>
        <v>0.48091640717890272</v>
      </c>
      <c r="N14">
        <f t="shared" si="4"/>
        <v>0.65109184324124847</v>
      </c>
      <c r="O14">
        <f t="shared" si="4"/>
        <v>0.85782752641940263</v>
      </c>
      <c r="P14">
        <f t="shared" si="4"/>
        <v>1.1022092776432189</v>
      </c>
      <c r="Q14">
        <f t="shared" si="4"/>
        <v>1.3839730080834869</v>
      </c>
      <c r="R14">
        <f t="shared" si="4"/>
        <v>1.7015806015235988</v>
      </c>
      <c r="S14">
        <f t="shared" si="4"/>
        <v>2.0524181262260015</v>
      </c>
      <c r="T14">
        <f t="shared" si="5"/>
        <v>2.4330774892703211</v>
      </c>
      <c r="U14">
        <f t="shared" si="5"/>
        <v>2.8396747727591602</v>
      </c>
      <c r="V14">
        <f t="shared" si="5"/>
        <v>3.2681605321900307</v>
      </c>
      <c r="W14">
        <f t="shared" si="5"/>
        <v>3.7145869719696236</v>
      </c>
      <c r="X14">
        <f t="shared" si="5"/>
        <v>4.1753105554311887</v>
      </c>
      <c r="Y14">
        <f t="shared" si="5"/>
        <v>4.6471226232477747</v>
      </c>
      <c r="Z14">
        <f t="shared" si="5"/>
        <v>5.1273122148807602</v>
      </c>
      <c r="AA14">
        <f t="shared" si="5"/>
        <v>5.6136730281798037</v>
      </c>
    </row>
    <row r="15" spans="2:27" x14ac:dyDescent="0.25">
      <c r="I15" s="30">
        <f t="shared" si="3"/>
        <v>0.12009999999999998</v>
      </c>
      <c r="J15">
        <f t="shared" si="4"/>
        <v>0.18626310195741436</v>
      </c>
      <c r="K15">
        <f t="shared" si="4"/>
        <v>0.27091064595654935</v>
      </c>
      <c r="L15">
        <f t="shared" si="4"/>
        <v>0.38199188623510238</v>
      </c>
      <c r="M15">
        <f t="shared" si="4"/>
        <v>0.52325096104498137</v>
      </c>
      <c r="N15">
        <f t="shared" si="4"/>
        <v>0.69770122996009576</v>
      </c>
      <c r="O15">
        <f t="shared" si="4"/>
        <v>0.90737000170734561</v>
      </c>
      <c r="P15">
        <f t="shared" si="4"/>
        <v>1.1531392583145106</v>
      </c>
      <c r="Q15">
        <f t="shared" si="4"/>
        <v>1.434702010206518</v>
      </c>
      <c r="R15">
        <f t="shared" si="4"/>
        <v>1.7506343414569372</v>
      </c>
      <c r="S15">
        <f t="shared" si="4"/>
        <v>2.0985652080751187</v>
      </c>
      <c r="T15">
        <f t="shared" si="5"/>
        <v>2.4754132853561828</v>
      </c>
      <c r="U15">
        <f t="shared" si="5"/>
        <v>2.8776545266833509</v>
      </c>
      <c r="V15">
        <f t="shared" si="5"/>
        <v>3.3015855521755384</v>
      </c>
      <c r="W15">
        <f t="shared" si="5"/>
        <v>3.7435549232555587</v>
      </c>
      <c r="X15">
        <f t="shared" si="5"/>
        <v>4.2001443312218854</v>
      </c>
      <c r="Y15">
        <f t="shared" si="5"/>
        <v>4.6682922219592342</v>
      </c>
      <c r="Z15">
        <f t="shared" si="5"/>
        <v>5.1453614101035896</v>
      </c>
      <c r="AA15">
        <f t="shared" si="5"/>
        <v>5.6291586448208193</v>
      </c>
    </row>
    <row r="16" spans="2:27" x14ac:dyDescent="0.25">
      <c r="I16" s="30">
        <f t="shared" si="3"/>
        <v>0.13009999999999999</v>
      </c>
      <c r="J16">
        <f t="shared" si="4"/>
        <v>0.2118561728449766</v>
      </c>
      <c r="K16">
        <f t="shared" si="4"/>
        <v>0.3020334129573925</v>
      </c>
      <c r="L16">
        <f t="shared" si="4"/>
        <v>0.41846130883215693</v>
      </c>
      <c r="M16">
        <f t="shared" si="4"/>
        <v>0.56449627438888328</v>
      </c>
      <c r="N16">
        <f t="shared" si="4"/>
        <v>0.7427941384008534</v>
      </c>
      <c r="O16">
        <f t="shared" si="4"/>
        <v>0.95510354822398824</v>
      </c>
      <c r="P16">
        <f t="shared" si="4"/>
        <v>1.2021426671797535</v>
      </c>
      <c r="Q16">
        <f t="shared" si="4"/>
        <v>1.4835724279699249</v>
      </c>
      <c r="R16">
        <f t="shared" si="4"/>
        <v>1.798064522121976</v>
      </c>
      <c r="S16">
        <f t="shared" si="4"/>
        <v>2.1434488219888443</v>
      </c>
      <c r="T16">
        <f t="shared" si="5"/>
        <v>2.5169155204212714</v>
      </c>
      <c r="U16">
        <f t="shared" si="5"/>
        <v>2.9152431645095476</v>
      </c>
      <c r="V16">
        <f t="shared" si="5"/>
        <v>3.3350248547893955</v>
      </c>
      <c r="W16">
        <f t="shared" si="5"/>
        <v>3.7728700269414759</v>
      </c>
      <c r="X16">
        <f t="shared" si="5"/>
        <v>4.2255667048065177</v>
      </c>
      <c r="Y16">
        <f t="shared" si="5"/>
        <v>4.6901971259209674</v>
      </c>
      <c r="Z16">
        <f t="shared" si="5"/>
        <v>5.1642067435888706</v>
      </c>
      <c r="AA16">
        <f t="shared" si="5"/>
        <v>5.6454319001152413</v>
      </c>
    </row>
    <row r="17" spans="9:27" x14ac:dyDescent="0.25">
      <c r="I17" s="30">
        <f t="shared" si="3"/>
        <v>0.1401</v>
      </c>
      <c r="J17">
        <f t="shared" si="4"/>
        <v>0.23767889839766365</v>
      </c>
      <c r="K17">
        <f t="shared" si="4"/>
        <v>0.33299819796742902</v>
      </c>
      <c r="L17">
        <f t="shared" si="4"/>
        <v>0.45434060311341185</v>
      </c>
      <c r="M17">
        <f t="shared" si="4"/>
        <v>0.60472914350564366</v>
      </c>
      <c r="N17">
        <f t="shared" si="4"/>
        <v>0.78651852379026899</v>
      </c>
      <c r="O17">
        <f t="shared" si="4"/>
        <v>1.0012264357952816</v>
      </c>
      <c r="P17">
        <f t="shared" si="4"/>
        <v>1.2494374262145946</v>
      </c>
      <c r="Q17">
        <f t="shared" si="4"/>
        <v>1.5307882504020291</v>
      </c>
      <c r="R17">
        <f t="shared" si="4"/>
        <v>1.8440318502941473</v>
      </c>
      <c r="S17">
        <f t="shared" si="4"/>
        <v>2.1871668060675837</v>
      </c>
      <c r="T17">
        <f t="shared" si="5"/>
        <v>2.5576120394618194</v>
      </c>
      <c r="U17">
        <f t="shared" si="5"/>
        <v>2.9524035020680657</v>
      </c>
      <c r="V17">
        <f t="shared" si="5"/>
        <v>3.3683904427275948</v>
      </c>
      <c r="W17">
        <f t="shared" si="5"/>
        <v>3.8024127634444369</v>
      </c>
      <c r="X17">
        <f t="shared" si="5"/>
        <v>4.2514466940362468</v>
      </c>
      <c r="Y17">
        <f t="shared" si="5"/>
        <v>4.7127122420907597</v>
      </c>
      <c r="Z17">
        <f t="shared" si="5"/>
        <v>5.1837415278732664</v>
      </c>
      <c r="AA17">
        <f t="shared" si="5"/>
        <v>5.6624114887211121</v>
      </c>
    </row>
    <row r="18" spans="9:27" x14ac:dyDescent="0.25">
      <c r="I18" s="30">
        <f t="shared" si="3"/>
        <v>0.15010000000000001</v>
      </c>
      <c r="J18">
        <f t="shared" si="4"/>
        <v>0.26364151477374609</v>
      </c>
      <c r="K18">
        <f t="shared" si="4"/>
        <v>0.3637569405122747</v>
      </c>
      <c r="L18">
        <f t="shared" si="4"/>
        <v>0.48963824332199302</v>
      </c>
      <c r="M18">
        <f t="shared" si="4"/>
        <v>0.64401975818770296</v>
      </c>
      <c r="N18">
        <f t="shared" si="4"/>
        <v>0.82900004801194349</v>
      </c>
      <c r="O18">
        <f t="shared" si="4"/>
        <v>1.0459031284498401</v>
      </c>
      <c r="P18">
        <f t="shared" si="4"/>
        <v>1.2952031735129133</v>
      </c>
      <c r="Q18">
        <f t="shared" si="4"/>
        <v>1.5765186400676789</v>
      </c>
      <c r="R18">
        <f t="shared" si="4"/>
        <v>1.8886724078691479</v>
      </c>
      <c r="S18">
        <f t="shared" si="4"/>
        <v>2.2298065564010869</v>
      </c>
      <c r="T18">
        <f t="shared" si="5"/>
        <v>2.5975349985453811</v>
      </c>
      <c r="U18">
        <f t="shared" si="5"/>
        <v>2.9891149049031931</v>
      </c>
      <c r="V18">
        <f t="shared" si="5"/>
        <v>3.4016185543458022</v>
      </c>
      <c r="W18">
        <f t="shared" si="5"/>
        <v>3.8320902924438514</v>
      </c>
      <c r="X18">
        <f t="shared" si="5"/>
        <v>4.2776777437045581</v>
      </c>
      <c r="Y18">
        <f t="shared" si="5"/>
        <v>4.7357313392370557</v>
      </c>
      <c r="Z18">
        <f t="shared" si="5"/>
        <v>5.2038707725714417</v>
      </c>
      <c r="AA18">
        <f t="shared" si="5"/>
        <v>5.6800206288989941</v>
      </c>
    </row>
    <row r="19" spans="9:27" x14ac:dyDescent="0.25">
      <c r="I19" s="30">
        <f t="shared" si="3"/>
        <v>0.16010000000000002</v>
      </c>
      <c r="J19">
        <f t="shared" si="4"/>
        <v>0.28967465823860294</v>
      </c>
      <c r="K19">
        <f t="shared" si="4"/>
        <v>0.39427670194216269</v>
      </c>
      <c r="L19">
        <f t="shared" si="4"/>
        <v>0.52436821046540594</v>
      </c>
      <c r="M19">
        <f t="shared" si="4"/>
        <v>0.68243187187532151</v>
      </c>
      <c r="N19">
        <f t="shared" si="4"/>
        <v>0.87034643999591843</v>
      </c>
      <c r="O19">
        <f t="shared" si="4"/>
        <v>1.0892718397877843</v>
      </c>
      <c r="P19">
        <f t="shared" si="4"/>
        <v>1.3395900670553047</v>
      </c>
      <c r="Q19">
        <f t="shared" si="4"/>
        <v>1.6209057264918236</v>
      </c>
      <c r="R19">
        <f t="shared" si="4"/>
        <v>1.932102565698127</v>
      </c>
      <c r="S19">
        <f t="shared" si="4"/>
        <v>2.271446094768482</v>
      </c>
      <c r="T19">
        <f t="shared" si="5"/>
        <v>2.6367181969718345</v>
      </c>
      <c r="U19">
        <f t="shared" si="5"/>
        <v>3.0253679004274794</v>
      </c>
      <c r="V19">
        <f t="shared" si="5"/>
        <v>3.4346630695944995</v>
      </c>
      <c r="W19">
        <f t="shared" si="5"/>
        <v>3.8618301918320057</v>
      </c>
      <c r="X19">
        <f t="shared" si="5"/>
        <v>4.304172977156135</v>
      </c>
      <c r="Y19">
        <f t="shared" si="5"/>
        <v>4.7591644260239718</v>
      </c>
      <c r="Z19">
        <f t="shared" si="5"/>
        <v>5.2245107238232862</v>
      </c>
      <c r="AA19">
        <f t="shared" si="5"/>
        <v>5.6981883530229922</v>
      </c>
    </row>
    <row r="20" spans="9:27" x14ac:dyDescent="0.25">
      <c r="I20" s="30">
        <f t="shared" si="3"/>
        <v>0.17010000000000003</v>
      </c>
      <c r="J20">
        <f t="shared" si="4"/>
        <v>0.31572447256548131</v>
      </c>
      <c r="K20">
        <f t="shared" si="4"/>
        <v>0.4245353738609321</v>
      </c>
      <c r="L20">
        <f t="shared" si="4"/>
        <v>0.55854763380212269</v>
      </c>
      <c r="M20">
        <f t="shared" si="4"/>
        <v>0.72002324561604958</v>
      </c>
      <c r="N20">
        <f t="shared" si="4"/>
        <v>0.91065083847536243</v>
      </c>
      <c r="O20">
        <f t="shared" si="4"/>
        <v>1.1314500476470108</v>
      </c>
      <c r="P20">
        <f t="shared" si="4"/>
        <v>1.3827251447243611</v>
      </c>
      <c r="Q20">
        <f t="shared" si="4"/>
        <v>1.6640702919504164</v>
      </c>
      <c r="R20">
        <f t="shared" si="4"/>
        <v>1.9744227222186872</v>
      </c>
      <c r="S20">
        <f t="shared" si="4"/>
        <v>2.3121551601924715</v>
      </c>
      <c r="T20">
        <f t="shared" si="5"/>
        <v>2.6751955187927763</v>
      </c>
      <c r="U20">
        <f t="shared" si="5"/>
        <v>3.0611605757877562</v>
      </c>
      <c r="V20">
        <f t="shared" si="5"/>
        <v>3.4674908408946621</v>
      </c>
      <c r="W20">
        <f t="shared" si="5"/>
        <v>3.8915757739037744</v>
      </c>
      <c r="X20">
        <f t="shared" si="5"/>
        <v>4.3308613684006971</v>
      </c>
      <c r="Y20">
        <f t="shared" si="5"/>
        <v>4.7829353092409903</v>
      </c>
      <c r="Z20">
        <f t="shared" si="5"/>
        <v>5.2455879569679098</v>
      </c>
      <c r="AA20">
        <f t="shared" si="5"/>
        <v>5.716849958550128</v>
      </c>
    </row>
    <row r="21" spans="9:27" x14ac:dyDescent="0.25">
      <c r="I21" s="30">
        <f t="shared" si="3"/>
        <v>0.18010000000000004</v>
      </c>
      <c r="J21">
        <f t="shared" si="4"/>
        <v>0.34174899680262438</v>
      </c>
      <c r="K21">
        <f t="shared" si="4"/>
        <v>0.45451867453622441</v>
      </c>
      <c r="L21">
        <f t="shared" si="4"/>
        <v>0.59219528892327133</v>
      </c>
      <c r="M21">
        <f t="shared" si="4"/>
        <v>0.75684618986281826</v>
      </c>
      <c r="N21">
        <f t="shared" si="4"/>
        <v>0.94999438631642619</v>
      </c>
      <c r="O21">
        <f t="shared" si="4"/>
        <v>1.1725386035693646</v>
      </c>
      <c r="P21">
        <f t="shared" si="4"/>
        <v>1.42471702182144</v>
      </c>
      <c r="Q21">
        <f t="shared" si="4"/>
        <v>1.7061160067788599</v>
      </c>
      <c r="R21">
        <f t="shared" si="4"/>
        <v>2.0157201874972657</v>
      </c>
      <c r="S21">
        <f t="shared" si="4"/>
        <v>2.3519962276818802</v>
      </c>
      <c r="T21">
        <f t="shared" si="5"/>
        <v>2.7130000357848409</v>
      </c>
      <c r="U21">
        <f t="shared" si="5"/>
        <v>3.0964961334904793</v>
      </c>
      <c r="V21">
        <f t="shared" si="5"/>
        <v>3.5000783442433487</v>
      </c>
      <c r="W21">
        <f t="shared" si="5"/>
        <v>3.9212825612763993</v>
      </c>
      <c r="X21">
        <f t="shared" si="5"/>
        <v>4.357684684790911</v>
      </c>
      <c r="Y21">
        <f t="shared" si="5"/>
        <v>4.806979439084202</v>
      </c>
      <c r="Z21">
        <f t="shared" si="5"/>
        <v>5.2670383075768967</v>
      </c>
      <c r="AA21">
        <f t="shared" si="5"/>
        <v>5.7359469747939684</v>
      </c>
    </row>
    <row r="22" spans="9:27" x14ac:dyDescent="0.25">
      <c r="I22" s="30">
        <f t="shared" si="3"/>
        <v>0.19010000000000005</v>
      </c>
      <c r="J22">
        <f t="shared" si="4"/>
        <v>0.36771547127441195</v>
      </c>
      <c r="K22">
        <f t="shared" si="4"/>
        <v>0.48421801713599244</v>
      </c>
      <c r="L22">
        <f t="shared" si="4"/>
        <v>0.62533063709745385</v>
      </c>
      <c r="M22">
        <f t="shared" si="4"/>
        <v>0.79294811833276313</v>
      </c>
      <c r="N22">
        <f t="shared" si="4"/>
        <v>0.98844826781381379</v>
      </c>
      <c r="O22">
        <f t="shared" si="4"/>
        <v>1.2126248512319258</v>
      </c>
      <c r="P22">
        <f t="shared" si="4"/>
        <v>1.4656594282725308</v>
      </c>
      <c r="Q22">
        <f t="shared" si="4"/>
        <v>1.7471326421955347</v>
      </c>
      <c r="R22">
        <f t="shared" si="4"/>
        <v>2.0560714368194013</v>
      </c>
      <c r="S22">
        <f t="shared" si="4"/>
        <v>2.3910254198169945</v>
      </c>
      <c r="T22">
        <f t="shared" si="5"/>
        <v>2.7501635101737563</v>
      </c>
      <c r="U22">
        <f t="shared" si="5"/>
        <v>3.1313812119322328</v>
      </c>
      <c r="V22">
        <f t="shared" si="5"/>
        <v>3.5324092482655978</v>
      </c>
      <c r="W22">
        <f t="shared" si="5"/>
        <v>3.9509156168285529</v>
      </c>
      <c r="X22">
        <f t="shared" si="5"/>
        <v>4.384595052854813</v>
      </c>
      <c r="Y22">
        <f t="shared" si="5"/>
        <v>4.8312420607230493</v>
      </c>
      <c r="Z22">
        <f t="shared" si="5"/>
        <v>5.2888057905347523</v>
      </c>
      <c r="AA22">
        <f t="shared" si="5"/>
        <v>5.7554268646678537</v>
      </c>
    </row>
    <row r="23" spans="9:27" x14ac:dyDescent="0.25">
      <c r="I23" s="30">
        <f t="shared" si="3"/>
        <v>0.20010000000000006</v>
      </c>
      <c r="J23">
        <f t="shared" ref="J23:S32" si="6">J$2*_xlfn.NORM.S.DIST((LN(J$2/$F$68)+($F$70+$F$69^2/2)*$I23)/($F$69*SQRT($I23)),TRUE) -($F$68*EXP(-$F$70*$I23)*_xlfn.NORM.S.DIST(((LN(J$2/$F$68)+($F$70+$F$69^2/2)*$I23)/($F$69*SQRT($I23))-$F$69*SQRT($I23)),TRUE))</f>
        <v>0.39359830856886013</v>
      </c>
      <c r="K23">
        <f t="shared" si="6"/>
        <v>0.51362897786635919</v>
      </c>
      <c r="L23">
        <f t="shared" si="6"/>
        <v>0.6579732120936761</v>
      </c>
      <c r="M23">
        <f t="shared" si="6"/>
        <v>0.82837207381458988</v>
      </c>
      <c r="N23">
        <f t="shared" si="6"/>
        <v>1.0260753263521458</v>
      </c>
      <c r="O23">
        <f t="shared" si="6"/>
        <v>1.2517850310887901</v>
      </c>
      <c r="P23">
        <f t="shared" si="6"/>
        <v>1.5056339177093001</v>
      </c>
      <c r="Q23">
        <f t="shared" si="6"/>
        <v>1.7871985469872484</v>
      </c>
      <c r="R23">
        <f t="shared" si="6"/>
        <v>2.0955438926972434</v>
      </c>
      <c r="S23">
        <f t="shared" si="6"/>
        <v>2.4292933052674925</v>
      </c>
      <c r="T23">
        <f t="shared" ref="T23:AA32" si="7">T$2*_xlfn.NORM.S.DIST((LN(T$2/$F$68)+($F$70+$F$69^2/2)*$I23)/($F$69*SQRT($I23)),TRUE) -($F$68*EXP(-$F$70*$I23)*_xlfn.NORM.S.DIST(((LN(T$2/$F$68)+($F$70+$F$69^2/2)*$I23)/($F$69*SQRT($I23))-$F$69*SQRT($I23)),TRUE))</f>
        <v>2.7867161408468526</v>
      </c>
      <c r="U23">
        <f t="shared" si="7"/>
        <v>3.1658247198082847</v>
      </c>
      <c r="V23">
        <f t="shared" si="7"/>
        <v>3.5644726300308847</v>
      </c>
      <c r="W23">
        <f t="shared" si="7"/>
        <v>3.9804475055571515</v>
      </c>
      <c r="X23">
        <f t="shared" si="7"/>
        <v>4.4115530197238755</v>
      </c>
      <c r="Y23">
        <f t="shared" si="7"/>
        <v>4.8556766529314288</v>
      </c>
      <c r="Z23">
        <f t="shared" si="7"/>
        <v>5.3108415811271925</v>
      </c>
      <c r="AA23">
        <f t="shared" si="7"/>
        <v>5.775242594493939</v>
      </c>
    </row>
    <row r="24" spans="9:27" x14ac:dyDescent="0.25">
      <c r="I24" s="30">
        <f t="shared" si="3"/>
        <v>0.21010000000000006</v>
      </c>
      <c r="J24">
        <f t="shared" si="6"/>
        <v>0.41937755099124008</v>
      </c>
      <c r="K24">
        <f t="shared" si="6"/>
        <v>0.54275018311309431</v>
      </c>
      <c r="L24">
        <f t="shared" si="6"/>
        <v>0.69014223292024468</v>
      </c>
      <c r="M24">
        <f t="shared" si="6"/>
        <v>0.86315720910573823</v>
      </c>
      <c r="N24">
        <f t="shared" si="6"/>
        <v>1.0629313621906817</v>
      </c>
      <c r="O24">
        <f t="shared" si="6"/>
        <v>1.2900861612464318</v>
      </c>
      <c r="P24">
        <f t="shared" si="6"/>
        <v>1.5447119737453505</v>
      </c>
      <c r="Q24">
        <f t="shared" si="6"/>
        <v>1.8263825842236763</v>
      </c>
      <c r="R24">
        <f t="shared" si="6"/>
        <v>2.1341973494915223</v>
      </c>
      <c r="S24">
        <f t="shared" si="6"/>
        <v>2.4668455906863187</v>
      </c>
      <c r="T24">
        <f t="shared" si="7"/>
        <v>2.822686458070617</v>
      </c>
      <c r="U24">
        <f t="shared" si="7"/>
        <v>3.199837020894126</v>
      </c>
      <c r="V24">
        <f t="shared" si="7"/>
        <v>3.5962616523374322</v>
      </c>
      <c r="W24">
        <f t="shared" si="7"/>
        <v>4.0098567270493604</v>
      </c>
      <c r="X24">
        <f t="shared" si="7"/>
        <v>4.4385260057506954</v>
      </c>
      <c r="Y24">
        <f t="shared" si="7"/>
        <v>4.8802436201589714</v>
      </c>
      <c r="Z24">
        <f t="shared" si="7"/>
        <v>5.3331030903560261</v>
      </c>
      <c r="AA24">
        <f t="shared" si="7"/>
        <v>5.7953521512356119</v>
      </c>
    </row>
    <row r="25" spans="9:27" x14ac:dyDescent="0.25">
      <c r="I25" s="30">
        <f t="shared" si="3"/>
        <v>0.22010000000000007</v>
      </c>
      <c r="J25">
        <f t="shared" si="6"/>
        <v>0.44503768746266736</v>
      </c>
      <c r="K25">
        <f t="shared" si="6"/>
        <v>0.57158249323406629</v>
      </c>
      <c r="L25">
        <f t="shared" si="6"/>
        <v>0.72185636485186855</v>
      </c>
      <c r="M25">
        <f t="shared" si="6"/>
        <v>0.89733921806455008</v>
      </c>
      <c r="N25">
        <f t="shared" si="6"/>
        <v>1.0990661836530009</v>
      </c>
      <c r="O25">
        <f t="shared" si="6"/>
        <v>1.3275875275722235</v>
      </c>
      <c r="P25">
        <f t="shared" si="6"/>
        <v>1.5829566697101676</v>
      </c>
      <c r="Q25">
        <f t="shared" si="6"/>
        <v>1.8647456652432659</v>
      </c>
      <c r="R25">
        <f t="shared" si="6"/>
        <v>2.1720851238639156</v>
      </c>
      <c r="S25">
        <f t="shared" si="6"/>
        <v>2.5037237171107591</v>
      </c>
      <c r="T25">
        <f t="shared" si="7"/>
        <v>2.8581013081528646</v>
      </c>
      <c r="U25">
        <f t="shared" si="7"/>
        <v>3.2334293608414413</v>
      </c>
      <c r="V25">
        <f t="shared" si="7"/>
        <v>3.6277725741621296</v>
      </c>
      <c r="W25">
        <f t="shared" si="7"/>
        <v>4.0391265009987265</v>
      </c>
      <c r="X25">
        <f t="shared" si="7"/>
        <v>4.4654870651557346</v>
      </c>
      <c r="Y25">
        <f t="shared" si="7"/>
        <v>4.9049092014100992</v>
      </c>
      <c r="Z25">
        <f t="shared" si="7"/>
        <v>5.3555531442047837</v>
      </c>
      <c r="AA25">
        <f t="shared" si="7"/>
        <v>5.8157180532354218</v>
      </c>
    </row>
    <row r="26" spans="9:27" x14ac:dyDescent="0.25">
      <c r="I26" s="30">
        <f t="shared" si="3"/>
        <v>0.23010000000000008</v>
      </c>
      <c r="J26">
        <f t="shared" si="6"/>
        <v>0.4705667385919412</v>
      </c>
      <c r="K26">
        <f t="shared" si="6"/>
        <v>0.60012839897588854</v>
      </c>
      <c r="L26">
        <f t="shared" si="6"/>
        <v>0.75313357840480677</v>
      </c>
      <c r="M26">
        <f t="shared" si="6"/>
        <v>0.93095071758076031</v>
      </c>
      <c r="N26">
        <f t="shared" si="6"/>
        <v>1.1345244661827518</v>
      </c>
      <c r="O26">
        <f t="shared" si="6"/>
        <v>1.3643418778846268</v>
      </c>
      <c r="P26">
        <f t="shared" si="6"/>
        <v>1.6204239923735138</v>
      </c>
      <c r="Q26">
        <f t="shared" si="6"/>
        <v>1.9023419787488329</v>
      </c>
      <c r="R26">
        <f t="shared" si="6"/>
        <v>2.209254992494337</v>
      </c>
      <c r="S26">
        <f t="shared" si="6"/>
        <v>2.539965373088247</v>
      </c>
      <c r="T26">
        <f t="shared" si="7"/>
        <v>2.8929858915629225</v>
      </c>
      <c r="U26">
        <f t="shared" si="7"/>
        <v>3.2666134630456973</v>
      </c>
      <c r="V26">
        <f t="shared" si="7"/>
        <v>3.6590040042986445</v>
      </c>
      <c r="W26">
        <f t="shared" si="7"/>
        <v>4.0682438195797204</v>
      </c>
      <c r="X26">
        <f t="shared" si="7"/>
        <v>4.492413889354637</v>
      </c>
      <c r="Y26">
        <f t="shared" si="7"/>
        <v>4.9296445613621529</v>
      </c>
      <c r="Z26">
        <f t="shared" si="7"/>
        <v>5.3781592649308649</v>
      </c>
      <c r="AA26">
        <f t="shared" si="7"/>
        <v>5.8363068800936588</v>
      </c>
    </row>
    <row r="27" spans="9:27" x14ac:dyDescent="0.25">
      <c r="I27" s="30">
        <f t="shared" si="3"/>
        <v>0.24010000000000009</v>
      </c>
      <c r="J27">
        <f t="shared" si="6"/>
        <v>0.49595554368448802</v>
      </c>
      <c r="K27">
        <f t="shared" si="6"/>
        <v>0.62839157199434048</v>
      </c>
      <c r="L27">
        <f t="shared" si="6"/>
        <v>0.78399107318486472</v>
      </c>
      <c r="M27">
        <f t="shared" si="6"/>
        <v>0.96402158394602466</v>
      </c>
      <c r="N27">
        <f t="shared" si="6"/>
        <v>1.1693464601973851</v>
      </c>
      <c r="O27">
        <f t="shared" si="6"/>
        <v>1.4003963890160591</v>
      </c>
      <c r="P27">
        <f t="shared" si="6"/>
        <v>1.6571639092431738</v>
      </c>
      <c r="Q27">
        <f t="shared" si="6"/>
        <v>1.9392199859484585</v>
      </c>
      <c r="R27">
        <f t="shared" si="6"/>
        <v>2.2457499629797724</v>
      </c>
      <c r="S27">
        <f t="shared" si="6"/>
        <v>2.5756049362138036</v>
      </c>
      <c r="T27">
        <f t="shared" si="7"/>
        <v>2.9273638316230297</v>
      </c>
      <c r="U27">
        <f t="shared" si="7"/>
        <v>3.299401243786356</v>
      </c>
      <c r="V27">
        <f t="shared" si="7"/>
        <v>3.6899563343183956</v>
      </c>
      <c r="W27">
        <f t="shared" si="7"/>
        <v>4.0971987030693384</v>
      </c>
      <c r="X27">
        <f t="shared" si="7"/>
        <v>4.5192880019269666</v>
      </c>
      <c r="Y27">
        <f t="shared" si="7"/>
        <v>4.9544250331656556</v>
      </c>
      <c r="Z27">
        <f t="shared" si="7"/>
        <v>5.4008930468712606</v>
      </c>
      <c r="AA27">
        <f t="shared" si="7"/>
        <v>5.8570888348784038</v>
      </c>
    </row>
    <row r="28" spans="9:27" x14ac:dyDescent="0.25">
      <c r="I28" s="30">
        <f t="shared" si="3"/>
        <v>0.2501000000000001</v>
      </c>
      <c r="J28">
        <f t="shared" si="6"/>
        <v>0.52119720115133639</v>
      </c>
      <c r="K28">
        <f t="shared" si="6"/>
        <v>0.65637652819366821</v>
      </c>
      <c r="L28">
        <f t="shared" si="6"/>
        <v>0.81444524463725543</v>
      </c>
      <c r="M28">
        <f t="shared" si="6"/>
        <v>0.99657924814490251</v>
      </c>
      <c r="N28">
        <f t="shared" si="6"/>
        <v>1.20356857883462</v>
      </c>
      <c r="O28">
        <f t="shared" si="6"/>
        <v>1.4357934574065467</v>
      </c>
      <c r="P28">
        <f t="shared" si="6"/>
        <v>1.693221237657486</v>
      </c>
      <c r="Q28">
        <f t="shared" si="6"/>
        <v>1.975423233964321</v>
      </c>
      <c r="R28">
        <f t="shared" si="6"/>
        <v>2.2816089126314232</v>
      </c>
      <c r="S28">
        <f t="shared" si="6"/>
        <v>2.6106738535881213</v>
      </c>
      <c r="T28">
        <f t="shared" si="7"/>
        <v>2.9612572593814619</v>
      </c>
      <c r="U28">
        <f t="shared" si="7"/>
        <v>3.3318046122070974</v>
      </c>
      <c r="V28">
        <f t="shared" si="7"/>
        <v>3.7206313050055222</v>
      </c>
      <c r="W28">
        <f t="shared" si="7"/>
        <v>4.1259836114214679</v>
      </c>
      <c r="X28">
        <f t="shared" si="7"/>
        <v>4.5460941054354578</v>
      </c>
      <c r="Y28">
        <f t="shared" si="7"/>
        <v>4.9792294868354077</v>
      </c>
      <c r="Z28">
        <f t="shared" si="7"/>
        <v>5.4237296169955727</v>
      </c>
      <c r="AA28">
        <f t="shared" si="7"/>
        <v>5.8780373443913874</v>
      </c>
    </row>
    <row r="29" spans="9:27" x14ac:dyDescent="0.25">
      <c r="I29" s="30">
        <f t="shared" si="3"/>
        <v>0.26010000000000011</v>
      </c>
      <c r="J29">
        <f t="shared" si="6"/>
        <v>0.54628662641588299</v>
      </c>
      <c r="K29">
        <f t="shared" si="6"/>
        <v>0.68408837441305614</v>
      </c>
      <c r="L29">
        <f t="shared" si="6"/>
        <v>0.84451167897352342</v>
      </c>
      <c r="M29">
        <f t="shared" si="6"/>
        <v>1.0286489547852291</v>
      </c>
      <c r="N29">
        <f t="shared" si="6"/>
        <v>1.2372238894551888</v>
      </c>
      <c r="O29">
        <f t="shared" si="6"/>
        <v>1.4705713510536533</v>
      </c>
      <c r="P29">
        <f t="shared" si="6"/>
        <v>1.728636358887762</v>
      </c>
      <c r="Q29">
        <f t="shared" si="6"/>
        <v>2.0109910264922313</v>
      </c>
      <c r="R29">
        <f t="shared" si="6"/>
        <v>2.316867121704302</v>
      </c>
      <c r="S29">
        <f t="shared" si="6"/>
        <v>2.645200970347112</v>
      </c>
      <c r="T29">
        <f t="shared" si="7"/>
        <v>2.9946869056464287</v>
      </c>
      <c r="U29">
        <f t="shared" si="7"/>
        <v>3.3638353310555722</v>
      </c>
      <c r="V29">
        <f t="shared" si="7"/>
        <v>3.7510316730002877</v>
      </c>
      <c r="W29">
        <f t="shared" si="7"/>
        <v>4.1545929763652936</v>
      </c>
      <c r="X29">
        <f t="shared" si="7"/>
        <v>4.5728195490517365</v>
      </c>
      <c r="Y29">
        <f t="shared" si="7"/>
        <v>5.0040398013863125</v>
      </c>
      <c r="Z29">
        <f t="shared" si="7"/>
        <v>5.4466471699723868</v>
      </c>
      <c r="AA29">
        <f t="shared" si="7"/>
        <v>5.8991286988312694</v>
      </c>
    </row>
    <row r="30" spans="9:27" x14ac:dyDescent="0.25">
      <c r="I30" s="30">
        <f t="shared" si="3"/>
        <v>0.27010000000000012</v>
      </c>
      <c r="J30">
        <f t="shared" si="6"/>
        <v>0.5712202005216227</v>
      </c>
      <c r="K30">
        <f t="shared" si="6"/>
        <v>0.71153261719164895</v>
      </c>
      <c r="L30">
        <f t="shared" si="6"/>
        <v>0.87420516634040446</v>
      </c>
      <c r="M30">
        <f t="shared" si="6"/>
        <v>1.0602539891739688</v>
      </c>
      <c r="N30">
        <f t="shared" si="6"/>
        <v>1.2703425273916693</v>
      </c>
      <c r="O30">
        <f t="shared" si="6"/>
        <v>1.5047647514217353</v>
      </c>
      <c r="P30">
        <f t="shared" si="6"/>
        <v>1.7634458097525894</v>
      </c>
      <c r="Q30">
        <f t="shared" si="6"/>
        <v>2.0459589811832863</v>
      </c>
      <c r="R30">
        <f t="shared" si="6"/>
        <v>2.3515567215459114</v>
      </c>
      <c r="S30">
        <f t="shared" si="6"/>
        <v>2.6792128140912688</v>
      </c>
      <c r="T30">
        <f t="shared" si="7"/>
        <v>3.0276721945823013</v>
      </c>
      <c r="U30">
        <f t="shared" si="7"/>
        <v>3.3955049211692554</v>
      </c>
      <c r="V30">
        <f t="shared" si="7"/>
        <v>3.7811609532737087</v>
      </c>
      <c r="W30">
        <f t="shared" si="7"/>
        <v>4.1830228272898431</v>
      </c>
      <c r="X30">
        <f t="shared" si="7"/>
        <v>4.5994538927108408</v>
      </c>
      <c r="Y30">
        <f t="shared" si="7"/>
        <v>5.0288404226275034</v>
      </c>
      <c r="Z30">
        <f t="shared" si="7"/>
        <v>5.469626567956972</v>
      </c>
      <c r="AA30">
        <f t="shared" si="7"/>
        <v>5.9203417297190413</v>
      </c>
    </row>
    <row r="31" spans="9:27" x14ac:dyDescent="0.25">
      <c r="I31" s="30">
        <f t="shared" si="3"/>
        <v>0.28010000000000013</v>
      </c>
      <c r="J31">
        <f t="shared" si="6"/>
        <v>0.59599548926902735</v>
      </c>
      <c r="K31">
        <f t="shared" si="6"/>
        <v>0.73871501810932827</v>
      </c>
      <c r="L31">
        <f t="shared" si="6"/>
        <v>0.90353972549690198</v>
      </c>
      <c r="M31">
        <f t="shared" si="6"/>
        <v>1.0914158766494619</v>
      </c>
      <c r="N31">
        <f t="shared" si="6"/>
        <v>1.302952046399934</v>
      </c>
      <c r="O31">
        <f t="shared" si="6"/>
        <v>1.5384052071915164</v>
      </c>
      <c r="P31">
        <f t="shared" si="6"/>
        <v>1.797682776485459</v>
      </c>
      <c r="Q31">
        <f t="shared" si="6"/>
        <v>2.0803594962878336</v>
      </c>
      <c r="R31">
        <f t="shared" si="6"/>
        <v>2.3857070736312238</v>
      </c>
      <c r="S31">
        <f t="shared" si="6"/>
        <v>2.7127338418454841</v>
      </c>
      <c r="T31">
        <f t="shared" si="7"/>
        <v>3.0602313354640884</v>
      </c>
      <c r="U31">
        <f t="shared" si="7"/>
        <v>3.4268245975771237</v>
      </c>
      <c r="V31">
        <f t="shared" si="7"/>
        <v>3.8110232194043938</v>
      </c>
      <c r="W31">
        <f t="shared" si="7"/>
        <v>4.2112704905864717</v>
      </c>
      <c r="X31">
        <f t="shared" si="7"/>
        <v>4.6259885487460863</v>
      </c>
      <c r="Y31">
        <f t="shared" si="7"/>
        <v>5.0536179917347965</v>
      </c>
      <c r="Z31">
        <f t="shared" si="7"/>
        <v>5.4926509961689121</v>
      </c>
      <c r="AA31">
        <f t="shared" si="7"/>
        <v>5.9416575236385469</v>
      </c>
    </row>
    <row r="32" spans="9:27" x14ac:dyDescent="0.25">
      <c r="I32" s="30">
        <f t="shared" si="3"/>
        <v>0.29010000000000014</v>
      </c>
      <c r="J32">
        <f t="shared" si="6"/>
        <v>0.62061101757249482</v>
      </c>
      <c r="K32">
        <f t="shared" si="6"/>
        <v>0.76564148429952894</v>
      </c>
      <c r="L32">
        <f t="shared" si="6"/>
        <v>0.93252863542663</v>
      </c>
      <c r="M32">
        <f t="shared" si="6"/>
        <v>1.1221545578254428</v>
      </c>
      <c r="N32">
        <f t="shared" si="6"/>
        <v>1.3350777172122221</v>
      </c>
      <c r="O32">
        <f t="shared" si="6"/>
        <v>1.5715215167684633</v>
      </c>
      <c r="P32">
        <f t="shared" si="6"/>
        <v>1.8313775098990241</v>
      </c>
      <c r="Q32">
        <f t="shared" si="6"/>
        <v>2.1142221439866553</v>
      </c>
      <c r="R32">
        <f t="shared" si="6"/>
        <v>2.4193450920395598</v>
      </c>
      <c r="S32">
        <f t="shared" si="6"/>
        <v>2.7457866551364916</v>
      </c>
      <c r="T32">
        <f t="shared" si="7"/>
        <v>3.0923814105972838</v>
      </c>
      <c r="U32">
        <f t="shared" si="7"/>
        <v>3.457805228498998</v>
      </c>
      <c r="V32">
        <f t="shared" si="7"/>
        <v>3.8406229482073293</v>
      </c>
      <c r="W32">
        <f t="shared" si="7"/>
        <v>4.2393343468849238</v>
      </c>
      <c r="X32">
        <f t="shared" si="7"/>
        <v>4.6524164859995736</v>
      </c>
      <c r="Y32">
        <f t="shared" si="7"/>
        <v>5.0783610323984618</v>
      </c>
      <c r="Z32">
        <f t="shared" si="7"/>
        <v>5.5157056663387749</v>
      </c>
      <c r="AA32">
        <f t="shared" si="7"/>
        <v>5.9630591687402728</v>
      </c>
    </row>
    <row r="33" spans="9:27" x14ac:dyDescent="0.25">
      <c r="I33" s="30">
        <f t="shared" si="3"/>
        <v>0.30010000000000014</v>
      </c>
      <c r="J33">
        <f t="shared" ref="J33:S42" si="8">J$2*_xlfn.NORM.S.DIST((LN(J$2/$F$68)+($F$70+$F$69^2/2)*$I33)/($F$69*SQRT($I33)),TRUE) -($F$68*EXP(-$F$70*$I33)*_xlfn.NORM.S.DIST(((LN(J$2/$F$68)+($F$70+$F$69^2/2)*$I33)/($F$69*SQRT($I33))-$F$69*SQRT($I33)),TRUE))</f>
        <v>0.64506608732948756</v>
      </c>
      <c r="K33">
        <f t="shared" si="8"/>
        <v>0.79231798567418821</v>
      </c>
      <c r="L33">
        <f t="shared" si="8"/>
        <v>0.96118447078256786</v>
      </c>
      <c r="M33">
        <f t="shared" si="8"/>
        <v>1.1524885429473564</v>
      </c>
      <c r="N33">
        <f t="shared" si="8"/>
        <v>1.3667427832522669</v>
      </c>
      <c r="O33">
        <f t="shared" si="8"/>
        <v>1.6041400527606307</v>
      </c>
      <c r="P33">
        <f t="shared" si="8"/>
        <v>1.864557676654119</v>
      </c>
      <c r="Q33">
        <f t="shared" si="8"/>
        <v>2.1475740040125331</v>
      </c>
      <c r="R33">
        <f t="shared" si="8"/>
        <v>2.4524955193285152</v>
      </c>
      <c r="S33">
        <f t="shared" si="8"/>
        <v>2.7783921878850499</v>
      </c>
      <c r="T33">
        <f t="shared" ref="T33:AA42" si="9">T$2*_xlfn.NORM.S.DIST((LN(T$2/$F$68)+($F$70+$F$69^2/2)*$I33)/($F$69*SQRT($I33)),TRUE) -($F$68*EXP(-$F$70*$I33)*_xlfn.NORM.S.DIST(((LN(T$2/$F$68)+($F$70+$F$69^2/2)*$I33)/($F$69*SQRT($I33))-$F$69*SQRT($I33)),TRUE))</f>
        <v>3.1241384583172618</v>
      </c>
      <c r="U33">
        <f t="shared" si="9"/>
        <v>3.488457310932187</v>
      </c>
      <c r="V33">
        <f t="shared" si="9"/>
        <v>3.8699648986005641</v>
      </c>
      <c r="W33">
        <f t="shared" si="9"/>
        <v>4.2672136341842268</v>
      </c>
      <c r="X33">
        <f t="shared" si="9"/>
        <v>4.678731984539013</v>
      </c>
      <c r="Y33">
        <f t="shared" si="9"/>
        <v>5.1030596865500613</v>
      </c>
      <c r="Z33">
        <f t="shared" si="9"/>
        <v>5.5387775611193462</v>
      </c>
      <c r="AA33">
        <f t="shared" si="9"/>
        <v>5.9845315307701341</v>
      </c>
    </row>
    <row r="34" spans="9:27" x14ac:dyDescent="0.25">
      <c r="I34" s="30">
        <f t="shared" si="3"/>
        <v>0.31010000000000015</v>
      </c>
      <c r="J34">
        <f t="shared" si="8"/>
        <v>0.66936062978277633</v>
      </c>
      <c r="K34">
        <f t="shared" si="8"/>
        <v>0.81875049253662624</v>
      </c>
      <c r="L34">
        <f t="shared" si="8"/>
        <v>0.98951913906870281</v>
      </c>
      <c r="M34">
        <f t="shared" si="8"/>
        <v>1.1824350481377639</v>
      </c>
      <c r="N34">
        <f t="shared" si="8"/>
        <v>1.3979686807682938</v>
      </c>
      <c r="O34">
        <f t="shared" si="8"/>
        <v>1.6362850388357835</v>
      </c>
      <c r="P34">
        <f t="shared" si="8"/>
        <v>1.8972486582571477</v>
      </c>
      <c r="Q34">
        <f t="shared" si="8"/>
        <v>2.1804399482801209</v>
      </c>
      <c r="R34">
        <f t="shared" si="8"/>
        <v>2.4851811637593393</v>
      </c>
      <c r="S34">
        <f t="shared" si="8"/>
        <v>2.810569871058938</v>
      </c>
      <c r="T34">
        <f t="shared" si="9"/>
        <v>3.1555175505623048</v>
      </c>
      <c r="U34">
        <f t="shared" si="9"/>
        <v>3.5187909582307455</v>
      </c>
      <c r="V34">
        <f t="shared" si="9"/>
        <v>3.8990540170462822</v>
      </c>
      <c r="W34">
        <f t="shared" si="9"/>
        <v>4.2949082875679885</v>
      </c>
      <c r="X34">
        <f t="shared" si="9"/>
        <v>4.7049304315493679</v>
      </c>
      <c r="Y34">
        <f t="shared" si="9"/>
        <v>5.127705490477382</v>
      </c>
      <c r="Z34">
        <f t="shared" si="9"/>
        <v>5.5618552135089061</v>
      </c>
      <c r="AA34">
        <f t="shared" si="9"/>
        <v>6.0060610554391971</v>
      </c>
    </row>
    <row r="35" spans="9:27" x14ac:dyDescent="0.25">
      <c r="I35" s="30">
        <f t="shared" si="3"/>
        <v>0.32010000000000016</v>
      </c>
      <c r="J35">
        <f t="shared" si="8"/>
        <v>0.69349508538001281</v>
      </c>
      <c r="K35">
        <f t="shared" si="8"/>
        <v>0.84494492882070915</v>
      </c>
      <c r="L35">
        <f t="shared" si="8"/>
        <v>1.0175439181563011</v>
      </c>
      <c r="M35">
        <f t="shared" si="8"/>
        <v>1.2120101159269012</v>
      </c>
      <c r="N35">
        <f t="shared" si="8"/>
        <v>1.4287752292358071</v>
      </c>
      <c r="O35">
        <f t="shared" si="8"/>
        <v>1.6679787872304885</v>
      </c>
      <c r="P35">
        <f t="shared" si="8"/>
        <v>1.9294738069902948</v>
      </c>
      <c r="Q35">
        <f t="shared" si="8"/>
        <v>2.2128428850396489</v>
      </c>
      <c r="R35">
        <f t="shared" si="8"/>
        <v>2.5174231042764568</v>
      </c>
      <c r="S35">
        <f t="shared" si="8"/>
        <v>2.8423377774056391</v>
      </c>
      <c r="T35">
        <f t="shared" si="9"/>
        <v>3.186532864880526</v>
      </c>
      <c r="U35">
        <f t="shared" si="9"/>
        <v>3.5488158963145473</v>
      </c>
      <c r="V35">
        <f t="shared" si="9"/>
        <v>3.9278953637201433</v>
      </c>
      <c r="W35">
        <f t="shared" si="9"/>
        <v>4.3224188082345449</v>
      </c>
      <c r="X35">
        <f t="shared" si="9"/>
        <v>4.7310081508714674</v>
      </c>
      <c r="Y35">
        <f t="shared" si="9"/>
        <v>5.1522911846088704</v>
      </c>
      <c r="Z35">
        <f t="shared" si="9"/>
        <v>5.5849285161908497</v>
      </c>
      <c r="AA35">
        <f t="shared" si="9"/>
        <v>6.0276355941347362</v>
      </c>
    </row>
    <row r="36" spans="9:27" x14ac:dyDescent="0.25">
      <c r="I36" s="30">
        <f t="shared" si="3"/>
        <v>0.33010000000000017</v>
      </c>
      <c r="J36">
        <f t="shared" si="8"/>
        <v>0.71747030566908343</v>
      </c>
      <c r="K36">
        <f t="shared" si="8"/>
        <v>0.87090713734824732</v>
      </c>
      <c r="L36">
        <f t="shared" si="8"/>
        <v>1.0452694932117623</v>
      </c>
      <c r="M36">
        <f t="shared" si="8"/>
        <v>1.2412287221295291</v>
      </c>
      <c r="N36">
        <f t="shared" si="8"/>
        <v>1.4591807967811512</v>
      </c>
      <c r="O36">
        <f t="shared" si="8"/>
        <v>1.6992419035372635</v>
      </c>
      <c r="P36">
        <f t="shared" si="8"/>
        <v>1.9612546661224215</v>
      </c>
      <c r="Q36">
        <f t="shared" si="8"/>
        <v>2.2448039693747077</v>
      </c>
      <c r="R36">
        <f t="shared" si="8"/>
        <v>2.5492408684296777</v>
      </c>
      <c r="S36">
        <f t="shared" si="8"/>
        <v>2.8737127490589423</v>
      </c>
      <c r="T36">
        <f t="shared" si="9"/>
        <v>3.2171977509576877</v>
      </c>
      <c r="U36">
        <f t="shared" si="9"/>
        <v>3.5785414660370662</v>
      </c>
      <c r="V36">
        <f t="shared" si="9"/>
        <v>3.956494054919542</v>
      </c>
      <c r="W36">
        <f t="shared" si="9"/>
        <v>4.3497461561315127</v>
      </c>
      <c r="X36">
        <f t="shared" si="9"/>
        <v>4.7569622601518411</v>
      </c>
      <c r="Y36">
        <f t="shared" si="9"/>
        <v>5.1768105514455911</v>
      </c>
      <c r="Z36">
        <f t="shared" si="9"/>
        <v>5.6079885564455623</v>
      </c>
      <c r="AA36">
        <f t="shared" si="9"/>
        <v>6.0492442502205535</v>
      </c>
    </row>
    <row r="37" spans="9:27" x14ac:dyDescent="0.25">
      <c r="I37" s="30">
        <f t="shared" si="3"/>
        <v>0.34010000000000018</v>
      </c>
      <c r="J37">
        <f t="shared" si="8"/>
        <v>0.74128747293939412</v>
      </c>
      <c r="K37">
        <f t="shared" si="8"/>
        <v>0.8966428543541678</v>
      </c>
      <c r="L37">
        <f t="shared" si="8"/>
        <v>1.0727059924447371</v>
      </c>
      <c r="M37">
        <f t="shared" si="8"/>
        <v>1.2701048708391856</v>
      </c>
      <c r="N37">
        <f t="shared" si="8"/>
        <v>1.4892024445078675</v>
      </c>
      <c r="O37">
        <f t="shared" si="8"/>
        <v>1.7300934641164289</v>
      </c>
      <c r="P37">
        <f t="shared" si="8"/>
        <v>1.9926111603115189</v>
      </c>
      <c r="Q37">
        <f t="shared" si="8"/>
        <v>2.2763427855461273</v>
      </c>
      <c r="R37">
        <f t="shared" si="8"/>
        <v>2.5806525874717252</v>
      </c>
      <c r="S37">
        <f t="shared" si="8"/>
        <v>2.9047105103780275</v>
      </c>
      <c r="T37">
        <f t="shared" si="9"/>
        <v>3.2475247918883348</v>
      </c>
      <c r="U37">
        <f t="shared" si="9"/>
        <v>3.6079766298908993</v>
      </c>
      <c r="V37">
        <f t="shared" si="9"/>
        <v>3.9848552182432684</v>
      </c>
      <c r="W37">
        <f t="shared" si="9"/>
        <v>4.3768916616848514</v>
      </c>
      <c r="X37">
        <f t="shared" si="9"/>
        <v>4.782790550742817</v>
      </c>
      <c r="Y37">
        <f t="shared" si="9"/>
        <v>5.2012582770931104</v>
      </c>
      <c r="Z37">
        <f t="shared" si="9"/>
        <v>5.6310274729412342</v>
      </c>
      <c r="AA37">
        <f t="shared" si="9"/>
        <v>6.070877243445068</v>
      </c>
    </row>
    <row r="38" spans="9:27" x14ac:dyDescent="0.25">
      <c r="I38" s="30">
        <f t="shared" si="3"/>
        <v>0.35010000000000019</v>
      </c>
      <c r="J38">
        <f t="shared" si="8"/>
        <v>0.76494803421991442</v>
      </c>
      <c r="K38">
        <f t="shared" si="8"/>
        <v>0.92215769117179214</v>
      </c>
      <c r="L38">
        <f t="shared" si="8"/>
        <v>1.0998630213144889</v>
      </c>
      <c r="M38">
        <f t="shared" si="8"/>
        <v>1.2986516790610132</v>
      </c>
      <c r="N38">
        <f t="shared" si="8"/>
        <v>1.5188560529159716</v>
      </c>
      <c r="O38">
        <f t="shared" si="8"/>
        <v>1.760551170476603</v>
      </c>
      <c r="P38">
        <f t="shared" si="8"/>
        <v>2.0235617609871355</v>
      </c>
      <c r="Q38">
        <f t="shared" si="8"/>
        <v>2.3074775056519883</v>
      </c>
      <c r="R38">
        <f t="shared" si="8"/>
        <v>2.6116751321039438</v>
      </c>
      <c r="S38">
        <f t="shared" si="8"/>
        <v>2.9353457680142618</v>
      </c>
      <c r="T38">
        <f t="shared" si="9"/>
        <v>3.2775258604878132</v>
      </c>
      <c r="U38">
        <f t="shared" si="9"/>
        <v>3.6371299817064298</v>
      </c>
      <c r="V38">
        <f t="shared" si="9"/>
        <v>4.0129839578489914</v>
      </c>
      <c r="W38">
        <f t="shared" si="9"/>
        <v>4.403856953040254</v>
      </c>
      <c r="X38">
        <f t="shared" si="9"/>
        <v>4.8084913864208687</v>
      </c>
      <c r="Y38">
        <f t="shared" si="9"/>
        <v>5.2256298326385817</v>
      </c>
      <c r="Z38">
        <f t="shared" si="9"/>
        <v>5.6540383312673512</v>
      </c>
      <c r="AA38">
        <f t="shared" si="9"/>
        <v>6.0925257902452188</v>
      </c>
    </row>
    <row r="39" spans="9:27" x14ac:dyDescent="0.25">
      <c r="I39" s="30">
        <f t="shared" si="3"/>
        <v>0.3601000000000002</v>
      </c>
      <c r="J39">
        <f t="shared" si="8"/>
        <v>0.78845364694175935</v>
      </c>
      <c r="K39">
        <f t="shared" si="8"/>
        <v>0.94745712145503269</v>
      </c>
      <c r="L39">
        <f t="shared" si="8"/>
        <v>1.1267496949908189</v>
      </c>
      <c r="M39">
        <f t="shared" si="8"/>
        <v>1.3268814522904808</v>
      </c>
      <c r="N39">
        <f t="shared" si="8"/>
        <v>1.5481564330511226</v>
      </c>
      <c r="O39">
        <f t="shared" si="8"/>
        <v>1.7906314841758224</v>
      </c>
      <c r="P39">
        <f t="shared" si="8"/>
        <v>2.0541236306176884</v>
      </c>
      <c r="Q39">
        <f t="shared" si="8"/>
        <v>2.338225028258158</v>
      </c>
      <c r="R39">
        <f t="shared" si="8"/>
        <v>2.6423242317368718</v>
      </c>
      <c r="S39">
        <f t="shared" si="8"/>
        <v>2.9656322998977167</v>
      </c>
      <c r="T39">
        <f t="shared" si="9"/>
        <v>3.3072121709796853</v>
      </c>
      <c r="U39">
        <f t="shared" si="9"/>
        <v>3.6660097583501283</v>
      </c>
      <c r="V39">
        <f t="shared" si="9"/>
        <v>4.0408853276856149</v>
      </c>
      <c r="W39">
        <f t="shared" si="9"/>
        <v>4.4306438959577541</v>
      </c>
      <c r="X39">
        <f t="shared" si="9"/>
        <v>4.8340636177291536</v>
      </c>
      <c r="Y39">
        <f t="shared" si="9"/>
        <v>5.2499213722638487</v>
      </c>
      <c r="Z39">
        <f t="shared" si="9"/>
        <v>5.6770150155480081</v>
      </c>
      <c r="AA39">
        <f t="shared" si="9"/>
        <v>6.114181997990066</v>
      </c>
    </row>
    <row r="40" spans="9:27" x14ac:dyDescent="0.25">
      <c r="I40" s="30">
        <f>I39+$C$5</f>
        <v>0.37010000000000021</v>
      </c>
      <c r="J40">
        <f t="shared" si="8"/>
        <v>0.81180613411586044</v>
      </c>
      <c r="K40">
        <f t="shared" si="8"/>
        <v>0.97254647268241179</v>
      </c>
      <c r="L40">
        <f t="shared" si="8"/>
        <v>1.1533746689743811</v>
      </c>
      <c r="M40">
        <f t="shared" si="8"/>
        <v>1.3548057521631041</v>
      </c>
      <c r="N40">
        <f t="shared" si="8"/>
        <v>1.5771174245746984</v>
      </c>
      <c r="O40">
        <f t="shared" si="8"/>
        <v>1.820349745165732</v>
      </c>
      <c r="P40">
        <f t="shared" si="8"/>
        <v>2.0843127490674149</v>
      </c>
      <c r="Q40">
        <f t="shared" si="8"/>
        <v>2.3686011000059146</v>
      </c>
      <c r="R40">
        <f t="shared" si="8"/>
        <v>2.6726145796445984</v>
      </c>
      <c r="S40">
        <f t="shared" si="8"/>
        <v>2.9955830345833867</v>
      </c>
      <c r="T40">
        <f t="shared" si="9"/>
        <v>3.3365943264049349</v>
      </c>
      <c r="U40">
        <f t="shared" si="9"/>
        <v>3.6946238526894568</v>
      </c>
      <c r="V40">
        <f t="shared" si="9"/>
        <v>4.0685643110509595</v>
      </c>
      <c r="W40">
        <f t="shared" si="9"/>
        <v>4.4572545440665934</v>
      </c>
      <c r="X40">
        <f t="shared" si="9"/>
        <v>4.8595065093388357</v>
      </c>
      <c r="Y40">
        <f t="shared" si="9"/>
        <v>5.2741296455139661</v>
      </c>
      <c r="Z40">
        <f t="shared" si="9"/>
        <v>5.6999521338741772</v>
      </c>
      <c r="AA40">
        <f t="shared" si="9"/>
        <v>6.1358387714443339</v>
      </c>
    </row>
    <row r="41" spans="9:27" x14ac:dyDescent="0.25">
      <c r="I41" s="30">
        <f t="shared" si="3"/>
        <v>0.38010000000000022</v>
      </c>
      <c r="J41">
        <f t="shared" si="8"/>
        <v>0.83500744730097232</v>
      </c>
      <c r="K41">
        <f t="shared" si="8"/>
        <v>0.99743092096818131</v>
      </c>
      <c r="L41">
        <f t="shared" si="8"/>
        <v>1.1797461678545371</v>
      </c>
      <c r="M41">
        <f t="shared" si="8"/>
        <v>1.3824354571443482</v>
      </c>
      <c r="N41">
        <f t="shared" si="8"/>
        <v>1.6057519825842697</v>
      </c>
      <c r="O41">
        <f t="shared" si="8"/>
        <v>1.8497202759966562</v>
      </c>
      <c r="P41">
        <f t="shared" si="8"/>
        <v>2.1141440246878211</v>
      </c>
      <c r="Q41">
        <f t="shared" si="8"/>
        <v>2.3986204226835959</v>
      </c>
      <c r="R41">
        <f t="shared" si="8"/>
        <v>2.702559925996745</v>
      </c>
      <c r="S41">
        <f t="shared" si="8"/>
        <v>3.0252101221846424</v>
      </c>
      <c r="T41">
        <f t="shared" si="9"/>
        <v>3.3656823620953169</v>
      </c>
      <c r="U41">
        <f t="shared" si="9"/>
        <v>3.7229798272844654</v>
      </c>
      <c r="V41">
        <f t="shared" si="9"/>
        <v>4.0960258051749072</v>
      </c>
      <c r="W41">
        <f t="shared" si="9"/>
        <v>4.4836910976322351</v>
      </c>
      <c r="X41">
        <f t="shared" si="9"/>
        <v>4.8848196782954005</v>
      </c>
      <c r="Y41">
        <f t="shared" si="9"/>
        <v>5.2982519215716337</v>
      </c>
      <c r="Z41">
        <f t="shared" si="9"/>
        <v>5.7228449356330344</v>
      </c>
      <c r="AA41">
        <f t="shared" si="9"/>
        <v>6.1574897299440963</v>
      </c>
    </row>
    <row r="42" spans="9:27" x14ac:dyDescent="0.25">
      <c r="I42" s="30">
        <f t="shared" si="3"/>
        <v>0.39010000000000022</v>
      </c>
      <c r="J42">
        <f t="shared" si="8"/>
        <v>0.85805963597202251</v>
      </c>
      <c r="K42">
        <f t="shared" si="8"/>
        <v>1.0221154884216475</v>
      </c>
      <c r="L42">
        <f t="shared" si="8"/>
        <v>1.2058720122322555</v>
      </c>
      <c r="M42">
        <f t="shared" si="8"/>
        <v>1.4097808170967028</v>
      </c>
      <c r="N42">
        <f t="shared" si="8"/>
        <v>1.6340722547200102</v>
      </c>
      <c r="O42">
        <f t="shared" si="8"/>
        <v>1.878756473895038</v>
      </c>
      <c r="P42">
        <f t="shared" si="8"/>
        <v>2.1436313923393477</v>
      </c>
      <c r="Q42">
        <f t="shared" si="8"/>
        <v>2.4282967478312649</v>
      </c>
      <c r="R42">
        <f t="shared" si="8"/>
        <v>2.7321731604314685</v>
      </c>
      <c r="S42">
        <f t="shared" si="8"/>
        <v>3.0545249979449878</v>
      </c>
      <c r="T42">
        <f t="shared" si="9"/>
        <v>3.3944857855404642</v>
      </c>
      <c r="U42">
        <f t="shared" si="9"/>
        <v>3.7510849284107763</v>
      </c>
      <c r="V42">
        <f t="shared" si="9"/>
        <v>4.1232746098001627</v>
      </c>
      <c r="W42">
        <f t="shared" si="9"/>
        <v>4.5099558693406756</v>
      </c>
      <c r="X42">
        <f t="shared" si="9"/>
        <v>4.9100030413957292</v>
      </c>
      <c r="Y42">
        <f t="shared" si="9"/>
        <v>5.3222859237435465</v>
      </c>
      <c r="Z42">
        <f t="shared" si="9"/>
        <v>5.7456892390996259</v>
      </c>
      <c r="AA42">
        <f t="shared" si="9"/>
        <v>6.1791291339677841</v>
      </c>
    </row>
    <row r="43" spans="9:27" x14ac:dyDescent="0.25">
      <c r="I43" s="30">
        <f t="shared" si="3"/>
        <v>0.40010000000000023</v>
      </c>
      <c r="J43">
        <f t="shared" ref="J43:S55" si="10">J$2*_xlfn.NORM.S.DIST((LN(J$2/$F$68)+($F$70+$F$69^2/2)*$I43)/($F$69*SQRT($I43)),TRUE) -($F$68*EXP(-$F$70*$I43)*_xlfn.NORM.S.DIST(((LN(J$2/$F$68)+($F$70+$F$69^2/2)*$I43)/($F$69*SQRT($I43))-$F$69*SQRT($I43)),TRUE))</f>
        <v>0.88096482216334948</v>
      </c>
      <c r="K43">
        <f t="shared" si="10"/>
        <v>1.0466050424616746</v>
      </c>
      <c r="L43">
        <f t="shared" si="10"/>
        <v>1.2317596438669636</v>
      </c>
      <c r="M43">
        <f t="shared" si="10"/>
        <v>1.4368515024476416</v>
      </c>
      <c r="N43">
        <f t="shared" si="10"/>
        <v>1.6620896498509232</v>
      </c>
      <c r="O43">
        <f t="shared" si="10"/>
        <v>1.9074708923948833</v>
      </c>
      <c r="P43">
        <f t="shared" si="10"/>
        <v>2.1727879001748427</v>
      </c>
      <c r="Q43">
        <f t="shared" si="10"/>
        <v>2.4576429606079664</v>
      </c>
      <c r="R43">
        <f t="shared" si="10"/>
        <v>2.7614663855696016</v>
      </c>
      <c r="S43">
        <f t="shared" si="10"/>
        <v>3.0835384393493648</v>
      </c>
      <c r="T43">
        <f t="shared" ref="T43:AA55" si="11">T$2*_xlfn.NORM.S.DIST((LN(T$2/$F$68)+($F$70+$F$69^2/2)*$I43)/($F$69*SQRT($I43)),TRUE) -($F$68*EXP(-$F$70*$I43)*_xlfn.NORM.S.DIST(((LN(T$2/$F$68)+($F$70+$F$69^2/2)*$I43)/($F$69*SQRT($I43))-$F$69*SQRT($I43)),TRUE))</f>
        <v>3.4230136129596218</v>
      </c>
      <c r="U43">
        <f t="shared" si="11"/>
        <v>3.7789461001264115</v>
      </c>
      <c r="V43">
        <f t="shared" si="11"/>
        <v>4.1503154189443947</v>
      </c>
      <c r="W43">
        <f t="shared" si="11"/>
        <v>4.5360512558847823</v>
      </c>
      <c r="X43">
        <f t="shared" si="11"/>
        <v>4.9350567702484085</v>
      </c>
      <c r="Y43">
        <f t="shared" si="11"/>
        <v>5.3462297726553771</v>
      </c>
      <c r="Z43">
        <f t="shared" si="11"/>
        <v>5.7684813678972517</v>
      </c>
      <c r="AA43">
        <f t="shared" si="11"/>
        <v>6.2007518199522735</v>
      </c>
    </row>
    <row r="44" spans="9:27" x14ac:dyDescent="0.25">
      <c r="I44" s="30">
        <f t="shared" si="3"/>
        <v>0.41010000000000024</v>
      </c>
      <c r="J44">
        <f t="shared" si="10"/>
        <v>0.90372517947225184</v>
      </c>
      <c r="K44">
        <f t="shared" si="10"/>
        <v>1.0709042966223024</v>
      </c>
      <c r="L44">
        <f t="shared" si="10"/>
        <v>1.2574161491262092</v>
      </c>
      <c r="M44">
        <f t="shared" si="10"/>
        <v>1.463656648585788</v>
      </c>
      <c r="N44">
        <f t="shared" si="10"/>
        <v>1.6898148994365059</v>
      </c>
      <c r="O44">
        <f t="shared" si="10"/>
        <v>1.9358753139362683</v>
      </c>
      <c r="P44">
        <f t="shared" si="10"/>
        <v>2.2016257867208253</v>
      </c>
      <c r="Q44">
        <f t="shared" si="10"/>
        <v>2.4866711543744415</v>
      </c>
      <c r="R44">
        <f t="shared" si="10"/>
        <v>2.7904509826544022</v>
      </c>
      <c r="S44">
        <f t="shared" si="10"/>
        <v>3.1122606175509269</v>
      </c>
      <c r="T44">
        <f t="shared" si="11"/>
        <v>3.451274402867341</v>
      </c>
      <c r="U44">
        <f t="shared" si="11"/>
        <v>3.806569998175874</v>
      </c>
      <c r="V44">
        <f t="shared" si="11"/>
        <v>4.1771528151935584</v>
      </c>
      <c r="W44">
        <f t="shared" si="11"/>
        <v>4.5619797143614278</v>
      </c>
      <c r="X44">
        <f t="shared" si="11"/>
        <v>4.9599812528184266</v>
      </c>
      <c r="Y44">
        <f t="shared" si="11"/>
        <v>5.3700819368935306</v>
      </c>
      <c r="Z44">
        <f t="shared" si="11"/>
        <v>5.7912180951377934</v>
      </c>
      <c r="AA44">
        <f t="shared" si="11"/>
        <v>6.222353142351551</v>
      </c>
    </row>
    <row r="45" spans="9:27" x14ac:dyDescent="0.25">
      <c r="I45" s="30">
        <f t="shared" si="3"/>
        <v>0.42010000000000025</v>
      </c>
      <c r="J45">
        <f t="shared" si="10"/>
        <v>0.92634291567633831</v>
      </c>
      <c r="K45">
        <f t="shared" si="10"/>
        <v>1.0950178124853291</v>
      </c>
      <c r="L45">
        <f t="shared" si="10"/>
        <v>1.2828482808280768</v>
      </c>
      <c r="M45">
        <f t="shared" si="10"/>
        <v>1.490204896030269</v>
      </c>
      <c r="N45">
        <f t="shared" si="10"/>
        <v>1.7172581124950774</v>
      </c>
      <c r="O45">
        <f t="shared" si="10"/>
        <v>1.9639808146231523</v>
      </c>
      <c r="P45">
        <f t="shared" si="10"/>
        <v>2.2301565495502444</v>
      </c>
      <c r="Q45">
        <f t="shared" si="10"/>
        <v>2.515392697217564</v>
      </c>
      <c r="R45">
        <f t="shared" si="10"/>
        <v>2.8191376703225508</v>
      </c>
      <c r="S45">
        <f t="shared" si="10"/>
        <v>3.1407011437827457</v>
      </c>
      <c r="T45">
        <f t="shared" si="11"/>
        <v>3.4792762869007916</v>
      </c>
      <c r="U45">
        <f t="shared" si="11"/>
        <v>3.8339630035854704</v>
      </c>
      <c r="V45">
        <f t="shared" si="11"/>
        <v>4.2037912660074319</v>
      </c>
      <c r="W45">
        <f t="shared" si="11"/>
        <v>4.5877437426680849</v>
      </c>
      <c r="X45">
        <f t="shared" si="11"/>
        <v>4.9847770604598267</v>
      </c>
      <c r="Y45">
        <f t="shared" si="11"/>
        <v>5.3938411900305887</v>
      </c>
      <c r="Z45">
        <f t="shared" si="11"/>
        <v>5.8138965942253833</v>
      </c>
      <c r="AA45">
        <f t="shared" si="11"/>
        <v>6.2439289220636098</v>
      </c>
    </row>
    <row r="46" spans="9:27" x14ac:dyDescent="0.25">
      <c r="I46" s="30">
        <f t="shared" si="3"/>
        <v>0.43010000000000026</v>
      </c>
      <c r="J46">
        <f t="shared" si="10"/>
        <v>0.94882025835346262</v>
      </c>
      <c r="K46">
        <f t="shared" si="10"/>
        <v>1.1189500024542216</v>
      </c>
      <c r="L46">
        <f t="shared" si="10"/>
        <v>1.3080624785718538</v>
      </c>
      <c r="M46">
        <f t="shared" si="10"/>
        <v>1.5165044268476162</v>
      </c>
      <c r="N46">
        <f t="shared" si="10"/>
        <v>1.7444288249734221</v>
      </c>
      <c r="O46">
        <f t="shared" si="10"/>
        <v>1.9917978221515575</v>
      </c>
      <c r="P46">
        <f t="shared" si="10"/>
        <v>2.2583910066415811</v>
      </c>
      <c r="Q46">
        <f t="shared" si="10"/>
        <v>2.5438182914558283</v>
      </c>
      <c r="R46">
        <f t="shared" si="10"/>
        <v>2.8475365573643465</v>
      </c>
      <c r="S46">
        <f t="shared" si="10"/>
        <v>3.1688691113339225</v>
      </c>
      <c r="T46">
        <f t="shared" si="11"/>
        <v>3.5070269981537088</v>
      </c>
      <c r="U46">
        <f t="shared" si="11"/>
        <v>3.8611312358494381</v>
      </c>
      <c r="V46">
        <f t="shared" si="11"/>
        <v>4.230235121621277</v>
      </c>
      <c r="W46">
        <f t="shared" si="11"/>
        <v>4.6133458632320874</v>
      </c>
      <c r="X46">
        <f t="shared" si="11"/>
        <v>5.0094449196059472</v>
      </c>
      <c r="Y46">
        <f t="shared" si="11"/>
        <v>5.4175065731367944</v>
      </c>
      <c r="Z46">
        <f t="shared" si="11"/>
        <v>5.8365143954527596</v>
      </c>
      <c r="AA46">
        <f t="shared" si="11"/>
        <v>6.2654754004634654</v>
      </c>
    </row>
    <row r="47" spans="9:27" x14ac:dyDescent="0.25">
      <c r="I47" s="30">
        <f t="shared" si="3"/>
        <v>0.44010000000000027</v>
      </c>
      <c r="J47">
        <f t="shared" si="10"/>
        <v>0.97115944300191082</v>
      </c>
      <c r="K47">
        <f t="shared" si="10"/>
        <v>1.1427051331446307</v>
      </c>
      <c r="L47">
        <f t="shared" si="10"/>
        <v>1.3330648876536486</v>
      </c>
      <c r="M47">
        <f t="shared" si="10"/>
        <v>1.5425629977300659</v>
      </c>
      <c r="N47">
        <f t="shared" si="10"/>
        <v>1.7713360441984456</v>
      </c>
      <c r="O47">
        <f t="shared" si="10"/>
        <v>2.0193361677681274</v>
      </c>
      <c r="P47">
        <f t="shared" si="10"/>
        <v>2.2863393513542505</v>
      </c>
      <c r="Q47">
        <f t="shared" si="10"/>
        <v>2.5719580270102931</v>
      </c>
      <c r="R47">
        <f t="shared" si="10"/>
        <v>2.8756571902066206</v>
      </c>
      <c r="S47">
        <f t="shared" si="10"/>
        <v>3.1967731335928669</v>
      </c>
      <c r="T47">
        <f t="shared" si="11"/>
        <v>3.5345338972408697</v>
      </c>
      <c r="U47">
        <f t="shared" si="11"/>
        <v>3.8880805656402373</v>
      </c>
      <c r="V47">
        <f t="shared" si="11"/>
        <v>4.256488614209907</v>
      </c>
      <c r="W47">
        <f t="shared" si="11"/>
        <v>4.6387886095225959</v>
      </c>
      <c r="X47">
        <f t="shared" si="11"/>
        <v>5.0339856874222271</v>
      </c>
      <c r="Y47">
        <f t="shared" si="11"/>
        <v>5.4410773620170367</v>
      </c>
      <c r="Z47">
        <f t="shared" si="11"/>
        <v>5.8590693476430928</v>
      </c>
      <c r="AA47">
        <f t="shared" si="11"/>
        <v>6.2869891983769577</v>
      </c>
    </row>
    <row r="48" spans="9:27" x14ac:dyDescent="0.25">
      <c r="I48" s="30">
        <f t="shared" si="3"/>
        <v>0.45010000000000028</v>
      </c>
      <c r="J48">
        <f t="shared" si="10"/>
        <v>0.99336270324664255</v>
      </c>
      <c r="K48">
        <f t="shared" si="10"/>
        <v>1.1662873292154341</v>
      </c>
      <c r="L48">
        <f t="shared" si="10"/>
        <v>1.3578613766625605</v>
      </c>
      <c r="M48">
        <f t="shared" si="10"/>
        <v>1.5683879700971612</v>
      </c>
      <c r="N48">
        <f t="shared" si="10"/>
        <v>1.7979882889959491</v>
      </c>
      <c r="O48">
        <f t="shared" si="10"/>
        <v>2.0466051329943653</v>
      </c>
      <c r="P48">
        <f t="shared" si="10"/>
        <v>2.314011201813976</v>
      </c>
      <c r="Q48">
        <f t="shared" si="10"/>
        <v>2.5998214293966946</v>
      </c>
      <c r="R48">
        <f t="shared" si="10"/>
        <v>2.9035085957493507</v>
      </c>
      <c r="S48">
        <f t="shared" si="10"/>
        <v>3.2244213785952134</v>
      </c>
      <c r="T48">
        <f t="shared" si="11"/>
        <v>3.5618039962968204</v>
      </c>
      <c r="U48">
        <f t="shared" si="11"/>
        <v>3.9148166270020219</v>
      </c>
      <c r="V48">
        <f t="shared" si="11"/>
        <v>4.2825558580457646</v>
      </c>
      <c r="W48">
        <f t="shared" si="11"/>
        <v>4.6640745148912153</v>
      </c>
      <c r="X48">
        <f t="shared" si="11"/>
        <v>5.0584003308386727</v>
      </c>
      <c r="Y48">
        <f t="shared" si="11"/>
        <v>5.4645530385283081</v>
      </c>
      <c r="Z48">
        <f t="shared" si="11"/>
        <v>5.8815595841953368</v>
      </c>
      <c r="AA48">
        <f t="shared" si="11"/>
        <v>6.3084672794153605</v>
      </c>
    </row>
    <row r="49" spans="9:27" x14ac:dyDescent="0.25">
      <c r="I49" s="30">
        <f t="shared" si="3"/>
        <v>0.46010000000000029</v>
      </c>
      <c r="J49">
        <f t="shared" si="10"/>
        <v>1.0154322627891315</v>
      </c>
      <c r="K49">
        <f t="shared" si="10"/>
        <v>1.1897005775017728</v>
      </c>
      <c r="L49">
        <f t="shared" si="10"/>
        <v>1.3824575538498021</v>
      </c>
      <c r="M49">
        <f t="shared" si="10"/>
        <v>1.5939863375378582</v>
      </c>
      <c r="N49">
        <f t="shared" si="10"/>
        <v>1.8243936259812266</v>
      </c>
      <c r="O49">
        <f t="shared" si="10"/>
        <v>2.0736134917468299</v>
      </c>
      <c r="P49">
        <f t="shared" si="10"/>
        <v>2.3414156453874426</v>
      </c>
      <c r="Q49">
        <f t="shared" si="10"/>
        <v>2.6274175029868765</v>
      </c>
      <c r="R49">
        <f t="shared" si="10"/>
        <v>2.9310993200989977</v>
      </c>
      <c r="S49">
        <f t="shared" si="10"/>
        <v>3.2518216004581504</v>
      </c>
      <c r="T49">
        <f t="shared" si="11"/>
        <v>3.5888439810936994</v>
      </c>
      <c r="U49">
        <f t="shared" si="11"/>
        <v>3.9413448290049011</v>
      </c>
      <c r="V49">
        <f t="shared" si="11"/>
        <v>4.3084408504347529</v>
      </c>
      <c r="W49">
        <f t="shared" si="11"/>
        <v>4.6892061033639543</v>
      </c>
      <c r="X49">
        <f t="shared" si="11"/>
        <v>5.0826899084715969</v>
      </c>
      <c r="Y49">
        <f t="shared" si="11"/>
        <v>5.4879332654275181</v>
      </c>
      <c r="Z49">
        <f t="shared" si="11"/>
        <v>5.9039834929791972</v>
      </c>
      <c r="AA49">
        <f t="shared" si="11"/>
        <v>6.3299069171629796</v>
      </c>
    </row>
    <row r="50" spans="9:27" x14ac:dyDescent="0.25">
      <c r="I50" s="30">
        <f t="shared" si="3"/>
        <v>0.4701000000000003</v>
      </c>
      <c r="J50">
        <f t="shared" si="10"/>
        <v>1.0373703288166958</v>
      </c>
      <c r="K50">
        <f t="shared" si="10"/>
        <v>1.2129487313418466</v>
      </c>
      <c r="L50">
        <f t="shared" si="10"/>
        <v>1.4068587823591283</v>
      </c>
      <c r="M50">
        <f t="shared" si="10"/>
        <v>1.6193647508715934</v>
      </c>
      <c r="N50">
        <f t="shared" si="10"/>
        <v>1.850559702458245</v>
      </c>
      <c r="O50">
        <f t="shared" si="10"/>
        <v>2.1003695483961486</v>
      </c>
      <c r="P50">
        <f t="shared" si="10"/>
        <v>2.3685612788304127</v>
      </c>
      <c r="Q50">
        <f t="shared" si="10"/>
        <v>2.6547547700973482</v>
      </c>
      <c r="R50">
        <f t="shared" si="10"/>
        <v>2.9584374636688509</v>
      </c>
      <c r="S50">
        <f t="shared" si="10"/>
        <v>3.2789811680348997</v>
      </c>
      <c r="T50">
        <f t="shared" si="11"/>
        <v>3.6156602314458439</v>
      </c>
      <c r="U50">
        <f t="shared" si="11"/>
        <v>3.9676703668518023</v>
      </c>
      <c r="V50">
        <f t="shared" si="11"/>
        <v>4.3341474732557366</v>
      </c>
      <c r="W50">
        <f t="shared" si="11"/>
        <v>4.7141858820712237</v>
      </c>
      <c r="X50">
        <f t="shared" si="11"/>
        <v>5.1068555550205836</v>
      </c>
      <c r="Y50">
        <f t="shared" si="11"/>
        <v>5.5112178642813348</v>
      </c>
      <c r="Z50">
        <f t="shared" si="11"/>
        <v>5.9263396896027452</v>
      </c>
      <c r="AA50">
        <f t="shared" si="11"/>
        <v>6.35130566577471</v>
      </c>
    </row>
    <row r="51" spans="9:27" x14ac:dyDescent="0.25">
      <c r="I51" s="30">
        <f t="shared" si="3"/>
        <v>0.4801000000000003</v>
      </c>
      <c r="J51">
        <f t="shared" si="10"/>
        <v>1.0591790866351918</v>
      </c>
      <c r="K51">
        <f t="shared" si="10"/>
        <v>1.2360355150129312</v>
      </c>
      <c r="L51">
        <f t="shared" si="10"/>
        <v>1.4310701944020519</v>
      </c>
      <c r="M51">
        <f t="shared" si="10"/>
        <v>1.6445295410735259</v>
      </c>
      <c r="N51">
        <f t="shared" si="10"/>
        <v>1.876493776306507</v>
      </c>
      <c r="O51">
        <f t="shared" si="10"/>
        <v>2.1268811722331797</v>
      </c>
      <c r="P51">
        <f t="shared" si="10"/>
        <v>2.3954562446127667</v>
      </c>
      <c r="Q51">
        <f t="shared" si="10"/>
        <v>2.6818413063865307</v>
      </c>
      <c r="R51">
        <f t="shared" si="10"/>
        <v>2.9855307130538549</v>
      </c>
      <c r="S51">
        <f t="shared" si="10"/>
        <v>3.3059070910819663</v>
      </c>
      <c r="T51">
        <f t="shared" si="11"/>
        <v>3.6422588400528042</v>
      </c>
      <c r="U51">
        <f t="shared" si="11"/>
        <v>3.9937982324395875</v>
      </c>
      <c r="V51">
        <f t="shared" si="11"/>
        <v>4.3596794949629007</v>
      </c>
      <c r="W51">
        <f t="shared" si="11"/>
        <v>4.7390163350544157</v>
      </c>
      <c r="X51">
        <f t="shared" si="11"/>
        <v>5.1308984677905123</v>
      </c>
      <c r="Y51">
        <f t="shared" si="11"/>
        <v>5.5344067960363148</v>
      </c>
      <c r="Z51">
        <f t="shared" si="11"/>
        <v>5.9486269936393121</v>
      </c>
      <c r="AA51">
        <f t="shared" si="11"/>
        <v>6.3726613335948699</v>
      </c>
    </row>
    <row r="52" spans="9:27" x14ac:dyDescent="0.25">
      <c r="I52" s="30">
        <f t="shared" si="3"/>
        <v>0.49010000000000031</v>
      </c>
      <c r="J52">
        <f t="shared" si="10"/>
        <v>1.0808606953280329</v>
      </c>
      <c r="K52">
        <f t="shared" si="10"/>
        <v>1.2589645282108766</v>
      </c>
      <c r="L52">
        <f t="shared" si="10"/>
        <v>1.4550967044561887</v>
      </c>
      <c r="M52">
        <f t="shared" si="10"/>
        <v>1.6694867402802007</v>
      </c>
      <c r="N52">
        <f t="shared" si="10"/>
        <v>1.9022027431856046</v>
      </c>
      <c r="O52">
        <f t="shared" si="10"/>
        <v>2.1531558287486376</v>
      </c>
      <c r="P52">
        <f t="shared" si="10"/>
        <v>2.4221082638563018</v>
      </c>
      <c r="Q52">
        <f t="shared" si="10"/>
        <v>2.7086847729781098</v>
      </c>
      <c r="R52">
        <f t="shared" si="10"/>
        <v>3.0123863700347719</v>
      </c>
      <c r="S52">
        <f t="shared" si="10"/>
        <v>3.3326060441965524</v>
      </c>
      <c r="T52">
        <f t="shared" si="11"/>
        <v>3.6686456299181387</v>
      </c>
      <c r="U52">
        <f t="shared" si="11"/>
        <v>4.0197332243836819</v>
      </c>
      <c r="V52">
        <f t="shared" si="11"/>
        <v>4.3850405729376511</v>
      </c>
      <c r="W52">
        <f t="shared" si="11"/>
        <v>4.7636999182306141</v>
      </c>
      <c r="X52">
        <f t="shared" si="11"/>
        <v>5.154819895041534</v>
      </c>
      <c r="Y52">
        <f t="shared" si="11"/>
        <v>5.5575001439056138</v>
      </c>
      <c r="Z52">
        <f t="shared" si="11"/>
        <v>5.9708444074559957</v>
      </c>
      <c r="AA52">
        <f t="shared" si="11"/>
        <v>6.3939719594568629</v>
      </c>
    </row>
    <row r="53" spans="9:27" x14ac:dyDescent="0.25">
      <c r="I53" s="30">
        <f t="shared" si="3"/>
        <v>0.50010000000000032</v>
      </c>
      <c r="J53">
        <f t="shared" si="10"/>
        <v>1.1024172842770668</v>
      </c>
      <c r="K53">
        <f t="shared" si="10"/>
        <v>1.2817392505223388</v>
      </c>
      <c r="L53">
        <f t="shared" si="10"/>
        <v>1.4789430215600436</v>
      </c>
      <c r="M53">
        <f t="shared" si="10"/>
        <v>1.6942421010667115</v>
      </c>
      <c r="N53">
        <f t="shared" si="10"/>
        <v>1.9276931613458324</v>
      </c>
      <c r="O53">
        <f t="shared" si="10"/>
        <v>2.1792006080788795</v>
      </c>
      <c r="P53">
        <f t="shared" si="10"/>
        <v>2.44852466626363</v>
      </c>
      <c r="Q53">
        <f t="shared" si="10"/>
        <v>2.7352924456731778</v>
      </c>
      <c r="R53">
        <f t="shared" si="10"/>
        <v>3.0390113780212467</v>
      </c>
      <c r="S53">
        <f t="shared" si="10"/>
        <v>3.3590843887505279</v>
      </c>
      <c r="T53">
        <f t="shared" si="11"/>
        <v>3.6948261704681897</v>
      </c>
      <c r="U53">
        <f t="shared" si="11"/>
        <v>4.0454799575204596</v>
      </c>
      <c r="V53">
        <f t="shared" si="11"/>
        <v>4.4102342560986116</v>
      </c>
      <c r="W53">
        <f t="shared" si="11"/>
        <v>4.7882390553323333</v>
      </c>
      <c r="X53">
        <f t="shared" si="11"/>
        <v>5.1786211259143755</v>
      </c>
      <c r="Y53">
        <f t="shared" si="11"/>
        <v>5.5804980982766459</v>
      </c>
      <c r="Z53">
        <f t="shared" si="11"/>
        <v>5.992991097333153</v>
      </c>
      <c r="AA53">
        <f t="shared" si="11"/>
        <v>6.4152357913649638</v>
      </c>
    </row>
    <row r="54" spans="9:27" x14ac:dyDescent="0.25">
      <c r="I54" s="30">
        <f t="shared" si="3"/>
        <v>0.51010000000000033</v>
      </c>
      <c r="J54">
        <f t="shared" si="10"/>
        <v>1.123850950407391</v>
      </c>
      <c r="K54">
        <f>K$2*_xlfn.NORM.S.DIST((LN(K$2/$F$68)+($F$70+$F$69^2/2)*$I54)/($F$69*SQRT($I54)),TRUE) -($F$68*EXP(-$F$70*$I54)*_xlfn.NORM.S.DIST(((LN(K$2/$F$68)+($F$70+$F$69^2/2)*$I54)/($F$69*SQRT($I54))-$F$69*SQRT($I54)),TRUE))</f>
        <v>1.3043630458509128</v>
      </c>
      <c r="L54">
        <f t="shared" si="10"/>
        <v>1.5026136607721323</v>
      </c>
      <c r="M54">
        <f t="shared" si="10"/>
        <v>1.7188011141646466</v>
      </c>
      <c r="N54">
        <f t="shared" si="10"/>
        <v>1.9529712742970595</v>
      </c>
      <c r="O54">
        <f t="shared" si="10"/>
        <v>2.2050222509255235</v>
      </c>
      <c r="P54">
        <f t="shared" si="10"/>
        <v>2.4747124173673427</v>
      </c>
      <c r="Q54">
        <f t="shared" si="10"/>
        <v>2.7616712415672033</v>
      </c>
      <c r="R54">
        <f t="shared" si="10"/>
        <v>3.0654123462046705</v>
      </c>
      <c r="S54">
        <f t="shared" si="10"/>
        <v>3.3853481930210805</v>
      </c>
      <c r="T54">
        <f t="shared" si="11"/>
        <v>3.7208057924831373</v>
      </c>
      <c r="U54">
        <f t="shared" si="11"/>
        <v>4.071042871905231</v>
      </c>
      <c r="V54">
        <f t="shared" si="11"/>
        <v>4.4352639876957021</v>
      </c>
      <c r="W54">
        <f t="shared" si="11"/>
        <v>4.8126361346686508</v>
      </c>
      <c r="X54">
        <f t="shared" si="11"/>
        <v>5.2023034817155498</v>
      </c>
      <c r="Y54">
        <f t="shared" si="11"/>
        <v>5.6034009433845782</v>
      </c>
      <c r="Z54">
        <f t="shared" si="11"/>
        <v>6.015066376604608</v>
      </c>
      <c r="AA54">
        <f t="shared" si="11"/>
        <v>6.4364512672954746</v>
      </c>
    </row>
    <row r="55" spans="9:27" x14ac:dyDescent="0.25">
      <c r="I55" s="30">
        <f>I54+$C$5</f>
        <v>0.52010000000000034</v>
      </c>
      <c r="J55">
        <f t="shared" si="10"/>
        <v>1.1451637560405405</v>
      </c>
      <c r="K55">
        <f t="shared" si="10"/>
        <v>1.3268391667677761</v>
      </c>
      <c r="L55">
        <f t="shared" si="10"/>
        <v>1.5261129538576679</v>
      </c>
      <c r="M55">
        <f t="shared" si="10"/>
        <v>1.7431690247710936</v>
      </c>
      <c r="N55">
        <f t="shared" si="10"/>
        <v>1.9780430315574655</v>
      </c>
      <c r="O55">
        <f t="shared" si="10"/>
        <v>2.2306271722179183</v>
      </c>
      <c r="P55">
        <f t="shared" si="10"/>
        <v>2.5006781433871446</v>
      </c>
      <c r="Q55">
        <f t="shared" si="10"/>
        <v>2.7878277433483802</v>
      </c>
      <c r="R55">
        <f t="shared" si="10"/>
        <v>3.0915955716585515</v>
      </c>
      <c r="S55">
        <f t="shared" si="10"/>
        <v>3.4114032506951339</v>
      </c>
      <c r="T55">
        <f t="shared" si="11"/>
        <v>3.7465896019421798</v>
      </c>
      <c r="U55">
        <f t="shared" si="11"/>
        <v>4.096426241325922</v>
      </c>
      <c r="V55">
        <f t="shared" si="11"/>
        <v>4.460133108229428</v>
      </c>
      <c r="W55">
        <f t="shared" si="11"/>
        <v>4.8368935065785124</v>
      </c>
      <c r="X55">
        <f t="shared" si="11"/>
        <v>5.2258683083785442</v>
      </c>
      <c r="Y55">
        <f t="shared" si="11"/>
        <v>5.6262090455323488</v>
      </c>
      <c r="Z55">
        <f t="shared" si="11"/>
        <v>6.0370696905835004</v>
      </c>
      <c r="AA55">
        <f t="shared" si="11"/>
        <v>6.457616997886177</v>
      </c>
    </row>
    <row r="67" spans="1:6" x14ac:dyDescent="0.25">
      <c r="A67" s="3" t="s">
        <v>0</v>
      </c>
      <c r="F67">
        <v>24</v>
      </c>
    </row>
    <row r="68" spans="1:6" x14ac:dyDescent="0.25">
      <c r="A68" s="3" t="s">
        <v>1</v>
      </c>
      <c r="F68">
        <v>40</v>
      </c>
    </row>
    <row r="69" spans="1:6" x14ac:dyDescent="0.25">
      <c r="A69" s="3" t="s">
        <v>2</v>
      </c>
      <c r="E69">
        <v>20</v>
      </c>
      <c r="F69">
        <f>E69/100</f>
        <v>0.2</v>
      </c>
    </row>
    <row r="70" spans="1:6" x14ac:dyDescent="0.25">
      <c r="A70" s="3" t="s">
        <v>5</v>
      </c>
      <c r="E70">
        <v>2</v>
      </c>
      <c r="F70">
        <f>E70/100</f>
        <v>0.02</v>
      </c>
    </row>
    <row r="71" spans="1:6" x14ac:dyDescent="0.25">
      <c r="A71" s="3" t="s">
        <v>6</v>
      </c>
      <c r="E71">
        <v>13</v>
      </c>
      <c r="F71">
        <f>E71/100</f>
        <v>0.13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Scroll Bar 1">
              <controlPr defaultSize="0" autoPict="0">
                <anchor>
                  <from>
                    <xdr:col>1</xdr:col>
                    <xdr:colOff>9525</xdr:colOff>
                    <xdr:row>68</xdr:row>
                    <xdr:rowOff>9525</xdr:rowOff>
                  </from>
                  <to>
                    <xdr:col>3</xdr:col>
                    <xdr:colOff>590550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Scroll Bar 2">
              <controlPr defaultSize="0" autoPict="0">
                <anchor moveWithCells="1">
                  <from>
                    <xdr:col>1</xdr:col>
                    <xdr:colOff>0</xdr:colOff>
                    <xdr:row>69</xdr:row>
                    <xdr:rowOff>9525</xdr:rowOff>
                  </from>
                  <to>
                    <xdr:col>4</xdr:col>
                    <xdr:colOff>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5" name="Scroll Bar 7">
              <controlPr defaultSize="0" autoPict="0">
                <anchor>
                  <from>
                    <xdr:col>1</xdr:col>
                    <xdr:colOff>0</xdr:colOff>
                    <xdr:row>67</xdr:row>
                    <xdr:rowOff>19050</xdr:rowOff>
                  </from>
                  <to>
                    <xdr:col>4</xdr:col>
                    <xdr:colOff>600075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6" name="Scroll Bar 8">
              <controlPr defaultSize="0" autoPict="0">
                <anchor moveWithCells="1">
                  <from>
                    <xdr:col>0</xdr:col>
                    <xdr:colOff>600075</xdr:colOff>
                    <xdr:row>66</xdr:row>
                    <xdr:rowOff>9525</xdr:rowOff>
                  </from>
                  <to>
                    <xdr:col>4</xdr:col>
                    <xdr:colOff>600075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7" name="Scroll Bar 9">
              <controlPr defaultSize="0" autoPict="0">
                <anchor>
                  <from>
                    <xdr:col>1</xdr:col>
                    <xdr:colOff>9525</xdr:colOff>
                    <xdr:row>70</xdr:row>
                    <xdr:rowOff>9525</xdr:rowOff>
                  </from>
                  <to>
                    <xdr:col>4</xdr:col>
                    <xdr:colOff>0</xdr:colOff>
                    <xdr:row>70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8</vt:i4>
      </vt:variant>
    </vt:vector>
  </HeadingPairs>
  <TitlesOfParts>
    <vt:vector size="18" baseType="lpstr">
      <vt:lpstr>delta time</vt:lpstr>
      <vt:lpstr>gamma</vt:lpstr>
      <vt:lpstr>theta</vt:lpstr>
      <vt:lpstr>vega</vt:lpstr>
      <vt:lpstr>n(d1)</vt:lpstr>
      <vt:lpstr>d1</vt:lpstr>
      <vt:lpstr>минимакс</vt:lpstr>
      <vt:lpstr>futures</vt:lpstr>
      <vt:lpstr>Стоимость опциона</vt:lpstr>
      <vt:lpstr>цены из TOS</vt:lpstr>
      <vt:lpstr>futures!Currencies</vt:lpstr>
      <vt:lpstr>futures!Energies</vt:lpstr>
      <vt:lpstr>futures!Financials</vt:lpstr>
      <vt:lpstr>futures!Grains</vt:lpstr>
      <vt:lpstr>futures!Indices</vt:lpstr>
      <vt:lpstr>futures!Meats</vt:lpstr>
      <vt:lpstr>futures!Metals</vt:lpstr>
      <vt:lpstr>futures!Softs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2015-01-17T14:14:07Z</dcterms:modified>
</cp:coreProperties>
</file>