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我的雲端硬碟\個人文件\Finance\"/>
    </mc:Choice>
  </mc:AlternateContent>
  <xr:revisionPtr revIDLastSave="0" documentId="13_ncr:1_{90438432-6C95-4F7E-A773-9E4981973240}" xr6:coauthVersionLast="47" xr6:coauthVersionMax="47" xr10:uidLastSave="{00000000-0000-0000-0000-000000000000}"/>
  <bookViews>
    <workbookView xWindow="-120" yWindow="-120" windowWidth="38640" windowHeight="21240" activeTab="1" xr2:uid="{5BD778E6-98FA-461E-8749-5D5793061A6C}"/>
  </bookViews>
  <sheets>
    <sheet name="TESLA" sheetId="4" r:id="rId1"/>
    <sheet name="WLTW" sheetId="8" r:id="rId2"/>
    <sheet name="QRVO" sheetId="3" r:id="rId3"/>
    <sheet name="HD" sheetId="5" r:id="rId4"/>
    <sheet name="AMD" sheetId="6" r:id="rId5"/>
    <sheet name="Tencent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8" l="1"/>
  <c r="J17" i="8"/>
  <c r="J15" i="8"/>
  <c r="J11" i="8"/>
  <c r="J8" i="8"/>
  <c r="J5" i="8"/>
  <c r="J22" i="3"/>
  <c r="J17" i="3"/>
  <c r="J15" i="3"/>
  <c r="J11" i="3"/>
  <c r="J8" i="3"/>
  <c r="J5" i="3"/>
  <c r="J22" i="5"/>
  <c r="J17" i="5"/>
  <c r="J15" i="5"/>
  <c r="J11" i="5"/>
  <c r="J8" i="5"/>
  <c r="J5" i="5"/>
  <c r="J5" i="6"/>
  <c r="J8" i="6"/>
  <c r="J11" i="6"/>
  <c r="J15" i="6"/>
  <c r="J17" i="6"/>
  <c r="J22" i="6"/>
  <c r="J22" i="7"/>
  <c r="J15" i="7"/>
  <c r="J11" i="7"/>
  <c r="J8" i="7"/>
  <c r="J5" i="7"/>
  <c r="K17" i="6"/>
  <c r="L17" i="6" s="1"/>
  <c r="M17" i="6" s="1"/>
  <c r="N17" i="6" s="1"/>
  <c r="O17" i="6" s="1"/>
  <c r="S29" i="8"/>
  <c r="S28" i="8"/>
  <c r="H26" i="8"/>
  <c r="G26" i="8"/>
  <c r="F26" i="8"/>
  <c r="E26" i="8"/>
  <c r="D26" i="8"/>
  <c r="H24" i="8"/>
  <c r="H27" i="8" s="1"/>
  <c r="F24" i="8"/>
  <c r="F27" i="8" s="1"/>
  <c r="H23" i="8"/>
  <c r="H28" i="8" s="1"/>
  <c r="G23" i="8"/>
  <c r="G28" i="8" s="1"/>
  <c r="F23" i="8"/>
  <c r="F28" i="8" s="1"/>
  <c r="E23" i="8"/>
  <c r="E28" i="8" s="1"/>
  <c r="D23" i="8"/>
  <c r="D28" i="8" s="1"/>
  <c r="H22" i="8"/>
  <c r="G22" i="8"/>
  <c r="F22" i="8"/>
  <c r="E22" i="8"/>
  <c r="D22" i="8"/>
  <c r="K17" i="8"/>
  <c r="L17" i="8" s="1"/>
  <c r="M17" i="8" s="1"/>
  <c r="N17" i="8" s="1"/>
  <c r="O17" i="8" s="1"/>
  <c r="O15" i="8"/>
  <c r="N15" i="8"/>
  <c r="M15" i="8"/>
  <c r="L15" i="8"/>
  <c r="K15" i="8"/>
  <c r="H13" i="8"/>
  <c r="H15" i="8" s="1"/>
  <c r="G13" i="8"/>
  <c r="G14" i="8" s="1"/>
  <c r="F13" i="8"/>
  <c r="F15" i="8" s="1"/>
  <c r="E13" i="8"/>
  <c r="D13" i="8"/>
  <c r="D15" i="8" s="1"/>
  <c r="O11" i="8"/>
  <c r="N11" i="8"/>
  <c r="M11" i="8"/>
  <c r="L11" i="8"/>
  <c r="K11" i="8"/>
  <c r="H11" i="8"/>
  <c r="G11" i="8"/>
  <c r="F11" i="8"/>
  <c r="E11" i="8"/>
  <c r="D11" i="8"/>
  <c r="O8" i="8"/>
  <c r="N8" i="8"/>
  <c r="M8" i="8"/>
  <c r="L8" i="8"/>
  <c r="K8" i="8"/>
  <c r="H8" i="8"/>
  <c r="G8" i="8"/>
  <c r="F8" i="8"/>
  <c r="E8" i="8"/>
  <c r="D8" i="8"/>
  <c r="O5" i="8"/>
  <c r="N5" i="8"/>
  <c r="M5" i="8"/>
  <c r="L5" i="8"/>
  <c r="K5" i="8"/>
  <c r="K4" i="8" s="1"/>
  <c r="H5" i="8"/>
  <c r="G5" i="8"/>
  <c r="F5" i="8"/>
  <c r="E5" i="8"/>
  <c r="D5" i="8"/>
  <c r="S29" i="7"/>
  <c r="S28" i="7"/>
  <c r="H26" i="7"/>
  <c r="G26" i="7"/>
  <c r="F26" i="7"/>
  <c r="E26" i="7"/>
  <c r="D26" i="7"/>
  <c r="H24" i="7"/>
  <c r="H27" i="7" s="1"/>
  <c r="H23" i="7"/>
  <c r="H28" i="7" s="1"/>
  <c r="G23" i="7"/>
  <c r="G28" i="7" s="1"/>
  <c r="F23" i="7"/>
  <c r="F28" i="7" s="1"/>
  <c r="E23" i="7"/>
  <c r="E24" i="7" s="1"/>
  <c r="E27" i="7" s="1"/>
  <c r="D23" i="7"/>
  <c r="D28" i="7" s="1"/>
  <c r="H22" i="7"/>
  <c r="G22" i="7"/>
  <c r="F22" i="7"/>
  <c r="E22" i="7"/>
  <c r="D22" i="7"/>
  <c r="J17" i="7"/>
  <c r="K17" i="7" s="1"/>
  <c r="L17" i="7" s="1"/>
  <c r="M17" i="7" s="1"/>
  <c r="N17" i="7" s="1"/>
  <c r="O17" i="7" s="1"/>
  <c r="O15" i="7"/>
  <c r="N15" i="7"/>
  <c r="M15" i="7"/>
  <c r="L15" i="7"/>
  <c r="K15" i="7"/>
  <c r="H13" i="7"/>
  <c r="H15" i="7" s="1"/>
  <c r="G13" i="7"/>
  <c r="G14" i="7" s="1"/>
  <c r="F13" i="7"/>
  <c r="F14" i="7" s="1"/>
  <c r="E13" i="7"/>
  <c r="E29" i="7" s="1"/>
  <c r="D13" i="7"/>
  <c r="D15" i="7" s="1"/>
  <c r="O11" i="7"/>
  <c r="N11" i="7"/>
  <c r="M11" i="7"/>
  <c r="L11" i="7"/>
  <c r="K11" i="7"/>
  <c r="H11" i="7"/>
  <c r="G11" i="7"/>
  <c r="F11" i="7"/>
  <c r="E11" i="7"/>
  <c r="D11" i="7"/>
  <c r="O8" i="7"/>
  <c r="N8" i="7"/>
  <c r="M8" i="7"/>
  <c r="L8" i="7"/>
  <c r="K8" i="7"/>
  <c r="H8" i="7"/>
  <c r="G8" i="7"/>
  <c r="F8" i="7"/>
  <c r="E8" i="7"/>
  <c r="D8" i="7"/>
  <c r="O5" i="7"/>
  <c r="N5" i="7"/>
  <c r="M5" i="7"/>
  <c r="L5" i="7"/>
  <c r="K5" i="7"/>
  <c r="K4" i="7" s="1"/>
  <c r="H5" i="7"/>
  <c r="G5" i="7"/>
  <c r="F5" i="7"/>
  <c r="E5" i="7"/>
  <c r="D5" i="7"/>
  <c r="S29" i="6"/>
  <c r="S28" i="6"/>
  <c r="H26" i="6"/>
  <c r="G26" i="6"/>
  <c r="F26" i="6"/>
  <c r="E26" i="6"/>
  <c r="D26" i="6"/>
  <c r="H23" i="6"/>
  <c r="H28" i="6" s="1"/>
  <c r="G23" i="6"/>
  <c r="G28" i="6" s="1"/>
  <c r="F23" i="6"/>
  <c r="F28" i="6" s="1"/>
  <c r="E23" i="6"/>
  <c r="E28" i="6" s="1"/>
  <c r="D23" i="6"/>
  <c r="D28" i="6" s="1"/>
  <c r="H22" i="6"/>
  <c r="G22" i="6"/>
  <c r="F22" i="6"/>
  <c r="E22" i="6"/>
  <c r="D22" i="6"/>
  <c r="O15" i="6"/>
  <c r="N15" i="6"/>
  <c r="M15" i="6"/>
  <c r="L15" i="6"/>
  <c r="K15" i="6"/>
  <c r="H13" i="6"/>
  <c r="H14" i="6" s="1"/>
  <c r="G13" i="6"/>
  <c r="G14" i="6" s="1"/>
  <c r="F13" i="6"/>
  <c r="F29" i="6" s="1"/>
  <c r="E13" i="6"/>
  <c r="E15" i="6" s="1"/>
  <c r="D13" i="6"/>
  <c r="D15" i="6" s="1"/>
  <c r="O11" i="6"/>
  <c r="N11" i="6"/>
  <c r="M11" i="6"/>
  <c r="L11" i="6"/>
  <c r="K11" i="6"/>
  <c r="H11" i="6"/>
  <c r="G11" i="6"/>
  <c r="F11" i="6"/>
  <c r="E11" i="6"/>
  <c r="D11" i="6"/>
  <c r="O8" i="6"/>
  <c r="N8" i="6"/>
  <c r="M8" i="6"/>
  <c r="L8" i="6"/>
  <c r="K8" i="6"/>
  <c r="H8" i="6"/>
  <c r="G8" i="6"/>
  <c r="F8" i="6"/>
  <c r="E8" i="6"/>
  <c r="D8" i="6"/>
  <c r="O5" i="6"/>
  <c r="N5" i="6"/>
  <c r="M5" i="6"/>
  <c r="L5" i="6"/>
  <c r="K5" i="6"/>
  <c r="K4" i="6" s="1"/>
  <c r="H5" i="6"/>
  <c r="G5" i="6"/>
  <c r="F5" i="6"/>
  <c r="E5" i="6"/>
  <c r="D5" i="6"/>
  <c r="S29" i="5"/>
  <c r="S28" i="5"/>
  <c r="K8" i="5"/>
  <c r="L8" i="5"/>
  <c r="M8" i="5"/>
  <c r="N8" i="5"/>
  <c r="O8" i="5"/>
  <c r="D22" i="5"/>
  <c r="H26" i="5"/>
  <c r="G26" i="5"/>
  <c r="F26" i="5"/>
  <c r="E26" i="5"/>
  <c r="D26" i="5"/>
  <c r="H23" i="5"/>
  <c r="H28" i="5" s="1"/>
  <c r="G23" i="5"/>
  <c r="G28" i="5" s="1"/>
  <c r="F23" i="5"/>
  <c r="F28" i="5" s="1"/>
  <c r="E23" i="5"/>
  <c r="E28" i="5" s="1"/>
  <c r="D23" i="5"/>
  <c r="D24" i="5" s="1"/>
  <c r="D27" i="5" s="1"/>
  <c r="H22" i="5"/>
  <c r="G22" i="5"/>
  <c r="F22" i="5"/>
  <c r="E22" i="5"/>
  <c r="K17" i="5"/>
  <c r="L17" i="5" s="1"/>
  <c r="M17" i="5" s="1"/>
  <c r="N17" i="5" s="1"/>
  <c r="O17" i="5" s="1"/>
  <c r="O15" i="5"/>
  <c r="N15" i="5"/>
  <c r="M15" i="5"/>
  <c r="L15" i="5"/>
  <c r="K15" i="5"/>
  <c r="H13" i="5"/>
  <c r="H15" i="5" s="1"/>
  <c r="G13" i="5"/>
  <c r="G14" i="5" s="1"/>
  <c r="F13" i="5"/>
  <c r="E13" i="5"/>
  <c r="E15" i="5" s="1"/>
  <c r="D13" i="5"/>
  <c r="O11" i="5"/>
  <c r="N11" i="5"/>
  <c r="M11" i="5"/>
  <c r="L11" i="5"/>
  <c r="K11" i="5"/>
  <c r="H11" i="5"/>
  <c r="G11" i="5"/>
  <c r="F11" i="5"/>
  <c r="E11" i="5"/>
  <c r="D11" i="5"/>
  <c r="H8" i="5"/>
  <c r="G8" i="5"/>
  <c r="F8" i="5"/>
  <c r="E8" i="5"/>
  <c r="D8" i="5"/>
  <c r="O5" i="5"/>
  <c r="N5" i="5"/>
  <c r="M5" i="5"/>
  <c r="L5" i="5"/>
  <c r="K5" i="5"/>
  <c r="K4" i="5" s="1"/>
  <c r="H5" i="5"/>
  <c r="G5" i="5"/>
  <c r="F5" i="5"/>
  <c r="E5" i="5"/>
  <c r="D5" i="5"/>
  <c r="S27" i="3"/>
  <c r="H22" i="3"/>
  <c r="D24" i="8" l="1"/>
  <c r="D27" i="8" s="1"/>
  <c r="E24" i="8"/>
  <c r="E27" i="8" s="1"/>
  <c r="E29" i="8"/>
  <c r="G24" i="8"/>
  <c r="G27" i="8" s="1"/>
  <c r="D14" i="8"/>
  <c r="F29" i="8"/>
  <c r="G29" i="8"/>
  <c r="H29" i="8"/>
  <c r="K10" i="8"/>
  <c r="K22" i="8" s="1"/>
  <c r="K7" i="8"/>
  <c r="K13" i="8" s="1"/>
  <c r="L4" i="8"/>
  <c r="E15" i="8"/>
  <c r="G15" i="8"/>
  <c r="F14" i="8"/>
  <c r="H14" i="8"/>
  <c r="D29" i="8"/>
  <c r="E14" i="8"/>
  <c r="H29" i="7"/>
  <c r="E28" i="7"/>
  <c r="F24" i="7"/>
  <c r="F27" i="7" s="1"/>
  <c r="D24" i="7"/>
  <c r="D27" i="7" s="1"/>
  <c r="D14" i="7"/>
  <c r="H14" i="7"/>
  <c r="D29" i="7"/>
  <c r="F29" i="7"/>
  <c r="G29" i="7"/>
  <c r="K10" i="7"/>
  <c r="K22" i="7" s="1"/>
  <c r="K7" i="7"/>
  <c r="K13" i="7" s="1"/>
  <c r="L4" i="7"/>
  <c r="E15" i="7"/>
  <c r="F15" i="7"/>
  <c r="G15" i="7"/>
  <c r="E14" i="7"/>
  <c r="G24" i="7"/>
  <c r="G27" i="7" s="1"/>
  <c r="E24" i="6"/>
  <c r="E27" i="6" s="1"/>
  <c r="F24" i="6"/>
  <c r="F27" i="6" s="1"/>
  <c r="G24" i="6"/>
  <c r="G27" i="6" s="1"/>
  <c r="H24" i="6"/>
  <c r="H27" i="6" s="1"/>
  <c r="E29" i="6"/>
  <c r="D14" i="6"/>
  <c r="G29" i="6"/>
  <c r="E14" i="6"/>
  <c r="H29" i="6"/>
  <c r="L4" i="6"/>
  <c r="K10" i="6"/>
  <c r="K22" i="6" s="1"/>
  <c r="K7" i="6"/>
  <c r="K13" i="6" s="1"/>
  <c r="F14" i="6"/>
  <c r="F15" i="6"/>
  <c r="G15" i="6"/>
  <c r="H15" i="6"/>
  <c r="D29" i="6"/>
  <c r="D24" i="6"/>
  <c r="D27" i="6" s="1"/>
  <c r="D29" i="5"/>
  <c r="D28" i="5"/>
  <c r="F29" i="5"/>
  <c r="E24" i="5"/>
  <c r="E27" i="5" s="1"/>
  <c r="F24" i="5"/>
  <c r="F27" i="5" s="1"/>
  <c r="D14" i="5"/>
  <c r="E29" i="5"/>
  <c r="E14" i="5"/>
  <c r="L4" i="5"/>
  <c r="K10" i="5"/>
  <c r="K22" i="5" s="1"/>
  <c r="K7" i="5"/>
  <c r="K13" i="5" s="1"/>
  <c r="G29" i="5"/>
  <c r="F14" i="5"/>
  <c r="H29" i="5"/>
  <c r="H14" i="5"/>
  <c r="G24" i="5"/>
  <c r="G27" i="5" s="1"/>
  <c r="D15" i="5"/>
  <c r="H24" i="5"/>
  <c r="H27" i="5" s="1"/>
  <c r="F15" i="5"/>
  <c r="G15" i="5"/>
  <c r="V37" i="4"/>
  <c r="V34" i="4"/>
  <c r="V33" i="4"/>
  <c r="P13" i="3"/>
  <c r="V29" i="4"/>
  <c r="S30" i="3"/>
  <c r="V28" i="4"/>
  <c r="Z36" i="4"/>
  <c r="D27" i="4"/>
  <c r="D30" i="4" s="1"/>
  <c r="AB26" i="4"/>
  <c r="Z26" i="4"/>
  <c r="AA26" i="4" s="1"/>
  <c r="G26" i="4"/>
  <c r="G27" i="4" s="1"/>
  <c r="G30" i="4" s="1"/>
  <c r="F26" i="4"/>
  <c r="F27" i="4" s="1"/>
  <c r="F30" i="4" s="1"/>
  <c r="E26" i="4"/>
  <c r="E27" i="4" s="1"/>
  <c r="E30" i="4" s="1"/>
  <c r="D26" i="4"/>
  <c r="C26" i="4"/>
  <c r="C27" i="4" s="1"/>
  <c r="C30" i="4" s="1"/>
  <c r="AE21" i="4"/>
  <c r="G21" i="4"/>
  <c r="G20" i="4"/>
  <c r="G11" i="4" s="1"/>
  <c r="G12" i="4" s="1"/>
  <c r="I18" i="4"/>
  <c r="J18" i="4" s="1"/>
  <c r="K18" i="4" s="1"/>
  <c r="L18" i="4" s="1"/>
  <c r="M18" i="4" s="1"/>
  <c r="N18" i="4" s="1"/>
  <c r="O18" i="4" s="1"/>
  <c r="P18" i="4" s="1"/>
  <c r="Q18" i="4" s="1"/>
  <c r="R18" i="4" s="1"/>
  <c r="V26" i="4" s="1"/>
  <c r="K16" i="4"/>
  <c r="L16" i="4" s="1"/>
  <c r="M16" i="4" s="1"/>
  <c r="N16" i="4" s="1"/>
  <c r="O16" i="4" s="1"/>
  <c r="P16" i="4" s="1"/>
  <c r="Q16" i="4" s="1"/>
  <c r="R16" i="4" s="1"/>
  <c r="V27" i="4" s="1"/>
  <c r="J16" i="4"/>
  <c r="I16" i="4"/>
  <c r="I14" i="4"/>
  <c r="J14" i="4" s="1"/>
  <c r="K14" i="4" s="1"/>
  <c r="L14" i="4" s="1"/>
  <c r="M14" i="4" s="1"/>
  <c r="N14" i="4" s="1"/>
  <c r="O14" i="4" s="1"/>
  <c r="P14" i="4" s="1"/>
  <c r="Q14" i="4" s="1"/>
  <c r="R14" i="4" s="1"/>
  <c r="F12" i="4"/>
  <c r="R11" i="4"/>
  <c r="Q11" i="4"/>
  <c r="P11" i="4"/>
  <c r="O11" i="4"/>
  <c r="N11" i="4"/>
  <c r="M11" i="4"/>
  <c r="L11" i="4"/>
  <c r="K11" i="4"/>
  <c r="J11" i="4"/>
  <c r="I11" i="4"/>
  <c r="F11" i="4"/>
  <c r="E11" i="4"/>
  <c r="E12" i="4" s="1"/>
  <c r="D11" i="4"/>
  <c r="D12" i="4" s="1"/>
  <c r="C11" i="4"/>
  <c r="G8" i="4"/>
  <c r="H8" i="4" s="1"/>
  <c r="F8" i="4"/>
  <c r="E8" i="4"/>
  <c r="D8" i="4"/>
  <c r="C8" i="4"/>
  <c r="G5" i="4"/>
  <c r="F5" i="4"/>
  <c r="E5" i="4"/>
  <c r="H5" i="4" s="1"/>
  <c r="D5" i="4"/>
  <c r="I4" i="4"/>
  <c r="J4" i="4" s="1"/>
  <c r="M4" i="8" l="1"/>
  <c r="L10" i="8"/>
  <c r="L22" i="8" s="1"/>
  <c r="L7" i="8"/>
  <c r="L13" i="8" s="1"/>
  <c r="M4" i="7"/>
  <c r="L7" i="7"/>
  <c r="L13" i="7" s="1"/>
  <c r="L10" i="7"/>
  <c r="L22" i="7" s="1"/>
  <c r="L10" i="6"/>
  <c r="L22" i="6" s="1"/>
  <c r="L7" i="6"/>
  <c r="L13" i="6" s="1"/>
  <c r="M4" i="6"/>
  <c r="L10" i="5"/>
  <c r="L22" i="5" s="1"/>
  <c r="L7" i="5"/>
  <c r="L13" i="5" s="1"/>
  <c r="M4" i="5"/>
  <c r="K4" i="4"/>
  <c r="J5" i="4"/>
  <c r="J12" i="4"/>
  <c r="J7" i="4"/>
  <c r="H30" i="4"/>
  <c r="I7" i="4"/>
  <c r="I12" i="4"/>
  <c r="I5" i="4"/>
  <c r="M10" i="8" l="1"/>
  <c r="M22" i="8" s="1"/>
  <c r="M7" i="8"/>
  <c r="M13" i="8" s="1"/>
  <c r="N4" i="8"/>
  <c r="N4" i="7"/>
  <c r="M10" i="7"/>
  <c r="M22" i="7" s="1"/>
  <c r="M7" i="7"/>
  <c r="M13" i="7" s="1"/>
  <c r="N4" i="6"/>
  <c r="M10" i="6"/>
  <c r="M22" i="6" s="1"/>
  <c r="M7" i="6"/>
  <c r="M13" i="6" s="1"/>
  <c r="N4" i="5"/>
  <c r="M7" i="5"/>
  <c r="M13" i="5" s="1"/>
  <c r="M10" i="5"/>
  <c r="M22" i="5" s="1"/>
  <c r="K12" i="4"/>
  <c r="K7" i="4"/>
  <c r="L4" i="4"/>
  <c r="K5" i="4"/>
  <c r="I10" i="4"/>
  <c r="I8" i="4"/>
  <c r="J10" i="4"/>
  <c r="J8" i="4"/>
  <c r="O4" i="8" l="1"/>
  <c r="N7" i="8"/>
  <c r="N13" i="8" s="1"/>
  <c r="N10" i="8"/>
  <c r="N22" i="8" s="1"/>
  <c r="O4" i="7"/>
  <c r="N10" i="7"/>
  <c r="N22" i="7" s="1"/>
  <c r="N7" i="7"/>
  <c r="N13" i="7" s="1"/>
  <c r="O4" i="6"/>
  <c r="N10" i="6"/>
  <c r="N22" i="6" s="1"/>
  <c r="N7" i="6"/>
  <c r="N13" i="6" s="1"/>
  <c r="O4" i="5"/>
  <c r="N7" i="5"/>
  <c r="N13" i="5" s="1"/>
  <c r="N10" i="5"/>
  <c r="N22" i="5" s="1"/>
  <c r="M4" i="4"/>
  <c r="L12" i="4"/>
  <c r="L7" i="4"/>
  <c r="L5" i="4"/>
  <c r="K10" i="4"/>
  <c r="K8" i="4"/>
  <c r="O10" i="8" l="1"/>
  <c r="O22" i="8" s="1"/>
  <c r="O7" i="8"/>
  <c r="O10" i="7"/>
  <c r="O22" i="7" s="1"/>
  <c r="O7" i="7"/>
  <c r="O7" i="6"/>
  <c r="O10" i="6"/>
  <c r="O22" i="6" s="1"/>
  <c r="O10" i="5"/>
  <c r="O22" i="5" s="1"/>
  <c r="O7" i="5"/>
  <c r="P13" i="5" s="1"/>
  <c r="L10" i="4"/>
  <c r="L8" i="4"/>
  <c r="M12" i="4"/>
  <c r="M7" i="4"/>
  <c r="N4" i="4"/>
  <c r="M5" i="4"/>
  <c r="S27" i="8" l="1"/>
  <c r="S30" i="8" s="1"/>
  <c r="S31" i="8" s="1"/>
  <c r="O13" i="8"/>
  <c r="S35" i="8" s="1"/>
  <c r="S36" i="8" s="1"/>
  <c r="S40" i="8" s="1"/>
  <c r="P13" i="8"/>
  <c r="S27" i="7"/>
  <c r="S30" i="7" s="1"/>
  <c r="S31" i="7" s="1"/>
  <c r="P13" i="7"/>
  <c r="O13" i="7"/>
  <c r="O13" i="6"/>
  <c r="S27" i="6"/>
  <c r="S30" i="6" s="1"/>
  <c r="S31" i="6" s="1"/>
  <c r="P13" i="6"/>
  <c r="O13" i="5"/>
  <c r="S27" i="5"/>
  <c r="S30" i="5" s="1"/>
  <c r="S31" i="5" s="1"/>
  <c r="N12" i="4"/>
  <c r="N7" i="4"/>
  <c r="O4" i="4"/>
  <c r="N5" i="4"/>
  <c r="M8" i="4"/>
  <c r="M10" i="4"/>
  <c r="S35" i="7" l="1"/>
  <c r="S36" i="7" s="1"/>
  <c r="S40" i="7" s="1"/>
  <c r="S35" i="6"/>
  <c r="S36" i="6" s="1"/>
  <c r="S40" i="6" s="1"/>
  <c r="S35" i="5"/>
  <c r="S36" i="5" s="1"/>
  <c r="S40" i="5" s="1"/>
  <c r="P4" i="4"/>
  <c r="O7" i="4"/>
  <c r="O5" i="4"/>
  <c r="O12" i="4"/>
  <c r="N8" i="4"/>
  <c r="N10" i="4"/>
  <c r="O8" i="4" l="1"/>
  <c r="O10" i="4"/>
  <c r="P5" i="4"/>
  <c r="P12" i="4"/>
  <c r="P7" i="4"/>
  <c r="Q4" i="4"/>
  <c r="P8" i="4" l="1"/>
  <c r="P10" i="4"/>
  <c r="R4" i="4"/>
  <c r="Q5" i="4"/>
  <c r="Q12" i="4"/>
  <c r="Q7" i="4"/>
  <c r="R5" i="4" l="1"/>
  <c r="R12" i="4"/>
  <c r="R7" i="4"/>
  <c r="S4" i="4"/>
  <c r="Q10" i="4"/>
  <c r="Q8" i="4"/>
  <c r="S10" i="4" l="1"/>
  <c r="R10" i="4"/>
  <c r="R8" i="4"/>
  <c r="V25" i="4" l="1"/>
  <c r="E13" i="3" l="1"/>
  <c r="E15" i="3" s="1"/>
  <c r="F13" i="3"/>
  <c r="G13" i="3"/>
  <c r="H13" i="3"/>
  <c r="D13" i="3"/>
  <c r="K5" i="3"/>
  <c r="D8" i="3"/>
  <c r="D29" i="3"/>
  <c r="G28" i="3"/>
  <c r="D28" i="3"/>
  <c r="D23" i="3"/>
  <c r="D22" i="3"/>
  <c r="E22" i="3"/>
  <c r="H26" i="3"/>
  <c r="G26" i="3"/>
  <c r="F26" i="3"/>
  <c r="E26" i="3"/>
  <c r="D26" i="3"/>
  <c r="H23" i="3"/>
  <c r="H29" i="3" s="1"/>
  <c r="G23" i="3"/>
  <c r="F23" i="3"/>
  <c r="F29" i="3" s="1"/>
  <c r="E23" i="3"/>
  <c r="E28" i="3" s="1"/>
  <c r="D24" i="3"/>
  <c r="D27" i="3" s="1"/>
  <c r="G22" i="3"/>
  <c r="F22" i="3"/>
  <c r="K17" i="3"/>
  <c r="L17" i="3" s="1"/>
  <c r="M17" i="3" s="1"/>
  <c r="N17" i="3" s="1"/>
  <c r="O17" i="3" s="1"/>
  <c r="S31" i="3" s="1"/>
  <c r="H15" i="3"/>
  <c r="G15" i="3"/>
  <c r="F15" i="3"/>
  <c r="D15" i="3"/>
  <c r="O15" i="3"/>
  <c r="O13" i="3" s="1"/>
  <c r="N15" i="3"/>
  <c r="N13" i="3" s="1"/>
  <c r="M15" i="3"/>
  <c r="M13" i="3" s="1"/>
  <c r="L15" i="3"/>
  <c r="L13" i="3" s="1"/>
  <c r="K15" i="3"/>
  <c r="K13" i="3" s="1"/>
  <c r="H14" i="3"/>
  <c r="G14" i="3"/>
  <c r="F14" i="3"/>
  <c r="E14" i="3"/>
  <c r="D14" i="3"/>
  <c r="O11" i="3"/>
  <c r="N11" i="3"/>
  <c r="M11" i="3"/>
  <c r="L11" i="3"/>
  <c r="K11" i="3"/>
  <c r="H11" i="3"/>
  <c r="G11" i="3"/>
  <c r="F11" i="3"/>
  <c r="E11" i="3"/>
  <c r="D11" i="3"/>
  <c r="O8" i="3"/>
  <c r="N8" i="3"/>
  <c r="M8" i="3"/>
  <c r="L8" i="3"/>
  <c r="K8" i="3"/>
  <c r="H8" i="3"/>
  <c r="G8" i="3"/>
  <c r="F8" i="3"/>
  <c r="E8" i="3"/>
  <c r="O5" i="3"/>
  <c r="N5" i="3"/>
  <c r="M5" i="3"/>
  <c r="L5" i="3"/>
  <c r="K4" i="3"/>
  <c r="H5" i="3"/>
  <c r="G5" i="3"/>
  <c r="F5" i="3"/>
  <c r="E5" i="3"/>
  <c r="D5" i="3"/>
  <c r="S35" i="3" l="1"/>
  <c r="G29" i="3"/>
  <c r="H28" i="3"/>
  <c r="H24" i="3"/>
  <c r="H27" i="3" s="1"/>
  <c r="G24" i="3"/>
  <c r="G27" i="3" s="1"/>
  <c r="F24" i="3"/>
  <c r="F27" i="3" s="1"/>
  <c r="F28" i="3"/>
  <c r="E24" i="3"/>
  <c r="E27" i="3" s="1"/>
  <c r="K7" i="3"/>
  <c r="K10" i="3"/>
  <c r="L4" i="3"/>
  <c r="E29" i="3"/>
  <c r="L7" i="3" l="1"/>
  <c r="M4" i="3"/>
  <c r="L10" i="3"/>
  <c r="M10" i="3" l="1"/>
  <c r="M7" i="3"/>
  <c r="N4" i="3"/>
  <c r="N10" i="3" l="1"/>
  <c r="O4" i="3"/>
  <c r="N7" i="3"/>
  <c r="O10" i="3" l="1"/>
  <c r="O7" i="3"/>
  <c r="S36" i="3"/>
  <c r="S39" i="3" s="1"/>
</calcChain>
</file>

<file path=xl/sharedStrings.xml><?xml version="1.0" encoding="utf-8"?>
<sst xmlns="http://schemas.openxmlformats.org/spreadsheetml/2006/main" count="478" uniqueCount="164">
  <si>
    <t>Revenue</t>
    <phoneticPr fontId="1" type="noConversion"/>
  </si>
  <si>
    <t>Growth</t>
    <phoneticPr fontId="1" type="noConversion"/>
  </si>
  <si>
    <t>Margin</t>
    <phoneticPr fontId="1" type="noConversion"/>
  </si>
  <si>
    <t>Free Cash Flow</t>
    <phoneticPr fontId="1" type="noConversion"/>
  </si>
  <si>
    <t>FCF as % of EBITDA</t>
    <phoneticPr fontId="1" type="noConversion"/>
  </si>
  <si>
    <t>EBITDA</t>
    <phoneticPr fontId="1" type="noConversion"/>
  </si>
  <si>
    <t>Shares Outstanding</t>
    <phoneticPr fontId="1" type="noConversion"/>
  </si>
  <si>
    <t>Cash &amp; Cash Equivalents</t>
    <phoneticPr fontId="1" type="noConversion"/>
  </si>
  <si>
    <t>Total Debet</t>
    <phoneticPr fontId="1" type="noConversion"/>
  </si>
  <si>
    <t>Shareholder Equility</t>
    <phoneticPr fontId="1" type="noConversion"/>
  </si>
  <si>
    <t>Enterprise Value</t>
    <phoneticPr fontId="1" type="noConversion"/>
  </si>
  <si>
    <t>Share Price</t>
    <phoneticPr fontId="1" type="noConversion"/>
  </si>
  <si>
    <t>IRR</t>
    <phoneticPr fontId="1" type="noConversion"/>
  </si>
  <si>
    <t>EV/EBITDA</t>
    <phoneticPr fontId="1" type="noConversion"/>
  </si>
  <si>
    <t>P/E</t>
    <phoneticPr fontId="1" type="noConversion"/>
  </si>
  <si>
    <t>FCF Yield(On Market Cap)</t>
    <phoneticPr fontId="1" type="noConversion"/>
  </si>
  <si>
    <t>Historical Result</t>
    <phoneticPr fontId="1" type="noConversion"/>
  </si>
  <si>
    <t>Prediction Result</t>
    <phoneticPr fontId="1" type="noConversion"/>
  </si>
  <si>
    <t>Net Income</t>
    <phoneticPr fontId="1" type="noConversion"/>
  </si>
  <si>
    <t>Assumptions</t>
    <phoneticPr fontId="1" type="noConversion"/>
  </si>
  <si>
    <t>1-5 Year</t>
    <phoneticPr fontId="1" type="noConversion"/>
  </si>
  <si>
    <t>EBITDA Margin</t>
    <phoneticPr fontId="1" type="noConversion"/>
  </si>
  <si>
    <t>Net Income Margin</t>
    <phoneticPr fontId="1" type="noConversion"/>
  </si>
  <si>
    <t>Cash Growth</t>
    <phoneticPr fontId="1" type="noConversion"/>
  </si>
  <si>
    <t>Debt Growth</t>
    <phoneticPr fontId="1" type="noConversion"/>
  </si>
  <si>
    <t>Increase/Decrease In Shares</t>
    <phoneticPr fontId="1" type="noConversion"/>
  </si>
  <si>
    <t>TV Multiple(EV/EBITDA)</t>
    <phoneticPr fontId="1" type="noConversion"/>
  </si>
  <si>
    <t>Enterprise Value(2025)</t>
    <phoneticPr fontId="1" type="noConversion"/>
  </si>
  <si>
    <t>Less Debt</t>
    <phoneticPr fontId="1" type="noConversion"/>
  </si>
  <si>
    <t>Plus Cash</t>
    <phoneticPr fontId="1" type="noConversion"/>
  </si>
  <si>
    <t>Market Cap</t>
    <phoneticPr fontId="1" type="noConversion"/>
  </si>
  <si>
    <t>Discount Rate</t>
    <phoneticPr fontId="1" type="noConversion"/>
  </si>
  <si>
    <t>Intrinsic Value</t>
    <phoneticPr fontId="1" type="noConversion"/>
  </si>
  <si>
    <t>Enterprise Value(EV)=Market Cap(MC)+Total Debt-Cash</t>
    <phoneticPr fontId="1" type="noConversion"/>
  </si>
  <si>
    <t>Year Average</t>
    <phoneticPr fontId="1" type="noConversion"/>
  </si>
  <si>
    <t>EPS</t>
    <phoneticPr fontId="1" type="noConversion"/>
  </si>
  <si>
    <t>FCF as % of Net Income</t>
    <phoneticPr fontId="1" type="noConversion"/>
  </si>
  <si>
    <t>DCF model</t>
    <phoneticPr fontId="1" type="noConversion"/>
  </si>
  <si>
    <t>現金流量折現模型Discounted Cashflow (DCF)</t>
    <phoneticPr fontId="1" type="noConversion"/>
  </si>
  <si>
    <t>Ordinary Shares Number</t>
    <phoneticPr fontId="1" type="noConversion"/>
  </si>
  <si>
    <t>End Cash Position</t>
    <phoneticPr fontId="1" type="noConversion"/>
  </si>
  <si>
    <t>data from https://site.financialmodelingprep.com/developer/docs#Financial-Statements-Growth</t>
    <phoneticPr fontId="1" type="noConversion"/>
  </si>
  <si>
    <r>
      <t>EBITDA is an indicator that calculates the profit of the company before</t>
    </r>
    <r>
      <rPr>
        <sz val="12"/>
        <color rgb="FF202124"/>
        <rFont val="微軟正黑體"/>
        <family val="2"/>
        <charset val="136"/>
      </rPr>
      <t> paying the expenses, taxes, depreciation, and amortization</t>
    </r>
    <phoneticPr fontId="1" type="noConversion"/>
  </si>
  <si>
    <t>freeCashFlowPerShare</t>
    <phoneticPr fontId="1" type="noConversion"/>
  </si>
  <si>
    <t>Free Cash Flow</t>
  </si>
  <si>
    <t>FCF/EBITDA</t>
    <phoneticPr fontId="1" type="noConversion"/>
  </si>
  <si>
    <t>Historical Results</t>
  </si>
  <si>
    <t>Forecast Period</t>
  </si>
  <si>
    <t>31/12 - All USD 000's</t>
  </si>
  <si>
    <t>2020 (TTM)</t>
  </si>
  <si>
    <t>Averages</t>
  </si>
  <si>
    <t>Terminal Value</t>
  </si>
  <si>
    <t>Assumptions</t>
  </si>
  <si>
    <t>Total Addressale Market (Auto)</t>
  </si>
  <si>
    <t>Revenue</t>
  </si>
  <si>
    <t>Rev Growth (Growth)</t>
  </si>
  <si>
    <t>Market  Value (000's)</t>
  </si>
  <si>
    <t>Growth</t>
  </si>
  <si>
    <t>-</t>
  </si>
  <si>
    <t>1-5 Year</t>
  </si>
  <si>
    <t>CAGR</t>
  </si>
  <si>
    <t xml:space="preserve">5-10 Year </t>
  </si>
  <si>
    <t>EBIT</t>
  </si>
  <si>
    <t>22% CAGR</t>
  </si>
  <si>
    <t>Margin</t>
  </si>
  <si>
    <t>EBIT Margin (Profit)</t>
  </si>
  <si>
    <t>Comparable Companies (Auto)</t>
  </si>
  <si>
    <t>Tesla Growth Story (Revenue in 2030)</t>
  </si>
  <si>
    <t>Company</t>
  </si>
  <si>
    <t>Rev</t>
  </si>
  <si>
    <t>Margin %</t>
  </si>
  <si>
    <t>10y CAGR</t>
  </si>
  <si>
    <t>$90bn (Peugeot/Facebook)</t>
  </si>
  <si>
    <t>5-10 Year</t>
  </si>
  <si>
    <t>Toyota</t>
  </si>
  <si>
    <t>285bn</t>
  </si>
  <si>
    <t>$120bn (BMW)</t>
  </si>
  <si>
    <t>Sales/Capital Ratio</t>
  </si>
  <si>
    <t>Volkswagen</t>
  </si>
  <si>
    <t>270bn</t>
  </si>
  <si>
    <t>$200bn (Mercedes)</t>
  </si>
  <si>
    <t>Reinvestment CapEx</t>
  </si>
  <si>
    <t>Sales/Capital Ratio (Efficiency)</t>
  </si>
  <si>
    <t>Daimler / Mercedes</t>
  </si>
  <si>
    <t>187bn</t>
  </si>
  <si>
    <t>$300bn (Toyota/VW)</t>
  </si>
  <si>
    <t>BMW</t>
  </si>
  <si>
    <t>108bn</t>
  </si>
  <si>
    <t>Shares Outstanding</t>
  </si>
  <si>
    <t>Tax Rate</t>
  </si>
  <si>
    <t>Peugeot SA</t>
  </si>
  <si>
    <t>83bn</t>
  </si>
  <si>
    <t>Tesla</t>
  </si>
  <si>
    <t>28bn</t>
  </si>
  <si>
    <t>Tesla Profitability Story (EBIT Margin in 2030)</t>
  </si>
  <si>
    <t>Cash &amp; Cash Equivalents</t>
  </si>
  <si>
    <t>Cash Growth</t>
  </si>
  <si>
    <t>Average (Excl Tesla)</t>
  </si>
  <si>
    <t>Auto Industry Average</t>
  </si>
  <si>
    <t>Non-Opearing Cash</t>
  </si>
  <si>
    <t>Debt Growth</t>
  </si>
  <si>
    <t>Most Efficient Auto Companies</t>
  </si>
  <si>
    <t>Total Debt</t>
  </si>
  <si>
    <t xml:space="preserve"> </t>
  </si>
  <si>
    <t>Increase in Shares OS</t>
  </si>
  <si>
    <t>Comparable Companies (Tech / FAANGM)</t>
  </si>
  <si>
    <t>FAANGM Average</t>
  </si>
  <si>
    <t>Software Industry</t>
  </si>
  <si>
    <t>Invested Capital</t>
  </si>
  <si>
    <t>TV Multiple (EV/EBIT)</t>
  </si>
  <si>
    <t>Amazon</t>
  </si>
  <si>
    <t>Working Capital</t>
  </si>
  <si>
    <t>Apple</t>
  </si>
  <si>
    <t>Meet in the Middle?</t>
  </si>
  <si>
    <t>Current Assets</t>
  </si>
  <si>
    <t>Google</t>
  </si>
  <si>
    <t xml:space="preserve">Current Liabilities </t>
  </si>
  <si>
    <t>Microsoft</t>
  </si>
  <si>
    <t>Shareholder Equity</t>
  </si>
  <si>
    <t>DCF</t>
  </si>
  <si>
    <t>Facebook</t>
  </si>
  <si>
    <t>Tesla Investment/CapEx Efficiency (Sales/Capital Rate)</t>
  </si>
  <si>
    <t>Enterprise Value (2030)</t>
  </si>
  <si>
    <t>Netflix</t>
  </si>
  <si>
    <t>Auto Industry</t>
  </si>
  <si>
    <t>Market Cap</t>
  </si>
  <si>
    <t>Less Debt</t>
  </si>
  <si>
    <t>FAANGM (Combined)</t>
  </si>
  <si>
    <t>Auto Industry (Most Efficient)</t>
  </si>
  <si>
    <t>Enterprise Value</t>
  </si>
  <si>
    <t>Plus Cash</t>
  </si>
  <si>
    <t>Software</t>
  </si>
  <si>
    <t>Share Price</t>
  </si>
  <si>
    <t>Market Cap (2030)</t>
  </si>
  <si>
    <t>Comparable Market Valuations (EV/EBIT)</t>
  </si>
  <si>
    <t>Share Price (TV)</t>
  </si>
  <si>
    <t>Slow Growth</t>
  </si>
  <si>
    <t>EV/EBIT</t>
  </si>
  <si>
    <t>US Martket (Ex_Financials)</t>
  </si>
  <si>
    <t>Average</t>
  </si>
  <si>
    <t>Discount Rate</t>
  </si>
  <si>
    <t>Micrsoft</t>
  </si>
  <si>
    <t>Mature</t>
  </si>
  <si>
    <t>4 Drivers/Factors of Value</t>
  </si>
  <si>
    <t>Intrinsic Value</t>
  </si>
  <si>
    <t>Profit</t>
  </si>
  <si>
    <t>Alibaba</t>
  </si>
  <si>
    <t>Growing</t>
  </si>
  <si>
    <t>Efficiency</t>
  </si>
  <si>
    <t>Risk</t>
  </si>
  <si>
    <t>MOS</t>
  </si>
  <si>
    <t>Buy Price w/ MOS</t>
  </si>
  <si>
    <t>MOS</t>
    <phoneticPr fontId="1" type="noConversion"/>
  </si>
  <si>
    <t>Buy Price w/ MOS</t>
    <phoneticPr fontId="1" type="noConversion"/>
  </si>
  <si>
    <t>Revenue Growth</t>
    <phoneticPr fontId="1" type="noConversion"/>
  </si>
  <si>
    <t>N/A</t>
    <phoneticPr fontId="1" type="noConversion"/>
  </si>
  <si>
    <t>Intrinsic Share Price</t>
    <phoneticPr fontId="1" type="noConversion"/>
  </si>
  <si>
    <t>Share Price Prediction</t>
    <phoneticPr fontId="1" type="noConversion"/>
  </si>
  <si>
    <t>Margin of Safety</t>
    <phoneticPr fontId="1" type="noConversion"/>
  </si>
  <si>
    <t>Enterprise Value (2025)</t>
    <phoneticPr fontId="1" type="noConversion"/>
  </si>
  <si>
    <t>data from https://site.financialmodelingprep.com/</t>
    <phoneticPr fontId="1" type="noConversion"/>
  </si>
  <si>
    <t>Free Cash Flow Per Share</t>
    <phoneticPr fontId="1" type="noConversion"/>
  </si>
  <si>
    <t>Cash and Cash Equivalents</t>
    <phoneticPr fontId="1" type="noConversion"/>
  </si>
  <si>
    <t>This sheet is from https://www.youtube.com/c/FindingAlpha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</si>
</sst>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#,##0_);[Red]\(#,##0\)"/>
    <numFmt numFmtId="177" formatCode="0.0_ "/>
    <numFmt numFmtId="178" formatCode="0.0%"/>
    <numFmt numFmtId="179" formatCode="0_ "/>
    <numFmt numFmtId="180" formatCode="0.000_ "/>
    <numFmt numFmtId="181" formatCode="#,##0.00_);[Red]\(#,##0.00\)"/>
    <numFmt numFmtId="182" formatCode="_-[$$-409]* #,##0_ ;_-[$$-409]* \-#,##0\ ;_-[$$-409]* &quot;-&quot;??_ ;_-@_ "/>
    <numFmt numFmtId="183" formatCode="0\ \x"/>
    <numFmt numFmtId="184" formatCode="0.0"/>
    <numFmt numFmtId="185" formatCode="_-[$$-409]* #,##0.00_ ;_-[$$-409]* \-#,##0.00\ ;_-[$$-409]* &quot;-&quot;??_ ;_-@_ "/>
  </numFmts>
  <fonts count="21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2"/>
      <color rgb="FF202124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b/>
      <sz val="14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u/>
      <sz val="14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1"/>
      <color theme="2"/>
      <name val="新細明體"/>
      <family val="2"/>
      <scheme val="minor"/>
    </font>
    <font>
      <b/>
      <sz val="11"/>
      <color rgb="FF0070C0"/>
      <name val="新細明體"/>
      <family val="2"/>
      <scheme val="minor"/>
    </font>
    <font>
      <b/>
      <u/>
      <sz val="12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  <font>
      <u/>
      <sz val="11"/>
      <color theme="1"/>
      <name val="新細明體"/>
      <family val="2"/>
      <scheme val="minor"/>
    </font>
    <font>
      <b/>
      <u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4"/>
      <name val="新細明體"/>
      <family val="2"/>
      <scheme val="minor"/>
    </font>
    <font>
      <sz val="11"/>
      <name val="新細明體"/>
      <family val="2"/>
      <scheme val="minor"/>
    </font>
    <font>
      <sz val="11"/>
      <color rgb="FFFF0000"/>
      <name val="微軟正黑體"/>
      <family val="2"/>
      <charset val="136"/>
    </font>
    <font>
      <b/>
      <sz val="13.5"/>
      <color rgb="FF050713"/>
      <name val="Arial"/>
      <family val="2"/>
    </font>
    <font>
      <sz val="1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left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left" vertical="center"/>
    </xf>
    <xf numFmtId="0" fontId="2" fillId="0" borderId="1" xfId="0" applyFont="1" applyBorder="1">
      <alignment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181" fontId="2" fillId="0" borderId="0" xfId="0" applyNumberFormat="1" applyFont="1" applyBorder="1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/>
    <xf numFmtId="0" fontId="6" fillId="3" borderId="0" xfId="0" applyFont="1" applyFill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6" fillId="0" borderId="0" xfId="0" applyFont="1" applyAlignment="1"/>
    <xf numFmtId="3" fontId="0" fillId="0" borderId="0" xfId="0" applyNumberFormat="1" applyAlignment="1">
      <alignment horizontal="center"/>
    </xf>
    <xf numFmtId="3" fontId="9" fillId="0" borderId="0" xfId="0" applyNumberFormat="1" applyFont="1" applyAlignment="1">
      <alignment horizontal="center"/>
    </xf>
    <xf numFmtId="0" fontId="6" fillId="0" borderId="6" xfId="0" applyFont="1" applyBorder="1" applyAlignment="1"/>
    <xf numFmtId="0" fontId="0" fillId="0" borderId="7" xfId="0" applyBorder="1" applyAlignment="1"/>
    <xf numFmtId="18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0" fillId="0" borderId="6" xfId="0" applyBorder="1" applyAlignment="1"/>
    <xf numFmtId="9" fontId="0" fillId="0" borderId="7" xfId="0" applyNumberFormat="1" applyBorder="1" applyAlignment="1"/>
    <xf numFmtId="10" fontId="0" fillId="2" borderId="0" xfId="0" applyNumberFormat="1" applyFill="1" applyAlignment="1">
      <alignment horizontal="center"/>
    </xf>
    <xf numFmtId="9" fontId="6" fillId="4" borderId="7" xfId="0" applyNumberFormat="1" applyFont="1" applyFill="1" applyBorder="1" applyAlignment="1">
      <alignment horizontal="right"/>
    </xf>
    <xf numFmtId="0" fontId="11" fillId="2" borderId="0" xfId="0" applyFont="1" applyFill="1" applyAlignment="1"/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9" fontId="0" fillId="2" borderId="0" xfId="0" applyNumberFormat="1" applyFill="1" applyAlignment="1">
      <alignment horizontal="center"/>
    </xf>
    <xf numFmtId="3" fontId="10" fillId="0" borderId="0" xfId="0" applyNumberFormat="1" applyFont="1" applyAlignment="1">
      <alignment horizontal="center"/>
    </xf>
    <xf numFmtId="178" fontId="0" fillId="2" borderId="0" xfId="0" applyNumberForma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0" borderId="7" xfId="0" applyBorder="1" applyAlignment="1">
      <alignment horizontal="right"/>
    </xf>
    <xf numFmtId="0" fontId="6" fillId="2" borderId="0" xfId="0" applyFont="1" applyFill="1" applyAlignment="1"/>
    <xf numFmtId="10" fontId="6" fillId="2" borderId="0" xfId="0" applyNumberFormat="1" applyFont="1" applyFill="1" applyAlignment="1">
      <alignment horizontal="center"/>
    </xf>
    <xf numFmtId="10" fontId="0" fillId="0" borderId="7" xfId="0" applyNumberFormat="1" applyBorder="1" applyAlignment="1"/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6" fillId="0" borderId="8" xfId="0" applyFont="1" applyBorder="1" applyAlignment="1"/>
    <xf numFmtId="183" fontId="0" fillId="0" borderId="9" xfId="0" applyNumberFormat="1" applyBorder="1" applyAlignment="1"/>
    <xf numFmtId="18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5" fillId="2" borderId="0" xfId="0" applyFont="1" applyFill="1" applyAlignment="1"/>
    <xf numFmtId="0" fontId="17" fillId="0" borderId="0" xfId="0" applyFont="1" applyAlignment="1"/>
    <xf numFmtId="3" fontId="17" fillId="0" borderId="0" xfId="0" applyNumberFormat="1" applyFont="1" applyAlignment="1"/>
    <xf numFmtId="184" fontId="6" fillId="2" borderId="0" xfId="0" applyNumberFormat="1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185" fontId="17" fillId="0" borderId="0" xfId="0" applyNumberFormat="1" applyFont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9" fontId="17" fillId="0" borderId="0" xfId="0" applyNumberFormat="1" applyFont="1" applyAlignment="1">
      <alignment horizontal="center"/>
    </xf>
    <xf numFmtId="182" fontId="17" fillId="4" borderId="0" xfId="0" applyNumberFormat="1" applyFont="1" applyFill="1" applyAlignment="1"/>
    <xf numFmtId="184" fontId="0" fillId="0" borderId="0" xfId="0" applyNumberFormat="1" applyAlignment="1">
      <alignment horizontal="center"/>
    </xf>
    <xf numFmtId="9" fontId="17" fillId="0" borderId="0" xfId="0" applyNumberFormat="1" applyFont="1" applyAlignment="1"/>
    <xf numFmtId="0" fontId="6" fillId="6" borderId="10" xfId="0" applyFont="1" applyFill="1" applyBorder="1" applyAlignment="1"/>
    <xf numFmtId="2" fontId="6" fillId="6" borderId="10" xfId="0" applyNumberFormat="1" applyFont="1" applyFill="1" applyBorder="1" applyAlignment="1">
      <alignment horizontal="center"/>
    </xf>
    <xf numFmtId="181" fontId="2" fillId="0" borderId="0" xfId="0" applyNumberFormat="1" applyFont="1" applyBorder="1" applyAlignment="1">
      <alignment horizontal="left" vertical="center"/>
    </xf>
    <xf numFmtId="9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4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0" fillId="0" borderId="1" xfId="0" applyFont="1" applyBorder="1">
      <alignment vertical="center"/>
    </xf>
    <xf numFmtId="0" fontId="20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/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783166</xdr:colOff>
      <xdr:row>7</xdr:row>
      <xdr:rowOff>21167</xdr:rowOff>
    </xdr:from>
    <xdr:to>
      <xdr:col>18</xdr:col>
      <xdr:colOff>381001</xdr:colOff>
      <xdr:row>9</xdr:row>
      <xdr:rowOff>10583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7241A41-AB2C-4DA0-A1E6-5E2A1EEC001F}"/>
            </a:ext>
          </a:extLst>
        </xdr:cNvPr>
        <xdr:cNvCxnSpPr/>
      </xdr:nvCxnSpPr>
      <xdr:spPr>
        <a:xfrm flipH="1" flipV="1">
          <a:off x="14375341" y="1573742"/>
          <a:ext cx="426510" cy="398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603250</xdr:colOff>
      <xdr:row>10</xdr:row>
      <xdr:rowOff>10583</xdr:rowOff>
    </xdr:from>
    <xdr:to>
      <xdr:col>20</xdr:col>
      <xdr:colOff>42333</xdr:colOff>
      <xdr:row>18</xdr:row>
      <xdr:rowOff>158750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E53B341-8851-4FEF-BD30-9753CE775771}"/>
            </a:ext>
          </a:extLst>
        </xdr:cNvPr>
        <xdr:cNvCxnSpPr/>
      </xdr:nvCxnSpPr>
      <xdr:spPr>
        <a:xfrm>
          <a:off x="15024100" y="2172758"/>
          <a:ext cx="1058333" cy="17674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126999</xdr:colOff>
      <xdr:row>22</xdr:row>
      <xdr:rowOff>158750</xdr:rowOff>
    </xdr:from>
    <xdr:to>
      <xdr:col>18</xdr:col>
      <xdr:colOff>304190</xdr:colOff>
      <xdr:row>36</xdr:row>
      <xdr:rowOff>63499</xdr:rowOff>
    </xdr:to>
    <xdr:pic>
      <xdr:nvPicPr>
        <xdr:cNvPr id="4" name="Picture 3" descr="Tesla Logo, Meaning, Png Transparent, Wallpapers">
          <a:extLst>
            <a:ext uri="{FF2B5EF4-FFF2-40B4-BE49-F238E27FC236}">
              <a16:creationId xmlns:a16="http://schemas.microsoft.com/office/drawing/2014/main" id="{B7080B0A-5EEF-46E3-904C-A1813F0A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1824" y="4740275"/>
          <a:ext cx="2663216" cy="2733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592667</xdr:colOff>
      <xdr:row>1</xdr:row>
      <xdr:rowOff>95249</xdr:rowOff>
    </xdr:from>
    <xdr:to>
      <xdr:col>39</xdr:col>
      <xdr:colOff>42333</xdr:colOff>
      <xdr:row>8</xdr:row>
      <xdr:rowOff>148166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88B3E6-1721-46CD-BEB3-4FB850BB1F13}"/>
            </a:ext>
          </a:extLst>
        </xdr:cNvPr>
        <xdr:cNvSpPr txBox="1"/>
      </xdr:nvSpPr>
      <xdr:spPr>
        <a:xfrm>
          <a:off x="28300892" y="295274"/>
          <a:ext cx="4326466" cy="16150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 find it helpful to look at real $ amounts,</a:t>
          </a:r>
          <a:r>
            <a:rPr lang="en-GB" sz="1100" baseline="0"/>
            <a:t> in comparable companies, rather than just applying a CAGR. This gives us a better idea of the heights it would need to reach in order to be a BMW/Merceds/VW or Facebook/Google. </a:t>
          </a:r>
        </a:p>
        <a:p>
          <a:r>
            <a:rPr lang="en-GB" sz="1100" baseline="0"/>
            <a:t>Elon Musk has gone so far to say, he can grow Tesla at 50% annually....This gets us to $470bn in 2030, if he can sustain it for 10 more years. I think it is unlikely..</a:t>
          </a:r>
          <a:endParaRPr lang="en-GB" sz="1100"/>
        </a:p>
      </xdr:txBody>
    </xdr:sp>
    <xdr:clientData/>
  </xdr:twoCellAnchor>
  <xdr:twoCellAnchor>
    <xdr:from>
      <xdr:col>31</xdr:col>
      <xdr:colOff>603249</xdr:colOff>
      <xdr:row>9</xdr:row>
      <xdr:rowOff>116417</xdr:rowOff>
    </xdr:from>
    <xdr:to>
      <xdr:col>39</xdr:col>
      <xdr:colOff>31749</xdr:colOff>
      <xdr:row>15</xdr:row>
      <xdr:rowOff>116417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95AC2B0-37E4-4662-88BB-D3F48F73B460}"/>
            </a:ext>
          </a:extLst>
        </xdr:cNvPr>
        <xdr:cNvSpPr txBox="1"/>
      </xdr:nvSpPr>
      <xdr:spPr>
        <a:xfrm>
          <a:off x="28311474" y="2078567"/>
          <a:ext cx="43053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Tesla’s revenue stream, especially</a:t>
          </a:r>
          <a:r>
            <a:rPr lang="en-GB" sz="1100" baseline="0"/>
            <a:t> into the future will not just include Auto, </a:t>
          </a:r>
          <a:r>
            <a:rPr lang="en-GB" sz="1100"/>
            <a:t>but also Energy, Software and Data</a:t>
          </a:r>
          <a:r>
            <a:rPr lang="en-GB" sz="1100" baseline="0"/>
            <a:t> Services</a:t>
          </a:r>
          <a:r>
            <a:rPr lang="en-GB" sz="1100"/>
            <a:t>, You</a:t>
          </a:r>
          <a:r>
            <a:rPr lang="en-GB" sz="1100" baseline="0"/>
            <a:t> may think the future margins and </a:t>
          </a:r>
          <a:r>
            <a:rPr lang="en-GB" sz="1100"/>
            <a:t>revenues should reflect this, but remember that it's</a:t>
          </a:r>
          <a:r>
            <a:rPr lang="en-GB" sz="1100" baseline="0"/>
            <a:t> likely the majority of Tesla Revenues will always derive from Selling Cars, as the other</a:t>
          </a:r>
          <a:r>
            <a:rPr lang="en-GB" sz="1100"/>
            <a:t> streams cannot deliver the same revenue, even though they may be more profitable.</a:t>
          </a:r>
        </a:p>
      </xdr:txBody>
    </xdr:sp>
    <xdr:clientData/>
  </xdr:twoCellAnchor>
  <xdr:twoCellAnchor>
    <xdr:from>
      <xdr:col>31</xdr:col>
      <xdr:colOff>603250</xdr:colOff>
      <xdr:row>17</xdr:row>
      <xdr:rowOff>21167</xdr:rowOff>
    </xdr:from>
    <xdr:to>
      <xdr:col>38</xdr:col>
      <xdr:colOff>571500</xdr:colOff>
      <xdr:row>31</xdr:row>
      <xdr:rowOff>31750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7CB995A-96F2-42B3-801C-D5613EF3A44E}"/>
            </a:ext>
          </a:extLst>
        </xdr:cNvPr>
        <xdr:cNvSpPr txBox="1"/>
      </xdr:nvSpPr>
      <xdr:spPr>
        <a:xfrm>
          <a:off x="28311475" y="3593042"/>
          <a:ext cx="4235450" cy="2849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As we estimate profitabiltiy</a:t>
          </a:r>
          <a:r>
            <a:rPr lang="en-GB" sz="1100" baseline="0"/>
            <a:t> it's important to keep in mind *the above* - Tesla will no doubt create larger revenue streams from Software &amp; Data than any other current Auto Company, however their is a give and take dilema here:</a:t>
          </a:r>
        </a:p>
        <a:p>
          <a:r>
            <a:rPr lang="en-GB" sz="1100" baseline="0"/>
            <a:t>If Tesla is going to produce FAANG like margins (20%+), then it needs to become primarirly a Software &amp; Data services company &amp; if that is the case it will not have Revenues like Toyota/VW or even Mercedes for that matter...</a:t>
          </a:r>
        </a:p>
        <a:p>
          <a:r>
            <a:rPr lang="en-GB" sz="1100" baseline="0"/>
            <a:t>Why? because for Companies such as Microsoft, Facebook, Google, their cost of producing additional units of goods is almost 0. Even Apple, which is primarly a hardware company, manages to produce the iPhone for 30%-40% of what it can sell it for. </a:t>
          </a:r>
        </a:p>
        <a:p>
          <a:r>
            <a:rPr lang="en-GB" sz="1100" baseline="0"/>
            <a:t>The same cannot be said for Cars, or even Energy.</a:t>
          </a:r>
        </a:p>
        <a:p>
          <a:endParaRPr lang="en-GB" sz="1100" baseline="0"/>
        </a:p>
        <a:p>
          <a:r>
            <a:rPr lang="en-GB" sz="1100" baseline="0"/>
            <a:t>Meeting somewhere in the middle makes the most sense to me.</a:t>
          </a:r>
          <a:endParaRPr lang="en-GB" sz="1100"/>
        </a:p>
      </xdr:txBody>
    </xdr:sp>
    <xdr:clientData/>
  </xdr:twoCellAnchor>
  <xdr:twoCellAnchor>
    <xdr:from>
      <xdr:col>28</xdr:col>
      <xdr:colOff>296334</xdr:colOff>
      <xdr:row>30</xdr:row>
      <xdr:rowOff>63500</xdr:rowOff>
    </xdr:from>
    <xdr:to>
      <xdr:col>31</xdr:col>
      <xdr:colOff>539750</xdr:colOff>
      <xdr:row>38</xdr:row>
      <xdr:rowOff>158750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EBFA04C-3407-4A2C-8151-14D93AB6E880}"/>
            </a:ext>
          </a:extLst>
        </xdr:cNvPr>
        <xdr:cNvSpPr txBox="1"/>
      </xdr:nvSpPr>
      <xdr:spPr>
        <a:xfrm>
          <a:off x="24251709" y="6273800"/>
          <a:ext cx="3996266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Essentially what this tells us is the more</a:t>
          </a:r>
          <a:r>
            <a:rPr lang="en-GB" sz="1100" baseline="0"/>
            <a:t> Efficient Auto makers are able to produce $2.5 of Revenue from each $1 of CapEx. </a:t>
          </a:r>
        </a:p>
        <a:p>
          <a:r>
            <a:rPr lang="en-GB" sz="1100" baseline="0"/>
            <a:t>With the expectations around Tesla and Musk's Efficiency I think it would be fair to estimate they will be in the top quartile of Efficiency in Investing for Growth. </a:t>
          </a:r>
        </a:p>
        <a:p>
          <a:r>
            <a:rPr lang="en-GB" sz="1100" baseline="0"/>
            <a:t>We can already start to see the trend upwards in Sales/Capital ratio from 2016-2020, I believe this will continue up until 2025, when the business begins to be profitbale on a consitant basis.</a:t>
          </a:r>
          <a:endParaRPr lang="en-GB" sz="1100"/>
        </a:p>
      </xdr:txBody>
    </xdr:sp>
    <xdr:clientData/>
  </xdr:twoCellAnchor>
  <xdr:twoCellAnchor>
    <xdr:from>
      <xdr:col>29</xdr:col>
      <xdr:colOff>1365250</xdr:colOff>
      <xdr:row>27</xdr:row>
      <xdr:rowOff>95250</xdr:rowOff>
    </xdr:from>
    <xdr:to>
      <xdr:col>29</xdr:col>
      <xdr:colOff>1365250</xdr:colOff>
      <xdr:row>30</xdr:row>
      <xdr:rowOff>10584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B5E90B4-ECA6-46D8-BE0A-1CD91FC40E16}"/>
            </a:ext>
          </a:extLst>
        </xdr:cNvPr>
        <xdr:cNvCxnSpPr/>
      </xdr:nvCxnSpPr>
      <xdr:spPr>
        <a:xfrm>
          <a:off x="25930225" y="5695950"/>
          <a:ext cx="0" cy="52493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20</xdr:row>
      <xdr:rowOff>127000</xdr:rowOff>
    </xdr:from>
    <xdr:to>
      <xdr:col>31</xdr:col>
      <xdr:colOff>571500</xdr:colOff>
      <xdr:row>20</xdr:row>
      <xdr:rowOff>127001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A08DFD-7318-49F4-B3CA-4453C58F7AB0}"/>
            </a:ext>
          </a:extLst>
        </xdr:cNvPr>
        <xdr:cNvCxnSpPr/>
      </xdr:nvCxnSpPr>
      <xdr:spPr>
        <a:xfrm flipV="1">
          <a:off x="27708225" y="4308475"/>
          <a:ext cx="571500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30</xdr:col>
      <xdr:colOff>539750</xdr:colOff>
      <xdr:row>4</xdr:row>
      <xdr:rowOff>137583</xdr:rowOff>
    </xdr:from>
    <xdr:to>
      <xdr:col>31</xdr:col>
      <xdr:colOff>592667</xdr:colOff>
      <xdr:row>7</xdr:row>
      <xdr:rowOff>127000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EF9D626-31B0-4492-A139-AE5AD59AA5F3}"/>
            </a:ext>
          </a:extLst>
        </xdr:cNvPr>
        <xdr:cNvCxnSpPr>
          <a:endCxn id="5" idx="1"/>
        </xdr:cNvCxnSpPr>
      </xdr:nvCxnSpPr>
      <xdr:spPr>
        <a:xfrm flipV="1">
          <a:off x="27638375" y="1090083"/>
          <a:ext cx="662517" cy="58949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8</xdr:row>
      <xdr:rowOff>21166</xdr:rowOff>
    </xdr:from>
    <xdr:to>
      <xdr:col>31</xdr:col>
      <xdr:colOff>560917</xdr:colOff>
      <xdr:row>10</xdr:row>
      <xdr:rowOff>52916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F847B05-0C9F-4ADA-BEEE-B6B5290B9BDE}"/>
            </a:ext>
          </a:extLst>
        </xdr:cNvPr>
        <xdr:cNvCxnSpPr/>
      </xdr:nvCxnSpPr>
      <xdr:spPr>
        <a:xfrm>
          <a:off x="27708225" y="1783291"/>
          <a:ext cx="560917" cy="431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714375</xdr:colOff>
      <xdr:row>13</xdr:row>
      <xdr:rowOff>85725</xdr:rowOff>
    </xdr:from>
    <xdr:to>
      <xdr:col>17</xdr:col>
      <xdr:colOff>0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4B8A40B-ED83-41AF-AAA1-D46D50481C65}"/>
            </a:ext>
          </a:extLst>
        </xdr:cNvPr>
        <xdr:cNvGrpSpPr/>
      </xdr:nvGrpSpPr>
      <xdr:grpSpPr>
        <a:xfrm>
          <a:off x="19592925" y="2686050"/>
          <a:ext cx="2771775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FB60FC83-F8C0-4FFA-8C36-C1E35F6C226F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6FC80CFE-ADA5-408F-B448-47492DBAEFD3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114298</xdr:colOff>
      <xdr:row>6</xdr:row>
      <xdr:rowOff>95249</xdr:rowOff>
    </xdr:from>
    <xdr:to>
      <xdr:col>15</xdr:col>
      <xdr:colOff>605675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9FFAA60-5ADA-48C5-8A86-CAA41663DD8D}"/>
            </a:ext>
          </a:extLst>
        </xdr:cNvPr>
        <xdr:cNvGrpSpPr/>
      </xdr:nvGrpSpPr>
      <xdr:grpSpPr>
        <a:xfrm rot="10800000">
          <a:off x="18992848" y="1295399"/>
          <a:ext cx="491377" cy="1038226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D283D44-5488-47A4-8381-8E42BFBA099E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163AB069-7641-4A0E-961A-E4AB030308D7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13</xdr:row>
      <xdr:rowOff>85725</xdr:rowOff>
    </xdr:from>
    <xdr:to>
      <xdr:col>16</xdr:col>
      <xdr:colOff>1773890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CEB932B-8C2F-4D0F-B393-C600EB46644B}"/>
            </a:ext>
          </a:extLst>
        </xdr:cNvPr>
        <xdr:cNvGrpSpPr/>
      </xdr:nvGrpSpPr>
      <xdr:grpSpPr>
        <a:xfrm>
          <a:off x="17773650" y="2686050"/>
          <a:ext cx="2440640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1F810C03-1EC3-4253-A21D-AB9575734D88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BF0C3B82-EF67-47E7-8630-1E6F0E70988C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9525</xdr:colOff>
      <xdr:row>6</xdr:row>
      <xdr:rowOff>95249</xdr:rowOff>
    </xdr:from>
    <xdr:to>
      <xdr:col>15</xdr:col>
      <xdr:colOff>605677</xdr:colOff>
      <xdr:row>11</xdr:row>
      <xdr:rowOff>161924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171B137-DD77-4C61-B7C1-0778CC6576BB}"/>
            </a:ext>
          </a:extLst>
        </xdr:cNvPr>
        <xdr:cNvGrpSpPr/>
      </xdr:nvGrpSpPr>
      <xdr:grpSpPr>
        <a:xfrm rot="10800000">
          <a:off x="17173575" y="1295399"/>
          <a:ext cx="596152" cy="1066800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737BA557-98FA-48E7-BC93-6EE26C204131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60775FE0-DA28-4EF1-A078-06D34CCFF7EF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619126</xdr:colOff>
      <xdr:row>13</xdr:row>
      <xdr:rowOff>85725</xdr:rowOff>
    </xdr:from>
    <xdr:to>
      <xdr:col>16</xdr:col>
      <xdr:colOff>2038349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D3BF5AB-190F-40F0-8DF3-EA23CAA30478}"/>
            </a:ext>
          </a:extLst>
        </xdr:cNvPr>
        <xdr:cNvGrpSpPr/>
      </xdr:nvGrpSpPr>
      <xdr:grpSpPr>
        <a:xfrm>
          <a:off x="19307176" y="2686050"/>
          <a:ext cx="2790823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339D3E7D-66C3-4F60-A801-843BF53B7C38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E4C834DB-D6BA-4F76-A858-4E70BE00E3EF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114298</xdr:colOff>
      <xdr:row>6</xdr:row>
      <xdr:rowOff>95249</xdr:rowOff>
    </xdr:from>
    <xdr:to>
      <xdr:col>15</xdr:col>
      <xdr:colOff>605675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4215322-D900-4288-B7BE-710F7C73BCBB}"/>
            </a:ext>
          </a:extLst>
        </xdr:cNvPr>
        <xdr:cNvGrpSpPr/>
      </xdr:nvGrpSpPr>
      <xdr:grpSpPr>
        <a:xfrm rot="10800000">
          <a:off x="18802348" y="1295399"/>
          <a:ext cx="491377" cy="1038226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962CBFD9-D49B-4115-9DF4-C9A44674DF02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30151383-60BB-4B60-B2F6-6DC00A3559BF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</xdr:colOff>
      <xdr:row>13</xdr:row>
      <xdr:rowOff>85725</xdr:rowOff>
    </xdr:from>
    <xdr:to>
      <xdr:col>16</xdr:col>
      <xdr:colOff>609599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3CE113A-6B15-47CC-A7BB-E2077FDCC6BE}"/>
            </a:ext>
          </a:extLst>
        </xdr:cNvPr>
        <xdr:cNvGrpSpPr/>
      </xdr:nvGrpSpPr>
      <xdr:grpSpPr>
        <a:xfrm>
          <a:off x="20059651" y="2686050"/>
          <a:ext cx="609598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B4A1AD5F-A45A-43FB-BCF9-F328DA739050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4FA59B81-2B25-473F-BD14-F853611509B6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114298</xdr:colOff>
      <xdr:row>6</xdr:row>
      <xdr:rowOff>95249</xdr:rowOff>
    </xdr:from>
    <xdr:to>
      <xdr:col>15</xdr:col>
      <xdr:colOff>605675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A6CF151-2A65-4DDD-A391-48BE212428B4}"/>
            </a:ext>
          </a:extLst>
        </xdr:cNvPr>
        <xdr:cNvGrpSpPr/>
      </xdr:nvGrpSpPr>
      <xdr:grpSpPr>
        <a:xfrm rot="10800000">
          <a:off x="18802348" y="1295399"/>
          <a:ext cx="491377" cy="1038226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91380908-3E8A-4671-89E4-FBF213B9DBE9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8E5C68EB-5B81-4F3F-9BBB-07DA5DE40D1E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657225</xdr:colOff>
      <xdr:row>13</xdr:row>
      <xdr:rowOff>85725</xdr:rowOff>
    </xdr:from>
    <xdr:to>
      <xdr:col>16</xdr:col>
      <xdr:colOff>1895475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870F524-DDA8-42AD-85E1-5A0F680FB743}"/>
            </a:ext>
          </a:extLst>
        </xdr:cNvPr>
        <xdr:cNvGrpSpPr/>
      </xdr:nvGrpSpPr>
      <xdr:grpSpPr>
        <a:xfrm>
          <a:off x="19535775" y="2686050"/>
          <a:ext cx="2609850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76BC0C54-D668-464D-A84D-5B9EE43887C2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383079CE-282C-4EA4-9003-B0F7C26B74BF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114298</xdr:colOff>
      <xdr:row>6</xdr:row>
      <xdr:rowOff>95249</xdr:rowOff>
    </xdr:from>
    <xdr:to>
      <xdr:col>15</xdr:col>
      <xdr:colOff>605675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53C3F2E-3ED0-4533-B6F9-A894ABCAD422}"/>
            </a:ext>
          </a:extLst>
        </xdr:cNvPr>
        <xdr:cNvGrpSpPr/>
      </xdr:nvGrpSpPr>
      <xdr:grpSpPr>
        <a:xfrm rot="10800000">
          <a:off x="18992848" y="1295399"/>
          <a:ext cx="491377" cy="1038226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686230E-8448-4903-87DC-EF0D2D223732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9B27E160-2578-49D6-9428-FF6EF18C50FA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D54A-8904-4111-BB87-C8B9F1A467DF}">
  <dimension ref="A1:BF93"/>
  <sheetViews>
    <sheetView workbookViewId="0">
      <selection activeCell="J40" sqref="J40"/>
    </sheetView>
  </sheetViews>
  <sheetFormatPr defaultRowHeight="15.75" x14ac:dyDescent="0.25"/>
  <cols>
    <col min="1" max="1" width="7.28515625" style="24" customWidth="1"/>
    <col min="2" max="2" width="19.5703125" style="26" customWidth="1"/>
    <col min="3" max="3" width="11.140625" style="40" hidden="1" customWidth="1"/>
    <col min="4" max="4" width="12.5703125" style="40" customWidth="1"/>
    <col min="5" max="5" width="12.28515625" style="40" customWidth="1"/>
    <col min="6" max="6" width="12.5703125" style="40" customWidth="1"/>
    <col min="7" max="7" width="15.28515625" style="40" customWidth="1"/>
    <col min="8" max="8" width="10" style="25" customWidth="1"/>
    <col min="9" max="9" width="16" style="26" customWidth="1"/>
    <col min="10" max="12" width="11.85546875" style="26" customWidth="1"/>
    <col min="13" max="13" width="12.7109375" style="26" customWidth="1"/>
    <col min="14" max="14" width="12.42578125" style="26" customWidth="1"/>
    <col min="15" max="15" width="12.7109375" style="26" customWidth="1"/>
    <col min="16" max="18" width="12.42578125" style="26" customWidth="1"/>
    <col min="19" max="19" width="15.140625" style="26" customWidth="1"/>
    <col min="20" max="20" width="9.140625" style="24"/>
    <col min="21" max="21" width="21.28515625" style="26" customWidth="1"/>
    <col min="22" max="22" width="15.42578125" style="26" customWidth="1"/>
    <col min="23" max="24" width="9.140625" style="24"/>
    <col min="25" max="25" width="25.28515625" style="24" customWidth="1"/>
    <col min="26" max="26" width="16" style="24" bestFit="1" customWidth="1"/>
    <col min="27" max="27" width="11.42578125" style="24" customWidth="1"/>
    <col min="28" max="28" width="11" style="24" customWidth="1"/>
    <col min="29" max="29" width="9.140625" style="24"/>
    <col min="30" max="30" width="38" style="24" customWidth="1"/>
    <col min="31" max="58" width="9.140625" style="24"/>
    <col min="59" max="16384" width="9.140625" style="26"/>
  </cols>
  <sheetData>
    <row r="1" spans="2:31" s="24" customFormat="1" x14ac:dyDescent="0.25">
      <c r="C1" s="25"/>
      <c r="D1" s="25"/>
      <c r="E1" s="25"/>
      <c r="F1" s="25"/>
      <c r="G1" s="25"/>
      <c r="H1" s="25"/>
    </row>
    <row r="2" spans="2:31" ht="19.5" x14ac:dyDescent="0.3">
      <c r="B2" s="106" t="s">
        <v>46</v>
      </c>
      <c r="C2" s="107"/>
      <c r="D2" s="107"/>
      <c r="E2" s="107"/>
      <c r="F2" s="107"/>
      <c r="G2" s="108"/>
      <c r="I2" s="106" t="s">
        <v>47</v>
      </c>
      <c r="J2" s="107"/>
      <c r="K2" s="107"/>
      <c r="L2" s="107"/>
      <c r="M2" s="107"/>
      <c r="N2" s="107"/>
      <c r="O2" s="107"/>
      <c r="P2" s="107"/>
      <c r="Q2" s="107"/>
      <c r="R2" s="107"/>
      <c r="S2" s="108"/>
    </row>
    <row r="3" spans="2:31" ht="24" customHeight="1" x14ac:dyDescent="0.25">
      <c r="B3" s="27" t="s">
        <v>48</v>
      </c>
      <c r="C3" s="28">
        <v>2016</v>
      </c>
      <c r="D3" s="28">
        <v>2017</v>
      </c>
      <c r="E3" s="28">
        <v>2018</v>
      </c>
      <c r="F3" s="28">
        <v>2019</v>
      </c>
      <c r="G3" s="29" t="s">
        <v>49</v>
      </c>
      <c r="H3" s="30" t="s">
        <v>50</v>
      </c>
      <c r="I3" s="31">
        <v>2021</v>
      </c>
      <c r="J3" s="28">
        <v>2022</v>
      </c>
      <c r="K3" s="28">
        <v>2023</v>
      </c>
      <c r="L3" s="28">
        <v>2024</v>
      </c>
      <c r="M3" s="28">
        <v>2025</v>
      </c>
      <c r="N3" s="28">
        <v>2026</v>
      </c>
      <c r="O3" s="28">
        <v>2027</v>
      </c>
      <c r="P3" s="28">
        <v>2028</v>
      </c>
      <c r="Q3" s="28">
        <v>2029</v>
      </c>
      <c r="R3" s="28">
        <v>2030</v>
      </c>
      <c r="S3" s="32" t="s">
        <v>51</v>
      </c>
      <c r="T3" s="33"/>
      <c r="U3" s="109" t="s">
        <v>52</v>
      </c>
      <c r="V3" s="110"/>
      <c r="Y3" s="111" t="s">
        <v>53</v>
      </c>
      <c r="Z3" s="111"/>
    </row>
    <row r="4" spans="2:31" x14ac:dyDescent="0.25">
      <c r="B4" s="34" t="s">
        <v>54</v>
      </c>
      <c r="C4" s="35">
        <v>7000132</v>
      </c>
      <c r="D4" s="35">
        <v>11758751</v>
      </c>
      <c r="E4" s="35">
        <v>21461268</v>
      </c>
      <c r="F4" s="35">
        <v>24578000</v>
      </c>
      <c r="G4" s="35">
        <v>28176000</v>
      </c>
      <c r="I4" s="35">
        <f>G4*(1+$V$5)</f>
        <v>36628800</v>
      </c>
      <c r="J4" s="35">
        <f>I4*(1+$V$5)</f>
        <v>47617440</v>
      </c>
      <c r="K4" s="35">
        <f t="shared" ref="K4:M4" si="0">J4*(1+$V$5)</f>
        <v>61902672</v>
      </c>
      <c r="L4" s="35">
        <f t="shared" si="0"/>
        <v>80473473.600000009</v>
      </c>
      <c r="M4" s="35">
        <f t="shared" si="0"/>
        <v>104615515.68000002</v>
      </c>
      <c r="N4" s="35">
        <f>M4*(1+$V$6)</f>
        <v>120307843.03200002</v>
      </c>
      <c r="O4" s="35">
        <f t="shared" ref="O4:R4" si="1">N4*(1+$V$6)</f>
        <v>138354019.48680001</v>
      </c>
      <c r="P4" s="35">
        <f t="shared" si="1"/>
        <v>159107122.40981999</v>
      </c>
      <c r="Q4" s="35">
        <f t="shared" si="1"/>
        <v>182973190.77129298</v>
      </c>
      <c r="R4" s="35">
        <f t="shared" si="1"/>
        <v>210419169.38698691</v>
      </c>
      <c r="S4" s="36">
        <f>R4*10</f>
        <v>2104191693.8698692</v>
      </c>
      <c r="U4" s="37" t="s">
        <v>55</v>
      </c>
      <c r="V4" s="38"/>
      <c r="Y4" s="24" t="s">
        <v>56</v>
      </c>
      <c r="Z4" s="39">
        <v>2460000000</v>
      </c>
    </row>
    <row r="5" spans="2:31" x14ac:dyDescent="0.25">
      <c r="B5" s="26" t="s">
        <v>57</v>
      </c>
      <c r="C5" s="40" t="s">
        <v>58</v>
      </c>
      <c r="D5" s="41">
        <f>(D4-C4)/C4</f>
        <v>0.67978989539054402</v>
      </c>
      <c r="E5" s="41">
        <f>(E4-D4)/D4</f>
        <v>0.82513159773516764</v>
      </c>
      <c r="F5" s="41">
        <f>(F4-E4)/E4</f>
        <v>0.14522590184326481</v>
      </c>
      <c r="G5" s="41">
        <f>(G4-F4)/F4</f>
        <v>0.14639108145495972</v>
      </c>
      <c r="H5" s="42">
        <f>AVERAGE(D5:G5)</f>
        <v>0.44913461910598407</v>
      </c>
      <c r="I5" s="41">
        <f>(I4-G4)/G4</f>
        <v>0.3</v>
      </c>
      <c r="J5" s="41">
        <f>(J4-I4)/I4</f>
        <v>0.3</v>
      </c>
      <c r="K5" s="41">
        <f t="shared" ref="K5:R5" si="2">(K4-J4)/J4</f>
        <v>0.3</v>
      </c>
      <c r="L5" s="41">
        <f t="shared" si="2"/>
        <v>0.30000000000000016</v>
      </c>
      <c r="M5" s="41">
        <f t="shared" si="2"/>
        <v>0.30000000000000016</v>
      </c>
      <c r="N5" s="41">
        <f t="shared" si="2"/>
        <v>0.14999999999999994</v>
      </c>
      <c r="O5" s="41">
        <f t="shared" si="2"/>
        <v>0.14999999999999994</v>
      </c>
      <c r="P5" s="41">
        <f t="shared" si="2"/>
        <v>0.1499999999999998</v>
      </c>
      <c r="Q5" s="41">
        <f t="shared" si="2"/>
        <v>0.14999999999999997</v>
      </c>
      <c r="R5" s="41">
        <f t="shared" si="2"/>
        <v>0.14999999999999988</v>
      </c>
      <c r="U5" s="43" t="s">
        <v>59</v>
      </c>
      <c r="V5" s="44">
        <v>0.3</v>
      </c>
      <c r="Y5" s="24" t="s">
        <v>60</v>
      </c>
      <c r="Z5" s="45">
        <v>3.5000000000000003E-2</v>
      </c>
    </row>
    <row r="6" spans="2:31" x14ac:dyDescent="0.25">
      <c r="U6" s="43" t="s">
        <v>61</v>
      </c>
      <c r="V6" s="44">
        <v>0.15</v>
      </c>
    </row>
    <row r="7" spans="2:31" x14ac:dyDescent="0.25">
      <c r="B7" s="34" t="s">
        <v>62</v>
      </c>
      <c r="C7" s="35">
        <v>-547538</v>
      </c>
      <c r="D7" s="35">
        <v>-1737773</v>
      </c>
      <c r="E7" s="35">
        <v>-341674</v>
      </c>
      <c r="F7" s="35">
        <v>20000</v>
      </c>
      <c r="G7" s="35">
        <v>1621000</v>
      </c>
      <c r="I7" s="35">
        <f>I4*$V$9</f>
        <v>3662880</v>
      </c>
      <c r="J7" s="35">
        <f t="shared" ref="J7:L7" si="3">J4*$V$9</f>
        <v>4761744</v>
      </c>
      <c r="K7" s="35">
        <f t="shared" si="3"/>
        <v>6190267.2000000002</v>
      </c>
      <c r="L7" s="35">
        <f t="shared" si="3"/>
        <v>8047347.3600000013</v>
      </c>
      <c r="M7" s="35">
        <f>M4*$V$9</f>
        <v>10461551.568000004</v>
      </c>
      <c r="N7" s="35">
        <f>N4*$V$10</f>
        <v>18046176.454800002</v>
      </c>
      <c r="O7" s="35">
        <f>O4*$V$10</f>
        <v>20753102.923020002</v>
      </c>
      <c r="P7" s="35">
        <f>P4*$V$10</f>
        <v>23866068.361472998</v>
      </c>
      <c r="Q7" s="35">
        <f>Q4*$V$10</f>
        <v>27445978.615693945</v>
      </c>
      <c r="R7" s="35">
        <f>R4*$V$10</f>
        <v>31562875.408048034</v>
      </c>
      <c r="U7" s="43"/>
      <c r="V7" s="46" t="s">
        <v>63</v>
      </c>
    </row>
    <row r="8" spans="2:31" ht="16.5" x14ac:dyDescent="0.25">
      <c r="B8" s="26" t="s">
        <v>64</v>
      </c>
      <c r="C8" s="41">
        <f>C7/C4</f>
        <v>-7.8218239313201529E-2</v>
      </c>
      <c r="D8" s="41">
        <f>D7/D4</f>
        <v>-0.1477855088520881</v>
      </c>
      <c r="E8" s="41">
        <f>E7/E4</f>
        <v>-1.5920494539278855E-2</v>
      </c>
      <c r="F8" s="41">
        <f>F7/F4</f>
        <v>8.1373586133940919E-4</v>
      </c>
      <c r="G8" s="41">
        <f>G7/G4</f>
        <v>5.7531232254400912E-2</v>
      </c>
      <c r="H8" s="42">
        <f>AVERAGE(F8:G8)</f>
        <v>2.9172484057870162E-2</v>
      </c>
      <c r="I8" s="41">
        <f>I7/I4</f>
        <v>0.1</v>
      </c>
      <c r="J8" s="41">
        <f t="shared" ref="J8:R8" si="4">J7/J4</f>
        <v>0.1</v>
      </c>
      <c r="K8" s="41">
        <f t="shared" si="4"/>
        <v>0.1</v>
      </c>
      <c r="L8" s="41">
        <f t="shared" si="4"/>
        <v>0.1</v>
      </c>
      <c r="M8" s="41">
        <f t="shared" si="4"/>
        <v>0.10000000000000002</v>
      </c>
      <c r="N8" s="41">
        <f t="shared" si="4"/>
        <v>0.15</v>
      </c>
      <c r="O8" s="41">
        <f t="shared" si="4"/>
        <v>0.15</v>
      </c>
      <c r="P8" s="41">
        <f t="shared" si="4"/>
        <v>0.15</v>
      </c>
      <c r="Q8" s="41">
        <f t="shared" si="4"/>
        <v>0.15</v>
      </c>
      <c r="R8" s="41">
        <f t="shared" si="4"/>
        <v>0.15</v>
      </c>
      <c r="U8" s="37" t="s">
        <v>65</v>
      </c>
      <c r="V8" s="38"/>
      <c r="Y8" s="105" t="s">
        <v>66</v>
      </c>
      <c r="Z8" s="105"/>
      <c r="AA8" s="105"/>
      <c r="AD8" s="47" t="s">
        <v>67</v>
      </c>
      <c r="AE8" s="48" t="s">
        <v>60</v>
      </c>
    </row>
    <row r="9" spans="2:31" x14ac:dyDescent="0.25">
      <c r="C9" s="49"/>
      <c r="D9" s="50"/>
      <c r="E9" s="50"/>
      <c r="F9" s="50"/>
      <c r="G9" s="50"/>
      <c r="U9" s="43" t="s">
        <v>59</v>
      </c>
      <c r="V9" s="44">
        <v>0.1</v>
      </c>
      <c r="Y9" s="51" t="s">
        <v>68</v>
      </c>
      <c r="Z9" s="52" t="s">
        <v>69</v>
      </c>
      <c r="AA9" s="52" t="s">
        <v>70</v>
      </c>
      <c r="AB9" s="53" t="s">
        <v>71</v>
      </c>
      <c r="AD9" s="24" t="s">
        <v>72</v>
      </c>
      <c r="AE9" s="54">
        <v>0.13</v>
      </c>
    </row>
    <row r="10" spans="2:31" x14ac:dyDescent="0.25">
      <c r="B10" s="34" t="s">
        <v>44</v>
      </c>
      <c r="C10" s="35">
        <v>-1564300</v>
      </c>
      <c r="D10" s="35">
        <v>-4142008</v>
      </c>
      <c r="E10" s="35">
        <v>-221714</v>
      </c>
      <c r="F10" s="35">
        <v>968000</v>
      </c>
      <c r="G10" s="35">
        <v>1827000</v>
      </c>
      <c r="I10" s="55">
        <f>I7*(1-$V$14)-I12</f>
        <v>-487444.79999999981</v>
      </c>
      <c r="J10" s="55">
        <f t="shared" ref="J10:Q10" si="5">J7*(1-$V$14)-J12</f>
        <v>-633678.23999999976</v>
      </c>
      <c r="K10" s="55">
        <f t="shared" si="5"/>
        <v>-823781.71199999936</v>
      </c>
      <c r="L10" s="55">
        <f t="shared" si="5"/>
        <v>-1070916.2256000023</v>
      </c>
      <c r="M10" s="55">
        <f t="shared" si="5"/>
        <v>-1392191.0932800025</v>
      </c>
      <c r="N10" s="55">
        <f t="shared" si="5"/>
        <v>7979548.4584920043</v>
      </c>
      <c r="O10" s="55">
        <f t="shared" si="5"/>
        <v>9176480.7272658031</v>
      </c>
      <c r="P10" s="55">
        <f t="shared" si="5"/>
        <v>10552952.836355679</v>
      </c>
      <c r="Q10" s="55">
        <f t="shared" si="5"/>
        <v>12135895.761809019</v>
      </c>
      <c r="R10" s="55">
        <f>R7*(1-$V$14)-R12</f>
        <v>13956280.126080379</v>
      </c>
      <c r="S10" s="35">
        <f>R7*V20</f>
        <v>946886262.24144101</v>
      </c>
      <c r="U10" s="43" t="s">
        <v>73</v>
      </c>
      <c r="V10" s="44">
        <v>0.15</v>
      </c>
      <c r="Y10" s="24" t="s">
        <v>74</v>
      </c>
      <c r="Z10" s="25" t="s">
        <v>75</v>
      </c>
      <c r="AA10" s="56">
        <v>8.5000000000000006E-2</v>
      </c>
      <c r="AD10" s="24" t="s">
        <v>76</v>
      </c>
      <c r="AE10" s="54">
        <v>0.15</v>
      </c>
    </row>
    <row r="11" spans="2:31" x14ac:dyDescent="0.25">
      <c r="B11" s="34" t="s">
        <v>77</v>
      </c>
      <c r="C11" s="57">
        <f>C4/C20</f>
        <v>0.58917014593132666</v>
      </c>
      <c r="D11" s="57">
        <f>D4/D20</f>
        <v>0.80804051351756234</v>
      </c>
      <c r="E11" s="57">
        <f>E4/E20</f>
        <v>1.2703023578993873</v>
      </c>
      <c r="F11" s="57">
        <f>F4/F20</f>
        <v>1.2266307331436841</v>
      </c>
      <c r="G11" s="57">
        <f>G4/G20</f>
        <v>1.4061985327144781</v>
      </c>
      <c r="H11" s="42"/>
      <c r="I11" s="57">
        <f>$V$12</f>
        <v>2.5</v>
      </c>
      <c r="J11" s="57">
        <f t="shared" ref="J11:R11" si="6">$V$12</f>
        <v>2.5</v>
      </c>
      <c r="K11" s="57">
        <f t="shared" si="6"/>
        <v>2.5</v>
      </c>
      <c r="L11" s="57">
        <f t="shared" si="6"/>
        <v>2.5</v>
      </c>
      <c r="M11" s="57">
        <f t="shared" si="6"/>
        <v>2.5</v>
      </c>
      <c r="N11" s="57">
        <f t="shared" si="6"/>
        <v>2.5</v>
      </c>
      <c r="O11" s="57">
        <f t="shared" si="6"/>
        <v>2.5</v>
      </c>
      <c r="P11" s="57">
        <f t="shared" si="6"/>
        <v>2.5</v>
      </c>
      <c r="Q11" s="57">
        <f t="shared" si="6"/>
        <v>2.5</v>
      </c>
      <c r="R11" s="57">
        <f t="shared" si="6"/>
        <v>2.5</v>
      </c>
      <c r="U11" s="37"/>
      <c r="V11" s="44"/>
      <c r="Y11" s="24" t="s">
        <v>78</v>
      </c>
      <c r="Z11" s="25" t="s">
        <v>79</v>
      </c>
      <c r="AA11" s="56">
        <v>8.3000000000000004E-2</v>
      </c>
      <c r="AD11" s="24" t="s">
        <v>80</v>
      </c>
      <c r="AE11" s="54">
        <v>0.22</v>
      </c>
    </row>
    <row r="12" spans="2:31" x14ac:dyDescent="0.25">
      <c r="B12" s="34" t="s">
        <v>81</v>
      </c>
      <c r="C12" s="55" t="s">
        <v>58</v>
      </c>
      <c r="D12" s="55">
        <f t="shared" ref="D12" si="7">(D4-C4)/D11</f>
        <v>5889084.6688921293</v>
      </c>
      <c r="E12" s="55">
        <f>(E4-D4)/E11</f>
        <v>7637958.7423929479</v>
      </c>
      <c r="F12" s="55">
        <f>(F4-E4)/F11</f>
        <v>2540888.5622914806</v>
      </c>
      <c r="G12" s="55">
        <f>(G4-F4)/G11</f>
        <v>2558671.4224872235</v>
      </c>
      <c r="H12" s="42"/>
      <c r="I12" s="55">
        <f>(I4-G4)/I11</f>
        <v>3381120</v>
      </c>
      <c r="J12" s="55">
        <f>(J4-I4)/J11</f>
        <v>4395456</v>
      </c>
      <c r="K12" s="55">
        <f t="shared" ref="K12:Q12" si="8">(K4-J4)/K11</f>
        <v>5714092.7999999998</v>
      </c>
      <c r="L12" s="55">
        <f t="shared" si="8"/>
        <v>7428320.6400000034</v>
      </c>
      <c r="M12" s="55">
        <f t="shared" si="8"/>
        <v>9656816.832000006</v>
      </c>
      <c r="N12" s="55">
        <f t="shared" si="8"/>
        <v>6276930.9407999991</v>
      </c>
      <c r="O12" s="55">
        <f t="shared" si="8"/>
        <v>7218470.5819199979</v>
      </c>
      <c r="P12" s="55">
        <f t="shared" si="8"/>
        <v>8301241.1692079902</v>
      </c>
      <c r="Q12" s="55">
        <f t="shared" si="8"/>
        <v>9546427.344589198</v>
      </c>
      <c r="R12" s="55">
        <f>(R4-Q4)/R11</f>
        <v>10978391.44627757</v>
      </c>
      <c r="U12" s="37" t="s">
        <v>82</v>
      </c>
      <c r="V12" s="58">
        <v>2.5</v>
      </c>
      <c r="Y12" s="24" t="s">
        <v>83</v>
      </c>
      <c r="Z12" s="25" t="s">
        <v>84</v>
      </c>
      <c r="AA12" s="56">
        <v>2.75E-2</v>
      </c>
      <c r="AD12" s="24" t="s">
        <v>85</v>
      </c>
      <c r="AE12" s="54">
        <v>0.27</v>
      </c>
    </row>
    <row r="13" spans="2:31" x14ac:dyDescent="0.25">
      <c r="C13" s="35"/>
      <c r="D13" s="35"/>
      <c r="E13" s="35"/>
      <c r="F13" s="35"/>
      <c r="G13" s="35"/>
      <c r="I13" s="55"/>
      <c r="J13" s="55"/>
      <c r="K13" s="55"/>
      <c r="L13" s="55"/>
      <c r="M13" s="55"/>
      <c r="N13" s="55"/>
      <c r="O13" s="55"/>
      <c r="P13" s="55"/>
      <c r="Q13" s="55"/>
      <c r="R13" s="35"/>
      <c r="U13" s="43"/>
      <c r="V13" s="38"/>
      <c r="Y13" s="24" t="s">
        <v>86</v>
      </c>
      <c r="Z13" s="25" t="s">
        <v>87</v>
      </c>
      <c r="AA13" s="56">
        <v>6.8000000000000005E-2</v>
      </c>
    </row>
    <row r="14" spans="2:31" x14ac:dyDescent="0.25">
      <c r="B14" s="34" t="s">
        <v>88</v>
      </c>
      <c r="C14" s="35">
        <v>721060</v>
      </c>
      <c r="D14" s="35">
        <v>828790</v>
      </c>
      <c r="E14" s="35">
        <v>852625</v>
      </c>
      <c r="F14" s="35">
        <v>885000</v>
      </c>
      <c r="G14" s="35">
        <v>937000</v>
      </c>
      <c r="I14" s="55">
        <f>G14*(1+$V$18)</f>
        <v>941684.99999999988</v>
      </c>
      <c r="J14" s="55">
        <f>I14*(1+$V$18)</f>
        <v>946393.42499999981</v>
      </c>
      <c r="K14" s="55">
        <f t="shared" ref="K14:R14" si="9">J14*(1+$V$18)</f>
        <v>951125.39212499966</v>
      </c>
      <c r="L14" s="55">
        <f t="shared" si="9"/>
        <v>955881.0190856246</v>
      </c>
      <c r="M14" s="55">
        <f t="shared" si="9"/>
        <v>960660.4241810526</v>
      </c>
      <c r="N14" s="55">
        <f t="shared" si="9"/>
        <v>965463.72630195774</v>
      </c>
      <c r="O14" s="55">
        <f t="shared" si="9"/>
        <v>970291.0449334674</v>
      </c>
      <c r="P14" s="55">
        <f t="shared" si="9"/>
        <v>975142.50015813462</v>
      </c>
      <c r="Q14" s="55">
        <f t="shared" si="9"/>
        <v>980018.21265892521</v>
      </c>
      <c r="R14" s="55">
        <f t="shared" si="9"/>
        <v>984918.30372221977</v>
      </c>
      <c r="U14" s="37" t="s">
        <v>89</v>
      </c>
      <c r="V14" s="44">
        <v>0.21</v>
      </c>
      <c r="Y14" s="24" t="s">
        <v>90</v>
      </c>
      <c r="Z14" s="25" t="s">
        <v>91</v>
      </c>
      <c r="AA14" s="56">
        <v>8.1000000000000003E-2</v>
      </c>
    </row>
    <row r="15" spans="2:31" ht="16.5" x14ac:dyDescent="0.25">
      <c r="D15" s="35"/>
      <c r="E15" s="35"/>
      <c r="F15" s="35"/>
      <c r="G15" s="35"/>
      <c r="I15" s="55"/>
      <c r="J15" s="55"/>
      <c r="K15" s="35"/>
      <c r="L15" s="35"/>
      <c r="M15" s="35"/>
      <c r="N15" s="35"/>
      <c r="O15" s="35"/>
      <c r="P15" s="35"/>
      <c r="Q15" s="35"/>
      <c r="R15" s="35"/>
      <c r="S15" s="35"/>
      <c r="U15" s="43"/>
      <c r="V15" s="38"/>
      <c r="Y15" s="24" t="s">
        <v>92</v>
      </c>
      <c r="Z15" s="25" t="s">
        <v>93</v>
      </c>
      <c r="AA15" s="56">
        <v>0.01</v>
      </c>
      <c r="AB15" s="54">
        <v>0.81</v>
      </c>
      <c r="AD15" s="47" t="s">
        <v>94</v>
      </c>
    </row>
    <row r="16" spans="2:31" x14ac:dyDescent="0.25">
      <c r="B16" s="34" t="s">
        <v>95</v>
      </c>
      <c r="C16" s="35">
        <v>3393216</v>
      </c>
      <c r="D16" s="35">
        <v>3367914</v>
      </c>
      <c r="E16" s="35">
        <v>3685618</v>
      </c>
      <c r="F16" s="35">
        <v>6268000</v>
      </c>
      <c r="G16" s="35">
        <v>14531000</v>
      </c>
      <c r="I16" s="55">
        <f>G16*(1+V16)</f>
        <v>16710649.999999998</v>
      </c>
      <c r="J16" s="55">
        <f>I16*(1+$V$16)</f>
        <v>19217247.499999996</v>
      </c>
      <c r="K16" s="55">
        <f t="shared" ref="K16:R16" si="10">J16*(1+$V$16)</f>
        <v>22099834.624999993</v>
      </c>
      <c r="L16" s="55">
        <f t="shared" si="10"/>
        <v>25414809.81874999</v>
      </c>
      <c r="M16" s="55">
        <f t="shared" si="10"/>
        <v>29227031.291562486</v>
      </c>
      <c r="N16" s="55">
        <f t="shared" si="10"/>
        <v>33611085.98529686</v>
      </c>
      <c r="O16" s="55">
        <f t="shared" si="10"/>
        <v>38652748.883091383</v>
      </c>
      <c r="P16" s="55">
        <f t="shared" si="10"/>
        <v>44450661.215555087</v>
      </c>
      <c r="Q16" s="55">
        <f t="shared" si="10"/>
        <v>51118260.397888348</v>
      </c>
      <c r="R16" s="55">
        <f t="shared" si="10"/>
        <v>58785999.457571596</v>
      </c>
      <c r="U16" s="37" t="s">
        <v>96</v>
      </c>
      <c r="V16" s="44">
        <v>0.15</v>
      </c>
      <c r="Y16" s="59" t="s">
        <v>97</v>
      </c>
      <c r="Z16" s="25"/>
      <c r="AA16" s="60">
        <v>6.9000000000000006E-2</v>
      </c>
      <c r="AD16" s="24" t="s">
        <v>98</v>
      </c>
      <c r="AE16" s="45">
        <v>0.03</v>
      </c>
    </row>
    <row r="17" spans="2:31" x14ac:dyDescent="0.25">
      <c r="B17" s="34" t="s">
        <v>99</v>
      </c>
      <c r="I17" s="55"/>
      <c r="J17" s="55"/>
      <c r="K17" s="35"/>
      <c r="L17" s="35"/>
      <c r="M17" s="35"/>
      <c r="N17" s="35"/>
      <c r="O17" s="35"/>
      <c r="P17" s="35"/>
      <c r="Q17" s="35"/>
      <c r="R17" s="35"/>
      <c r="S17" s="35"/>
      <c r="U17" s="37" t="s">
        <v>100</v>
      </c>
      <c r="V17" s="44">
        <v>0.05</v>
      </c>
      <c r="Z17" s="25"/>
      <c r="AA17" s="25"/>
      <c r="AD17" s="24" t="s">
        <v>101</v>
      </c>
      <c r="AE17" s="45">
        <v>8.5000000000000006E-2</v>
      </c>
    </row>
    <row r="18" spans="2:31" ht="16.5" x14ac:dyDescent="0.25">
      <c r="B18" s="34" t="s">
        <v>102</v>
      </c>
      <c r="C18" s="35">
        <v>8588115</v>
      </c>
      <c r="D18" s="35">
        <v>12115948</v>
      </c>
      <c r="E18" s="35">
        <v>13827271</v>
      </c>
      <c r="F18" s="35">
        <v>14469000</v>
      </c>
      <c r="G18" s="35">
        <v>15163000</v>
      </c>
      <c r="I18" s="55">
        <f>G18*(1+V17)</f>
        <v>15921150</v>
      </c>
      <c r="J18" s="55">
        <f>I18*(1+$V$17)</f>
        <v>16717207.5</v>
      </c>
      <c r="K18" s="55">
        <f>J18*(1+$V$17)</f>
        <v>17553067.875</v>
      </c>
      <c r="L18" s="55">
        <f t="shared" ref="L18:R18" si="11">K18*(1+$V$17)</f>
        <v>18430721.268750001</v>
      </c>
      <c r="M18" s="55">
        <f t="shared" si="11"/>
        <v>19352257.3321875</v>
      </c>
      <c r="N18" s="55">
        <f t="shared" si="11"/>
        <v>20319870.198796876</v>
      </c>
      <c r="O18" s="55">
        <f t="shared" si="11"/>
        <v>21335863.708736721</v>
      </c>
      <c r="P18" s="55">
        <f t="shared" si="11"/>
        <v>22402656.894173559</v>
      </c>
      <c r="Q18" s="55">
        <f t="shared" si="11"/>
        <v>23522789.738882236</v>
      </c>
      <c r="R18" s="55">
        <f t="shared" si="11"/>
        <v>24698929.225826349</v>
      </c>
      <c r="S18" s="26" t="s">
        <v>103</v>
      </c>
      <c r="U18" s="37" t="s">
        <v>104</v>
      </c>
      <c r="V18" s="61">
        <v>5.0000000000000001E-3</v>
      </c>
      <c r="Y18" s="105" t="s">
        <v>105</v>
      </c>
      <c r="Z18" s="105"/>
      <c r="AA18" s="105"/>
      <c r="AD18" s="24" t="s">
        <v>106</v>
      </c>
      <c r="AE18" s="54">
        <v>0.2</v>
      </c>
    </row>
    <row r="19" spans="2:31" x14ac:dyDescent="0.25">
      <c r="B19" s="34"/>
      <c r="U19" s="43"/>
      <c r="V19" s="38"/>
      <c r="Y19" s="62" t="s">
        <v>68</v>
      </c>
      <c r="Z19" s="63" t="s">
        <v>69</v>
      </c>
      <c r="AA19" s="63" t="s">
        <v>70</v>
      </c>
      <c r="AB19" s="63" t="s">
        <v>62</v>
      </c>
      <c r="AD19" s="24" t="s">
        <v>107</v>
      </c>
      <c r="AE19" s="54">
        <v>0.22</v>
      </c>
    </row>
    <row r="20" spans="2:31" x14ac:dyDescent="0.25">
      <c r="B20" s="34" t="s">
        <v>108</v>
      </c>
      <c r="C20" s="35">
        <v>11881342</v>
      </c>
      <c r="D20" s="35">
        <v>14552180</v>
      </c>
      <c r="E20" s="35">
        <v>16894614</v>
      </c>
      <c r="F20" s="35">
        <v>20037000</v>
      </c>
      <c r="G20" s="35">
        <f>F20</f>
        <v>20037000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U20" s="64" t="s">
        <v>109</v>
      </c>
      <c r="V20" s="65">
        <v>30</v>
      </c>
      <c r="Y20" s="24" t="s">
        <v>110</v>
      </c>
      <c r="Z20" s="66">
        <v>265.5</v>
      </c>
      <c r="AA20" s="54">
        <v>0.05</v>
      </c>
      <c r="AB20" s="25">
        <v>12.7</v>
      </c>
      <c r="AE20" s="25"/>
    </row>
    <row r="21" spans="2:31" x14ac:dyDescent="0.25">
      <c r="B21" s="34" t="s">
        <v>111</v>
      </c>
      <c r="C21" s="35"/>
      <c r="D21" s="35"/>
      <c r="E21" s="35"/>
      <c r="F21" s="35"/>
      <c r="G21" s="35">
        <f>F21</f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U21" s="24"/>
      <c r="V21" s="24"/>
      <c r="Y21" s="24" t="s">
        <v>112</v>
      </c>
      <c r="Z21" s="66">
        <v>260</v>
      </c>
      <c r="AA21" s="54">
        <v>0.24399999999999999</v>
      </c>
      <c r="AB21" s="25">
        <v>63.3</v>
      </c>
      <c r="AD21" s="24" t="s">
        <v>113</v>
      </c>
      <c r="AE21" s="56">
        <f>AVERAGE(AE17:AE18)</f>
        <v>0.14250000000000002</v>
      </c>
    </row>
    <row r="22" spans="2:31" x14ac:dyDescent="0.25">
      <c r="B22" s="34" t="s">
        <v>114</v>
      </c>
      <c r="C22" s="35">
        <v>6259796</v>
      </c>
      <c r="D22" s="35">
        <v>6570520</v>
      </c>
      <c r="E22" s="35">
        <v>8306308</v>
      </c>
      <c r="F22" s="35">
        <v>12103000</v>
      </c>
      <c r="G22" s="35">
        <v>21744000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U22" s="24"/>
      <c r="V22" s="24"/>
      <c r="Y22" s="24" t="s">
        <v>115</v>
      </c>
      <c r="Z22" s="66">
        <v>155</v>
      </c>
      <c r="AA22" s="54">
        <v>0.21</v>
      </c>
      <c r="AB22" s="25">
        <v>32.6</v>
      </c>
    </row>
    <row r="23" spans="2:31" x14ac:dyDescent="0.25">
      <c r="B23" s="34" t="s">
        <v>116</v>
      </c>
      <c r="C23" s="35">
        <v>5827005</v>
      </c>
      <c r="D23" s="35">
        <v>7674670</v>
      </c>
      <c r="E23" s="35">
        <v>9992136</v>
      </c>
      <c r="F23" s="35">
        <v>10667000</v>
      </c>
      <c r="G23" s="35">
        <v>13302000</v>
      </c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24"/>
      <c r="T23" s="68"/>
      <c r="U23" s="68"/>
      <c r="V23" s="68"/>
      <c r="W23" s="68"/>
      <c r="Y23" s="24" t="s">
        <v>117</v>
      </c>
      <c r="Z23" s="66">
        <v>129.80000000000001</v>
      </c>
      <c r="AA23" s="54">
        <v>0.35199999999999998</v>
      </c>
      <c r="AB23" s="25">
        <v>45.8</v>
      </c>
    </row>
    <row r="24" spans="2:31" ht="17.25" customHeight="1" x14ac:dyDescent="0.3">
      <c r="B24" s="34" t="s">
        <v>118</v>
      </c>
      <c r="C24" s="35">
        <v>4752911</v>
      </c>
      <c r="D24" s="35">
        <v>4237242</v>
      </c>
      <c r="E24" s="35">
        <v>4923243</v>
      </c>
      <c r="F24" s="35">
        <v>6618000</v>
      </c>
      <c r="G24" s="35">
        <v>16031000</v>
      </c>
      <c r="I24" s="67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68"/>
      <c r="U24" s="104" t="s">
        <v>119</v>
      </c>
      <c r="V24" s="104"/>
      <c r="W24" s="68"/>
      <c r="Y24" s="24" t="s">
        <v>120</v>
      </c>
      <c r="Z24" s="66">
        <v>70</v>
      </c>
      <c r="AA24" s="54">
        <v>0.318</v>
      </c>
      <c r="AB24" s="25">
        <v>24.8</v>
      </c>
      <c r="AD24" s="47" t="s">
        <v>121</v>
      </c>
    </row>
    <row r="25" spans="2:31" x14ac:dyDescent="0.25">
      <c r="B25" s="34"/>
      <c r="C25" s="35"/>
      <c r="D25" s="35"/>
      <c r="E25" s="35"/>
      <c r="F25" s="35"/>
      <c r="G25" s="35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24"/>
      <c r="T25" s="68"/>
      <c r="U25" s="69" t="s">
        <v>122</v>
      </c>
      <c r="V25" s="70">
        <f>S10</f>
        <v>946886262.24144101</v>
      </c>
      <c r="W25" s="68"/>
      <c r="Y25" s="24" t="s">
        <v>123</v>
      </c>
      <c r="Z25" s="66">
        <v>18.899999999999999</v>
      </c>
      <c r="AA25" s="54">
        <v>0.12</v>
      </c>
      <c r="AB25" s="25">
        <v>2.2999999999999998</v>
      </c>
      <c r="AD25" s="24" t="s">
        <v>124</v>
      </c>
      <c r="AE25" s="25">
        <v>1.4</v>
      </c>
    </row>
    <row r="26" spans="2:31" x14ac:dyDescent="0.25">
      <c r="B26" s="34" t="s">
        <v>125</v>
      </c>
      <c r="C26" s="35">
        <f t="shared" ref="C26:F26" si="12">C28*C14</f>
        <v>30818104.400000002</v>
      </c>
      <c r="D26" s="55">
        <f t="shared" si="12"/>
        <v>51608753.300000004</v>
      </c>
      <c r="E26" s="55">
        <f t="shared" si="12"/>
        <v>56750720</v>
      </c>
      <c r="F26" s="55">
        <f t="shared" si="12"/>
        <v>74047950</v>
      </c>
      <c r="G26" s="55">
        <f>G28*G14</f>
        <v>651215000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68"/>
      <c r="U26" s="69" t="s">
        <v>126</v>
      </c>
      <c r="V26" s="70">
        <f>R18</f>
        <v>24698929.225826349</v>
      </c>
      <c r="W26" s="68"/>
      <c r="Y26" s="24" t="s">
        <v>127</v>
      </c>
      <c r="Z26" s="71">
        <f>SUM(Z20:Z25)</f>
        <v>899.19999999999993</v>
      </c>
      <c r="AA26" s="72">
        <f>AB26/Z26</f>
        <v>0.2018460854092527</v>
      </c>
      <c r="AB26" s="71">
        <f t="shared" ref="AB26" si="13">SUM(AB20:AB25)</f>
        <v>181.5</v>
      </c>
      <c r="AD26" s="24" t="s">
        <v>128</v>
      </c>
      <c r="AE26" s="25">
        <v>2.5</v>
      </c>
    </row>
    <row r="27" spans="2:31" x14ac:dyDescent="0.25">
      <c r="B27" s="34" t="s">
        <v>129</v>
      </c>
      <c r="C27" s="55">
        <f t="shared" ref="C27:F27" si="14">C26+C18-C16</f>
        <v>36013003.400000006</v>
      </c>
      <c r="D27" s="55">
        <f t="shared" si="14"/>
        <v>60356787.300000004</v>
      </c>
      <c r="E27" s="55">
        <f>E26+E18-E16</f>
        <v>66892373</v>
      </c>
      <c r="F27" s="55">
        <f t="shared" si="14"/>
        <v>82248950</v>
      </c>
      <c r="G27" s="55">
        <f>G26+G18-G16</f>
        <v>651847000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68"/>
      <c r="U27" s="69" t="s">
        <v>130</v>
      </c>
      <c r="V27" s="70">
        <f>R16</f>
        <v>58785999.457571596</v>
      </c>
      <c r="W27" s="68"/>
      <c r="Z27" s="25"/>
      <c r="AA27" s="25"/>
      <c r="AD27" s="24" t="s">
        <v>131</v>
      </c>
      <c r="AE27" s="25">
        <v>2.2999999999999998</v>
      </c>
    </row>
    <row r="28" spans="2:31" ht="16.5" x14ac:dyDescent="0.25">
      <c r="B28" s="34" t="s">
        <v>132</v>
      </c>
      <c r="C28" s="40">
        <v>42.74</v>
      </c>
      <c r="D28" s="35">
        <v>62.27</v>
      </c>
      <c r="E28" s="35">
        <v>66.56</v>
      </c>
      <c r="F28" s="35">
        <v>83.67</v>
      </c>
      <c r="G28" s="35">
        <v>695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68"/>
      <c r="U28" s="69" t="s">
        <v>133</v>
      </c>
      <c r="V28" s="70">
        <f>V25-V26+V27</f>
        <v>980973332.47318625</v>
      </c>
      <c r="W28" s="68"/>
      <c r="Y28" s="105" t="s">
        <v>134</v>
      </c>
      <c r="Z28" s="105"/>
      <c r="AA28" s="105"/>
      <c r="AE28" s="25"/>
    </row>
    <row r="29" spans="2:31" x14ac:dyDescent="0.25">
      <c r="B29" s="34"/>
      <c r="D29" s="35"/>
      <c r="E29" s="35"/>
      <c r="F29" s="35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68"/>
      <c r="U29" s="69" t="s">
        <v>135</v>
      </c>
      <c r="V29" s="73">
        <f>V28/R14</f>
        <v>995.99462083898266</v>
      </c>
      <c r="W29" s="68"/>
      <c r="Y29" s="74" t="s">
        <v>98</v>
      </c>
      <c r="Z29" s="75">
        <v>24</v>
      </c>
      <c r="AA29" s="25" t="s">
        <v>136</v>
      </c>
      <c r="AE29" s="25"/>
    </row>
    <row r="30" spans="2:31" x14ac:dyDescent="0.25">
      <c r="B30" s="34" t="s">
        <v>137</v>
      </c>
      <c r="C30" s="35">
        <f>C27/C7</f>
        <v>-65.772610120210842</v>
      </c>
      <c r="D30" s="35">
        <f>D27/D7</f>
        <v>-34.732262096372772</v>
      </c>
      <c r="E30" s="35">
        <f>E27/E7</f>
        <v>-195.77835304998331</v>
      </c>
      <c r="F30" s="35">
        <f>F27/F7</f>
        <v>4112.4475000000002</v>
      </c>
      <c r="G30" s="35">
        <f>G27/G7</f>
        <v>402.12646514497226</v>
      </c>
      <c r="H30" s="76">
        <f>AVERAGE(D30:G30)</f>
        <v>1071.015837499654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68"/>
      <c r="U30" s="69"/>
      <c r="V30" s="69"/>
      <c r="W30" s="68"/>
      <c r="Y30" s="74" t="s">
        <v>138</v>
      </c>
      <c r="Z30" s="75">
        <v>22.9</v>
      </c>
      <c r="AA30" s="25" t="s">
        <v>139</v>
      </c>
      <c r="AE30" s="25"/>
    </row>
    <row r="31" spans="2:31" x14ac:dyDescent="0.25"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68"/>
      <c r="U31" s="69" t="s">
        <v>140</v>
      </c>
      <c r="V31" s="77">
        <v>0.15</v>
      </c>
      <c r="W31" s="68"/>
      <c r="Y31" s="26" t="s">
        <v>141</v>
      </c>
      <c r="Z31" s="40">
        <v>26.3</v>
      </c>
      <c r="AA31" s="25" t="s">
        <v>142</v>
      </c>
      <c r="AE31" s="25"/>
    </row>
    <row r="32" spans="2:31" x14ac:dyDescent="0.25">
      <c r="B32" s="34" t="s">
        <v>143</v>
      </c>
      <c r="D32" s="35"/>
      <c r="E32" s="35"/>
      <c r="F32" s="35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68"/>
      <c r="U32" s="69"/>
      <c r="V32" s="69"/>
      <c r="W32" s="68"/>
      <c r="Y32" s="26" t="s">
        <v>120</v>
      </c>
      <c r="Z32" s="40">
        <v>26</v>
      </c>
      <c r="AA32" s="25" t="s">
        <v>142</v>
      </c>
    </row>
    <row r="33" spans="2:27" x14ac:dyDescent="0.25">
      <c r="B33" s="26" t="s">
        <v>57</v>
      </c>
      <c r="D33" s="35"/>
      <c r="E33" s="35"/>
      <c r="F33" s="35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68"/>
      <c r="U33" s="69" t="s">
        <v>144</v>
      </c>
      <c r="V33" s="78">
        <f>NPV(V31,I10:S10)</f>
        <v>218026548.22822574</v>
      </c>
      <c r="W33" s="68"/>
      <c r="Y33" t="s">
        <v>112</v>
      </c>
      <c r="Z33" s="40">
        <v>30</v>
      </c>
      <c r="AA33" s="25" t="s">
        <v>142</v>
      </c>
    </row>
    <row r="34" spans="2:27" x14ac:dyDescent="0.25">
      <c r="B34" s="26" t="s">
        <v>145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68"/>
      <c r="U34" s="69" t="s">
        <v>132</v>
      </c>
      <c r="V34" s="73">
        <f>V33/R14</f>
        <v>221.36510957736917</v>
      </c>
      <c r="W34" s="68"/>
      <c r="Y34" s="26" t="s">
        <v>146</v>
      </c>
      <c r="Z34" s="35">
        <v>34</v>
      </c>
      <c r="AA34" s="25" t="s">
        <v>147</v>
      </c>
    </row>
    <row r="35" spans="2:27" x14ac:dyDescent="0.25">
      <c r="B35" s="26" t="s">
        <v>148</v>
      </c>
      <c r="D35" s="79"/>
      <c r="E35" s="79"/>
      <c r="F35" s="79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68"/>
      <c r="U35" s="69"/>
      <c r="V35" s="69"/>
      <c r="W35" s="68"/>
    </row>
    <row r="36" spans="2:27" x14ac:dyDescent="0.25">
      <c r="B36" s="26" t="s">
        <v>149</v>
      </c>
      <c r="D36" s="50"/>
      <c r="E36" s="50"/>
      <c r="F36" s="50"/>
      <c r="G36" s="50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68"/>
      <c r="U36" s="69" t="s">
        <v>150</v>
      </c>
      <c r="V36" s="80">
        <v>0.25</v>
      </c>
      <c r="W36" s="68"/>
      <c r="Y36" s="81" t="s">
        <v>139</v>
      </c>
      <c r="Z36" s="82">
        <f>AVERAGE(Z29:Z34)</f>
        <v>27.2</v>
      </c>
    </row>
    <row r="37" spans="2:27" x14ac:dyDescent="0.25"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68"/>
      <c r="U37" s="69" t="s">
        <v>151</v>
      </c>
      <c r="V37" s="73">
        <f>V34*(1-V36)</f>
        <v>166.02383218302688</v>
      </c>
      <c r="W37" s="68"/>
    </row>
    <row r="38" spans="2:27" x14ac:dyDescent="0.25">
      <c r="B38" s="24"/>
      <c r="C38" s="25"/>
      <c r="D38" s="25"/>
      <c r="E38" s="25"/>
      <c r="F38" s="25"/>
      <c r="G38" s="25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68"/>
      <c r="U38" s="68"/>
      <c r="V38" s="68"/>
      <c r="W38" s="68"/>
    </row>
    <row r="39" spans="2:27" x14ac:dyDescent="0.25">
      <c r="B39" s="24"/>
      <c r="C39" s="25"/>
      <c r="D39" s="25"/>
      <c r="E39" s="25"/>
      <c r="F39" s="25"/>
      <c r="G39" s="25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U39" s="24"/>
      <c r="V39" s="24"/>
    </row>
    <row r="40" spans="2:27" x14ac:dyDescent="0.25">
      <c r="B40" s="24"/>
      <c r="C40" s="25"/>
      <c r="D40" s="25"/>
      <c r="E40" s="25"/>
      <c r="F40" s="25"/>
      <c r="G40" s="25"/>
      <c r="I40" s="24"/>
      <c r="J40" s="101" t="s">
        <v>163</v>
      </c>
      <c r="K40" s="24"/>
      <c r="L40" s="24"/>
      <c r="M40" s="24"/>
      <c r="N40" s="24"/>
      <c r="O40" s="24"/>
      <c r="P40" s="24"/>
      <c r="Q40" s="24"/>
      <c r="R40" s="24"/>
      <c r="S40" s="24"/>
      <c r="U40" s="24"/>
      <c r="V40" s="24"/>
    </row>
    <row r="41" spans="2:27" x14ac:dyDescent="0.25">
      <c r="B41" s="24"/>
      <c r="C41" s="25"/>
      <c r="D41" s="25"/>
      <c r="E41" s="25"/>
      <c r="F41" s="25"/>
      <c r="G41" s="25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U41" s="24"/>
      <c r="V41" s="24"/>
    </row>
    <row r="42" spans="2:27" x14ac:dyDescent="0.25">
      <c r="B42" s="24"/>
      <c r="C42" s="25"/>
      <c r="D42" s="25"/>
      <c r="E42" s="25"/>
      <c r="F42" s="25"/>
      <c r="G42" s="25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U42" s="24"/>
      <c r="V42" s="24"/>
    </row>
    <row r="43" spans="2:27" x14ac:dyDescent="0.25">
      <c r="B43" s="24"/>
      <c r="C43" s="25"/>
      <c r="D43" s="25"/>
      <c r="E43" s="25"/>
      <c r="F43" s="25"/>
      <c r="G43" s="25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U43" s="24"/>
      <c r="V43" s="24"/>
    </row>
    <row r="44" spans="2:27" x14ac:dyDescent="0.25">
      <c r="B44" s="24"/>
      <c r="C44" s="25"/>
      <c r="D44" s="25"/>
      <c r="E44" s="25"/>
      <c r="F44" s="25"/>
      <c r="G44" s="2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U44" s="24"/>
      <c r="V44" s="24"/>
    </row>
    <row r="45" spans="2:27" x14ac:dyDescent="0.25">
      <c r="B45" s="24"/>
      <c r="C45" s="25"/>
      <c r="D45" s="25"/>
      <c r="E45" s="25"/>
      <c r="F45" s="25"/>
      <c r="G45" s="25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U45" s="24"/>
      <c r="V45" s="24"/>
    </row>
    <row r="46" spans="2:27" x14ac:dyDescent="0.25">
      <c r="B46" s="24"/>
      <c r="C46" s="25"/>
      <c r="D46" s="25"/>
      <c r="E46" s="25"/>
      <c r="F46" s="25"/>
      <c r="G46" s="25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U46" s="24"/>
      <c r="V46" s="24"/>
    </row>
    <row r="47" spans="2:27" x14ac:dyDescent="0.25">
      <c r="B47" s="24"/>
      <c r="C47" s="25"/>
      <c r="D47" s="25"/>
      <c r="E47" s="25"/>
      <c r="F47" s="25"/>
      <c r="G47" s="25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U47" s="24"/>
      <c r="V47" s="24"/>
    </row>
    <row r="48" spans="2:27" x14ac:dyDescent="0.25">
      <c r="B48" s="24"/>
      <c r="C48" s="25"/>
      <c r="D48" s="25"/>
      <c r="E48" s="25"/>
      <c r="F48" s="25"/>
      <c r="G48" s="25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U48" s="24"/>
      <c r="V48" s="24"/>
    </row>
    <row r="49" spans="2:22" x14ac:dyDescent="0.25">
      <c r="B49" s="24"/>
      <c r="C49" s="25"/>
      <c r="D49" s="25"/>
      <c r="E49" s="25"/>
      <c r="F49" s="25"/>
      <c r="G49" s="25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U49" s="24"/>
      <c r="V49" s="24"/>
    </row>
    <row r="50" spans="2:22" x14ac:dyDescent="0.25">
      <c r="B50" s="24"/>
      <c r="C50" s="25"/>
      <c r="D50" s="25"/>
      <c r="E50" s="25"/>
      <c r="F50" s="25"/>
      <c r="G50" s="25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U50" s="24"/>
      <c r="V50" s="24"/>
    </row>
    <row r="51" spans="2:22" x14ac:dyDescent="0.25">
      <c r="B51" s="24"/>
      <c r="C51" s="25"/>
      <c r="D51" s="25"/>
      <c r="E51" s="25"/>
      <c r="F51" s="25"/>
      <c r="G51" s="25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U51" s="24"/>
      <c r="V51" s="24"/>
    </row>
    <row r="52" spans="2:22" x14ac:dyDescent="0.25">
      <c r="B52" s="24"/>
      <c r="C52" s="25"/>
      <c r="D52" s="25"/>
      <c r="E52" s="25"/>
      <c r="F52" s="25"/>
      <c r="G52" s="25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U52" s="24"/>
      <c r="V52" s="24"/>
    </row>
    <row r="53" spans="2:22" x14ac:dyDescent="0.25">
      <c r="B53" s="24"/>
      <c r="C53" s="25"/>
      <c r="D53" s="25"/>
      <c r="E53" s="25"/>
      <c r="F53" s="25"/>
      <c r="G53" s="25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U53" s="24"/>
      <c r="V53" s="24"/>
    </row>
    <row r="54" spans="2:22" x14ac:dyDescent="0.25">
      <c r="B54" s="24"/>
      <c r="C54" s="25"/>
      <c r="D54" s="25"/>
      <c r="E54" s="25"/>
      <c r="F54" s="25"/>
      <c r="G54" s="25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U54" s="24"/>
      <c r="V54" s="24"/>
    </row>
    <row r="55" spans="2:22" x14ac:dyDescent="0.25">
      <c r="B55" s="24"/>
      <c r="C55" s="25"/>
      <c r="D55" s="25"/>
      <c r="E55" s="25"/>
      <c r="F55" s="25"/>
      <c r="G55" s="25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U55" s="24"/>
      <c r="V55" s="24"/>
    </row>
    <row r="56" spans="2:22" x14ac:dyDescent="0.25">
      <c r="B56" s="24"/>
      <c r="C56" s="25"/>
      <c r="D56" s="25"/>
      <c r="E56" s="25"/>
      <c r="F56" s="25"/>
      <c r="G56" s="25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U56" s="24"/>
      <c r="V56" s="24"/>
    </row>
    <row r="57" spans="2:22" x14ac:dyDescent="0.25">
      <c r="B57" s="24"/>
      <c r="C57" s="25"/>
      <c r="D57" s="25"/>
      <c r="E57" s="25"/>
      <c r="F57" s="25"/>
      <c r="G57" s="25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U57" s="24"/>
      <c r="V57" s="24"/>
    </row>
    <row r="58" spans="2:22" x14ac:dyDescent="0.25">
      <c r="B58" s="24"/>
      <c r="C58" s="25"/>
      <c r="D58" s="25"/>
      <c r="E58" s="25"/>
      <c r="F58" s="25"/>
      <c r="G58" s="25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U58" s="24"/>
      <c r="V58" s="24"/>
    </row>
    <row r="59" spans="2:22" x14ac:dyDescent="0.25">
      <c r="B59" s="24"/>
      <c r="C59" s="25"/>
      <c r="D59" s="25"/>
      <c r="E59" s="25"/>
      <c r="F59" s="25"/>
      <c r="G59" s="25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U59" s="24"/>
      <c r="V59" s="24"/>
    </row>
    <row r="60" spans="2:22" x14ac:dyDescent="0.25">
      <c r="B60" s="24"/>
      <c r="C60" s="25"/>
      <c r="D60" s="25"/>
      <c r="E60" s="25"/>
      <c r="F60" s="25"/>
      <c r="G60" s="25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U60" s="24"/>
      <c r="V60" s="24"/>
    </row>
    <row r="61" spans="2:22" x14ac:dyDescent="0.25">
      <c r="B61" s="24"/>
      <c r="C61" s="25"/>
      <c r="D61" s="25"/>
      <c r="E61" s="25"/>
      <c r="F61" s="25"/>
      <c r="G61" s="25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U61" s="24"/>
      <c r="V61" s="24"/>
    </row>
    <row r="62" spans="2:22" x14ac:dyDescent="0.25">
      <c r="B62" s="24"/>
      <c r="C62" s="25"/>
      <c r="D62" s="25"/>
      <c r="E62" s="25"/>
      <c r="F62" s="25"/>
      <c r="G62" s="25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U62" s="24"/>
      <c r="V62" s="24"/>
    </row>
    <row r="63" spans="2:22" x14ac:dyDescent="0.25">
      <c r="B63" s="24"/>
      <c r="C63" s="25"/>
      <c r="D63" s="25"/>
      <c r="E63" s="25"/>
      <c r="F63" s="25"/>
      <c r="G63" s="25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U63" s="24"/>
      <c r="V63" s="24"/>
    </row>
    <row r="64" spans="2:22" x14ac:dyDescent="0.25">
      <c r="B64" s="24"/>
      <c r="C64" s="25"/>
      <c r="D64" s="25"/>
      <c r="E64" s="25"/>
      <c r="F64" s="25"/>
      <c r="G64" s="25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U64" s="24"/>
      <c r="V64" s="24"/>
    </row>
    <row r="65" spans="2:22" x14ac:dyDescent="0.25">
      <c r="B65" s="24"/>
      <c r="C65" s="25"/>
      <c r="D65" s="25"/>
      <c r="E65" s="25"/>
      <c r="F65" s="25"/>
      <c r="G65" s="25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U65" s="24"/>
      <c r="V65" s="24"/>
    </row>
    <row r="66" spans="2:22" x14ac:dyDescent="0.25">
      <c r="B66" s="24"/>
      <c r="C66" s="25"/>
      <c r="D66" s="25"/>
      <c r="E66" s="25"/>
      <c r="F66" s="25"/>
      <c r="G66" s="25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U66" s="24"/>
      <c r="V66" s="24"/>
    </row>
    <row r="67" spans="2:22" x14ac:dyDescent="0.25">
      <c r="B67" s="24"/>
      <c r="C67" s="25"/>
      <c r="D67" s="25"/>
      <c r="E67" s="25"/>
      <c r="F67" s="25"/>
      <c r="G67" s="25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U67" s="24"/>
      <c r="V67" s="24"/>
    </row>
    <row r="68" spans="2:22" x14ac:dyDescent="0.25">
      <c r="B68" s="24"/>
      <c r="C68" s="25"/>
      <c r="D68" s="25"/>
      <c r="E68" s="25"/>
      <c r="F68" s="25"/>
      <c r="G68" s="25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U68" s="24"/>
      <c r="V68" s="24"/>
    </row>
    <row r="69" spans="2:22" x14ac:dyDescent="0.25">
      <c r="B69" s="24"/>
      <c r="C69" s="25"/>
      <c r="D69" s="25"/>
      <c r="E69" s="25"/>
      <c r="F69" s="25"/>
      <c r="G69" s="25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U69" s="24"/>
      <c r="V69" s="24"/>
    </row>
    <row r="70" spans="2:22" x14ac:dyDescent="0.25">
      <c r="B70" s="24"/>
      <c r="C70" s="25"/>
      <c r="D70" s="25"/>
      <c r="E70" s="25"/>
      <c r="F70" s="25"/>
      <c r="G70" s="25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U70" s="24"/>
      <c r="V70" s="24"/>
    </row>
    <row r="71" spans="2:22" x14ac:dyDescent="0.25">
      <c r="B71" s="24"/>
      <c r="C71" s="25"/>
      <c r="D71" s="25"/>
      <c r="E71" s="25"/>
      <c r="F71" s="25"/>
      <c r="G71" s="25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U71" s="24"/>
      <c r="V71" s="24"/>
    </row>
    <row r="72" spans="2:22" x14ac:dyDescent="0.25">
      <c r="B72" s="24"/>
      <c r="C72" s="25"/>
      <c r="D72" s="25"/>
      <c r="E72" s="25"/>
      <c r="F72" s="25"/>
      <c r="G72" s="25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U72" s="24"/>
      <c r="V72" s="24"/>
    </row>
    <row r="73" spans="2:22" x14ac:dyDescent="0.25">
      <c r="B73" s="24"/>
      <c r="C73" s="25"/>
      <c r="D73" s="25"/>
      <c r="E73" s="25"/>
      <c r="F73" s="25"/>
      <c r="G73" s="25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U73" s="24"/>
      <c r="V73" s="24"/>
    </row>
    <row r="74" spans="2:22" x14ac:dyDescent="0.25">
      <c r="B74" s="24"/>
      <c r="C74" s="25"/>
      <c r="D74" s="25"/>
      <c r="E74" s="25"/>
      <c r="F74" s="25"/>
      <c r="G74" s="25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U74" s="24"/>
      <c r="V74" s="24"/>
    </row>
    <row r="75" spans="2:22" x14ac:dyDescent="0.25">
      <c r="B75" s="24"/>
      <c r="C75" s="25"/>
      <c r="D75" s="25"/>
      <c r="E75" s="25"/>
      <c r="F75" s="25"/>
      <c r="G75" s="25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U75" s="24"/>
      <c r="V75" s="24"/>
    </row>
    <row r="76" spans="2:22" x14ac:dyDescent="0.25">
      <c r="B76" s="24"/>
      <c r="C76" s="25"/>
      <c r="D76" s="25"/>
      <c r="E76" s="25"/>
      <c r="F76" s="25"/>
      <c r="G76" s="25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U76" s="24"/>
      <c r="V76" s="24"/>
    </row>
    <row r="77" spans="2:22" x14ac:dyDescent="0.25">
      <c r="B77" s="24"/>
      <c r="C77" s="25"/>
      <c r="D77" s="25"/>
      <c r="E77" s="25"/>
      <c r="F77" s="25"/>
      <c r="G77" s="25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U77" s="24"/>
      <c r="V77" s="24"/>
    </row>
    <row r="78" spans="2:22" x14ac:dyDescent="0.25">
      <c r="B78" s="24"/>
      <c r="C78" s="25"/>
      <c r="D78" s="25"/>
      <c r="E78" s="25"/>
      <c r="F78" s="25"/>
      <c r="G78" s="25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U78" s="24"/>
      <c r="V78" s="24"/>
    </row>
    <row r="79" spans="2:22" x14ac:dyDescent="0.25">
      <c r="B79" s="24"/>
      <c r="C79" s="25"/>
      <c r="D79" s="25"/>
      <c r="E79" s="25"/>
      <c r="F79" s="25"/>
      <c r="G79" s="25"/>
    </row>
    <row r="80" spans="2:22" x14ac:dyDescent="0.25">
      <c r="B80" s="24"/>
      <c r="C80" s="25"/>
      <c r="D80" s="25"/>
      <c r="E80" s="25"/>
      <c r="F80" s="25"/>
      <c r="G80" s="25"/>
    </row>
    <row r="81" spans="2:7" x14ac:dyDescent="0.25">
      <c r="B81" s="24"/>
      <c r="C81" s="25"/>
      <c r="D81" s="25"/>
      <c r="E81" s="25"/>
      <c r="F81" s="25"/>
      <c r="G81" s="25"/>
    </row>
    <row r="82" spans="2:7" x14ac:dyDescent="0.25">
      <c r="B82" s="24"/>
      <c r="C82" s="25"/>
      <c r="D82" s="25"/>
      <c r="E82" s="25"/>
      <c r="F82" s="25"/>
      <c r="G82" s="25"/>
    </row>
    <row r="83" spans="2:7" x14ac:dyDescent="0.25">
      <c r="B83" s="24"/>
      <c r="C83" s="25"/>
      <c r="D83" s="25"/>
      <c r="E83" s="25"/>
      <c r="F83" s="25"/>
      <c r="G83" s="25"/>
    </row>
    <row r="84" spans="2:7" x14ac:dyDescent="0.25">
      <c r="B84" s="24"/>
      <c r="C84" s="25"/>
      <c r="D84" s="25"/>
      <c r="E84" s="25"/>
      <c r="F84" s="25"/>
      <c r="G84" s="25"/>
    </row>
    <row r="85" spans="2:7" x14ac:dyDescent="0.25">
      <c r="B85" s="24"/>
      <c r="C85" s="25"/>
      <c r="D85" s="25"/>
      <c r="E85" s="25"/>
      <c r="F85" s="25"/>
      <c r="G85" s="25"/>
    </row>
    <row r="86" spans="2:7" x14ac:dyDescent="0.25">
      <c r="B86" s="24"/>
      <c r="C86" s="25"/>
      <c r="D86" s="25"/>
      <c r="E86" s="25"/>
      <c r="F86" s="25"/>
      <c r="G86" s="25"/>
    </row>
    <row r="87" spans="2:7" x14ac:dyDescent="0.25">
      <c r="B87" s="24"/>
      <c r="C87" s="25"/>
      <c r="D87" s="25"/>
      <c r="E87" s="25"/>
      <c r="F87" s="25"/>
      <c r="G87" s="25"/>
    </row>
    <row r="88" spans="2:7" x14ac:dyDescent="0.25">
      <c r="B88" s="24"/>
      <c r="C88" s="25"/>
      <c r="D88" s="25"/>
      <c r="E88" s="25"/>
      <c r="F88" s="25"/>
      <c r="G88" s="25"/>
    </row>
    <row r="89" spans="2:7" x14ac:dyDescent="0.25">
      <c r="B89" s="24"/>
      <c r="C89" s="25"/>
      <c r="D89" s="25"/>
      <c r="E89" s="25"/>
      <c r="F89" s="25"/>
      <c r="G89" s="25"/>
    </row>
    <row r="90" spans="2:7" x14ac:dyDescent="0.25">
      <c r="B90" s="24"/>
      <c r="C90" s="25"/>
      <c r="D90" s="25"/>
      <c r="E90" s="25"/>
      <c r="F90" s="25"/>
      <c r="G90" s="25"/>
    </row>
    <row r="91" spans="2:7" x14ac:dyDescent="0.25">
      <c r="B91" s="24"/>
      <c r="C91" s="25"/>
      <c r="D91" s="25"/>
      <c r="E91" s="25"/>
      <c r="F91" s="25"/>
      <c r="G91" s="25"/>
    </row>
    <row r="92" spans="2:7" x14ac:dyDescent="0.25">
      <c r="B92" s="24"/>
      <c r="C92" s="25"/>
      <c r="D92" s="25"/>
      <c r="E92" s="25"/>
      <c r="F92" s="25"/>
      <c r="G92" s="25"/>
    </row>
    <row r="93" spans="2:7" x14ac:dyDescent="0.25">
      <c r="B93" s="24"/>
      <c r="C93" s="25"/>
      <c r="D93" s="25"/>
      <c r="E93" s="25"/>
      <c r="F93" s="25"/>
      <c r="G93" s="25"/>
    </row>
  </sheetData>
  <mergeCells count="8">
    <mergeCell ref="U24:V24"/>
    <mergeCell ref="Y28:AA28"/>
    <mergeCell ref="B2:G2"/>
    <mergeCell ref="I2:S2"/>
    <mergeCell ref="U3:V3"/>
    <mergeCell ref="Y3:Z3"/>
    <mergeCell ref="Y8:AA8"/>
    <mergeCell ref="Y18:AA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9BBF-9146-45D0-B2CE-B689733DBCF0}">
  <dimension ref="B1:T40"/>
  <sheetViews>
    <sheetView tabSelected="1" workbookViewId="0">
      <selection activeCell="J5" sqref="J5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5" width="20.5703125" style="1" bestFit="1" customWidth="1"/>
    <col min="6" max="6" width="21.85546875" style="1" bestFit="1" customWidth="1"/>
    <col min="7" max="8" width="20.5703125" style="1" bestFit="1" customWidth="1"/>
    <col min="10" max="10" width="15.85546875" bestFit="1" customWidth="1"/>
    <col min="11" max="15" width="20.5703125" bestFit="1" customWidth="1"/>
    <col min="16" max="16" width="20.5703125" customWidth="1"/>
    <col min="17" max="17" width="31.7109375" style="87" customWidth="1"/>
    <col min="18" max="18" width="32.28515625" bestFit="1" customWidth="1"/>
    <col min="19" max="19" width="22.42578125" bestFit="1" customWidth="1"/>
    <col min="20" max="20" width="19.140625" bestFit="1" customWidth="1"/>
  </cols>
  <sheetData>
    <row r="1" spans="2:19" x14ac:dyDescent="0.25">
      <c r="B1" s="1" t="s">
        <v>160</v>
      </c>
    </row>
    <row r="2" spans="2:19" x14ac:dyDescent="0.25">
      <c r="C2" s="102" t="s">
        <v>16</v>
      </c>
      <c r="D2" s="102"/>
      <c r="E2" s="102"/>
      <c r="F2" s="102"/>
      <c r="G2" s="102"/>
      <c r="H2" s="102"/>
      <c r="I2" s="100">
        <v>5</v>
      </c>
      <c r="J2" s="100" t="s">
        <v>34</v>
      </c>
      <c r="K2" s="102" t="s">
        <v>17</v>
      </c>
      <c r="L2" s="102"/>
      <c r="M2" s="102"/>
      <c r="N2" s="102"/>
      <c r="O2" s="102"/>
      <c r="P2" s="1"/>
      <c r="Q2" s="88"/>
      <c r="R2" s="103" t="s">
        <v>19</v>
      </c>
      <c r="S2" s="103"/>
    </row>
    <row r="3" spans="2:19" x14ac:dyDescent="0.25">
      <c r="B3" s="2">
        <v>44409</v>
      </c>
      <c r="C3" s="99"/>
      <c r="D3" s="1">
        <v>2016</v>
      </c>
      <c r="E3" s="99">
        <v>2017</v>
      </c>
      <c r="F3" s="99">
        <v>2018</v>
      </c>
      <c r="G3" s="99">
        <v>2019</v>
      </c>
      <c r="H3" s="99">
        <v>2020</v>
      </c>
      <c r="I3" s="100"/>
      <c r="J3" s="100"/>
      <c r="K3" s="99">
        <v>2021</v>
      </c>
      <c r="L3" s="99">
        <v>2022</v>
      </c>
      <c r="M3" s="99">
        <v>2023</v>
      </c>
      <c r="N3" s="99">
        <v>2024</v>
      </c>
      <c r="O3" s="99">
        <v>2025</v>
      </c>
      <c r="P3" s="99"/>
      <c r="Q3" s="89"/>
      <c r="R3" s="1" t="s">
        <v>154</v>
      </c>
    </row>
    <row r="4" spans="2:19" x14ac:dyDescent="0.25">
      <c r="B4" s="20" t="s">
        <v>0</v>
      </c>
      <c r="C4" s="13"/>
      <c r="D4" s="13">
        <v>7887000000</v>
      </c>
      <c r="E4" s="13">
        <v>8202000000</v>
      </c>
      <c r="F4" s="13">
        <v>8513000000</v>
      </c>
      <c r="G4" s="13">
        <v>9039000000</v>
      </c>
      <c r="H4" s="13">
        <v>9352000000</v>
      </c>
      <c r="I4" s="90"/>
      <c r="J4" s="91"/>
      <c r="K4" s="13">
        <f>H4*(1+K5)</f>
        <v>9632560000</v>
      </c>
      <c r="L4" s="13">
        <f>K4*(1+L5)</f>
        <v>9921536800</v>
      </c>
      <c r="M4" s="13">
        <f t="shared" ref="M4:O4" si="0">L4*(1+M5)</f>
        <v>10219182904</v>
      </c>
      <c r="N4" s="13">
        <f t="shared" si="0"/>
        <v>10525758391.120001</v>
      </c>
      <c r="O4" s="13">
        <f t="shared" si="0"/>
        <v>10841531142.853601</v>
      </c>
      <c r="P4" s="1"/>
      <c r="Q4" s="88" t="s">
        <v>0</v>
      </c>
    </row>
    <row r="5" spans="2:19" x14ac:dyDescent="0.25">
      <c r="B5" s="96" t="s">
        <v>1</v>
      </c>
      <c r="C5" s="16"/>
      <c r="D5" s="16" t="e">
        <f>(D4-C4)/C4</f>
        <v>#DIV/0!</v>
      </c>
      <c r="E5" s="16">
        <f t="shared" ref="E5:H5" si="1">(E4-D4)/D4</f>
        <v>3.9939140357550397E-2</v>
      </c>
      <c r="F5" s="16">
        <f t="shared" si="1"/>
        <v>3.7917581077785908E-2</v>
      </c>
      <c r="G5" s="16">
        <f t="shared" si="1"/>
        <v>6.178785387055092E-2</v>
      </c>
      <c r="H5" s="16">
        <f t="shared" si="1"/>
        <v>3.4627724305786041E-2</v>
      </c>
      <c r="I5" s="16"/>
      <c r="J5" s="16">
        <f>(H4/D4)^(1/I2)-1</f>
        <v>3.4662077203760022E-2</v>
      </c>
      <c r="K5" s="16">
        <f>$S$5</f>
        <v>0.03</v>
      </c>
      <c r="L5" s="16">
        <f>$S$5</f>
        <v>0.03</v>
      </c>
      <c r="M5" s="16">
        <f>$S$5</f>
        <v>0.03</v>
      </c>
      <c r="N5" s="16">
        <f>$S$5</f>
        <v>0.03</v>
      </c>
      <c r="O5" s="16">
        <f>$S$5</f>
        <v>0.03</v>
      </c>
      <c r="P5" s="1"/>
      <c r="Q5" s="88" t="s">
        <v>1</v>
      </c>
      <c r="R5" s="1" t="s">
        <v>20</v>
      </c>
      <c r="S5" s="5">
        <v>0.03</v>
      </c>
    </row>
    <row r="6" spans="2:19" x14ac:dyDescent="0.25">
      <c r="C6" s="99"/>
      <c r="D6" s="99"/>
      <c r="E6" s="99"/>
      <c r="F6" s="99"/>
      <c r="G6" s="99"/>
      <c r="H6" s="99"/>
      <c r="I6" s="100"/>
      <c r="J6" s="100"/>
      <c r="K6" s="99"/>
      <c r="L6" s="99"/>
      <c r="M6" s="99"/>
      <c r="N6" s="99"/>
      <c r="O6" s="99"/>
      <c r="P6" s="1"/>
      <c r="Q6" s="88"/>
      <c r="R6" s="1"/>
      <c r="S6" s="5"/>
    </row>
    <row r="7" spans="2:19" x14ac:dyDescent="0.25">
      <c r="B7" s="20" t="s">
        <v>5</v>
      </c>
      <c r="C7" s="13"/>
      <c r="D7" s="13">
        <v>1277000000</v>
      </c>
      <c r="E7" s="13">
        <v>1489000000</v>
      </c>
      <c r="F7" s="13">
        <v>1786000000</v>
      </c>
      <c r="G7" s="13">
        <v>2256000000</v>
      </c>
      <c r="H7" s="13">
        <v>1716000000</v>
      </c>
      <c r="I7" s="91"/>
      <c r="J7" s="91"/>
      <c r="K7" s="13">
        <f>K4*K8</f>
        <v>1926512000</v>
      </c>
      <c r="L7" s="13">
        <f t="shared" ref="L7:O7" si="2">L4*L8</f>
        <v>1984307360</v>
      </c>
      <c r="M7" s="13">
        <f t="shared" si="2"/>
        <v>2043836580.8000002</v>
      </c>
      <c r="N7" s="13">
        <f t="shared" si="2"/>
        <v>2105151678.2240002</v>
      </c>
      <c r="O7" s="13">
        <f t="shared" si="2"/>
        <v>2168306228.5707202</v>
      </c>
      <c r="Q7" s="88" t="s">
        <v>5</v>
      </c>
      <c r="R7" s="1"/>
    </row>
    <row r="8" spans="2:19" x14ac:dyDescent="0.25">
      <c r="B8" s="15" t="s">
        <v>2</v>
      </c>
      <c r="C8" s="16"/>
      <c r="D8" s="16">
        <f>D7/D4</f>
        <v>0.16191200710029163</v>
      </c>
      <c r="E8" s="16">
        <f t="shared" ref="E8:H8" si="3">E7/E4</f>
        <v>0.18154108753962447</v>
      </c>
      <c r="F8" s="16">
        <f t="shared" si="3"/>
        <v>0.20979678139316341</v>
      </c>
      <c r="G8" s="16">
        <f t="shared" si="3"/>
        <v>0.24958513109857286</v>
      </c>
      <c r="H8" s="16">
        <f t="shared" si="3"/>
        <v>0.1834901625320787</v>
      </c>
      <c r="I8" s="92"/>
      <c r="J8" s="16">
        <f>AVERAGE(C8:H8)</f>
        <v>0.19726503393274622</v>
      </c>
      <c r="K8" s="16">
        <f>$S$8</f>
        <v>0.2</v>
      </c>
      <c r="L8" s="16">
        <f t="shared" ref="L8:O8" si="4">$S$8</f>
        <v>0.2</v>
      </c>
      <c r="M8" s="16">
        <f t="shared" si="4"/>
        <v>0.2</v>
      </c>
      <c r="N8" s="16">
        <f t="shared" si="4"/>
        <v>0.2</v>
      </c>
      <c r="O8" s="16">
        <f t="shared" si="4"/>
        <v>0.2</v>
      </c>
      <c r="P8" s="1"/>
      <c r="Q8" s="88" t="s">
        <v>2</v>
      </c>
      <c r="R8" s="1" t="s">
        <v>21</v>
      </c>
      <c r="S8" s="5">
        <v>0.2</v>
      </c>
    </row>
    <row r="9" spans="2:19" x14ac:dyDescent="0.25">
      <c r="C9" s="99"/>
      <c r="D9" s="99"/>
      <c r="E9" s="99"/>
      <c r="F9" s="99"/>
      <c r="G9" s="99"/>
      <c r="H9" s="99"/>
      <c r="I9" s="100"/>
      <c r="J9" s="100"/>
      <c r="K9" s="99"/>
      <c r="L9" s="99"/>
      <c r="M9" s="99"/>
      <c r="N9" s="99"/>
      <c r="O9" s="99"/>
      <c r="P9" s="1"/>
      <c r="Q9" s="88"/>
    </row>
    <row r="10" spans="2:19" x14ac:dyDescent="0.25">
      <c r="B10" s="20" t="s">
        <v>18</v>
      </c>
      <c r="C10" s="13"/>
      <c r="D10" s="13">
        <v>420000000</v>
      </c>
      <c r="E10" s="13">
        <v>568000000</v>
      </c>
      <c r="F10" s="13">
        <v>695000000</v>
      </c>
      <c r="G10" s="13">
        <v>1044000000</v>
      </c>
      <c r="H10" s="13">
        <v>1020000000</v>
      </c>
      <c r="I10" s="91"/>
      <c r="J10" s="91"/>
      <c r="K10" s="13">
        <f>K4*K11</f>
        <v>963256000</v>
      </c>
      <c r="L10" s="13">
        <f t="shared" ref="L10:O10" si="5">L4*L11</f>
        <v>992153680</v>
      </c>
      <c r="M10" s="13">
        <f t="shared" si="5"/>
        <v>1021918290.4000001</v>
      </c>
      <c r="N10" s="13">
        <f t="shared" si="5"/>
        <v>1052575839.1120001</v>
      </c>
      <c r="O10" s="13">
        <f t="shared" si="5"/>
        <v>1084153114.2853601</v>
      </c>
      <c r="P10" s="1"/>
      <c r="Q10" s="88" t="s">
        <v>18</v>
      </c>
    </row>
    <row r="11" spans="2:19" x14ac:dyDescent="0.25">
      <c r="B11" s="15" t="s">
        <v>2</v>
      </c>
      <c r="C11" s="16"/>
      <c r="D11" s="16">
        <f t="shared" ref="D11:H11" si="6">D10/D4</f>
        <v>5.3252187143400534E-2</v>
      </c>
      <c r="E11" s="16">
        <f>E10/E4</f>
        <v>6.9251402097049497E-2</v>
      </c>
      <c r="F11" s="16">
        <f t="shared" si="6"/>
        <v>8.1639844943028311E-2</v>
      </c>
      <c r="G11" s="16">
        <f t="shared" si="6"/>
        <v>0.11549950215731829</v>
      </c>
      <c r="H11" s="16">
        <f t="shared" si="6"/>
        <v>0.10906757912745936</v>
      </c>
      <c r="I11" s="92"/>
      <c r="J11" s="16">
        <f>AVERAGE(C11:H11)</f>
        <v>8.5742103093651198E-2</v>
      </c>
      <c r="K11" s="16">
        <f>$S$11</f>
        <v>0.1</v>
      </c>
      <c r="L11" s="16">
        <f t="shared" ref="L11:O11" si="7">$S$11</f>
        <v>0.1</v>
      </c>
      <c r="M11" s="16">
        <f t="shared" si="7"/>
        <v>0.1</v>
      </c>
      <c r="N11" s="16">
        <f t="shared" si="7"/>
        <v>0.1</v>
      </c>
      <c r="O11" s="16">
        <f t="shared" si="7"/>
        <v>0.1</v>
      </c>
      <c r="P11" s="1"/>
      <c r="Q11" s="88" t="s">
        <v>2</v>
      </c>
      <c r="R11" s="1" t="s">
        <v>22</v>
      </c>
      <c r="S11" s="5">
        <v>0.1</v>
      </c>
    </row>
    <row r="12" spans="2:19" x14ac:dyDescent="0.25">
      <c r="B12" s="20" t="s">
        <v>161</v>
      </c>
      <c r="C12" s="99"/>
      <c r="D12" s="13">
        <v>3.58088235294117</v>
      </c>
      <c r="E12" s="13">
        <v>7.3181818181818103</v>
      </c>
      <c r="F12" s="13">
        <v>5.9692307692307596</v>
      </c>
      <c r="G12" s="13">
        <v>11.2037647058823</v>
      </c>
      <c r="H12" s="13">
        <v>14.0047058823529</v>
      </c>
      <c r="I12" s="100"/>
      <c r="J12" s="100"/>
      <c r="K12" s="99"/>
      <c r="L12" s="99"/>
      <c r="M12" s="99"/>
      <c r="N12" s="99"/>
      <c r="O12" s="99"/>
      <c r="P12" s="1"/>
      <c r="Q12" s="88"/>
    </row>
    <row r="13" spans="2:19" x14ac:dyDescent="0.25">
      <c r="B13" s="97" t="s">
        <v>3</v>
      </c>
      <c r="C13" s="13"/>
      <c r="D13" s="13">
        <f>D17*D12</f>
        <v>486999999.99999911</v>
      </c>
      <c r="E13" s="13">
        <f t="shared" ref="E13:H13" si="8">E17*E12</f>
        <v>965999999.99999893</v>
      </c>
      <c r="F13" s="13">
        <f t="shared" si="8"/>
        <v>775999999.99999869</v>
      </c>
      <c r="G13" s="13">
        <f t="shared" si="8"/>
        <v>1487999999.9999928</v>
      </c>
      <c r="H13" s="13">
        <f t="shared" si="8"/>
        <v>1859999999.9999945</v>
      </c>
      <c r="I13" s="91"/>
      <c r="J13" s="91"/>
      <c r="K13" s="13">
        <f>K7*K15</f>
        <v>1059581600.0000001</v>
      </c>
      <c r="L13" s="13">
        <f t="shared" ref="L13:O13" si="9">L7*L15</f>
        <v>1091369048</v>
      </c>
      <c r="M13" s="13">
        <f t="shared" si="9"/>
        <v>1124110119.4400003</v>
      </c>
      <c r="N13" s="13">
        <f t="shared" si="9"/>
        <v>1157833423.0232003</v>
      </c>
      <c r="O13" s="13">
        <f t="shared" si="9"/>
        <v>1192568425.7138963</v>
      </c>
      <c r="P13" s="14">
        <f>O7*S21</f>
        <v>43366124571.414406</v>
      </c>
      <c r="Q13" s="88" t="s">
        <v>3</v>
      </c>
    </row>
    <row r="14" spans="2:19" x14ac:dyDescent="0.25">
      <c r="B14" s="12" t="s">
        <v>36</v>
      </c>
      <c r="C14" s="17"/>
      <c r="D14" s="17">
        <f t="shared" ref="D14:H14" si="10">D13/D10</f>
        <v>1.1595238095238074</v>
      </c>
      <c r="E14" s="17">
        <f t="shared" si="10"/>
        <v>1.7007042253521107</v>
      </c>
      <c r="F14" s="17">
        <f t="shared" si="10"/>
        <v>1.1165467625899261</v>
      </c>
      <c r="G14" s="17">
        <f t="shared" si="10"/>
        <v>1.4252873563218322</v>
      </c>
      <c r="H14" s="17">
        <f t="shared" si="10"/>
        <v>1.8235294117647005</v>
      </c>
      <c r="I14" s="91"/>
      <c r="J14" s="17"/>
      <c r="K14" s="93"/>
      <c r="L14" s="93"/>
      <c r="M14" s="93"/>
      <c r="N14" s="93"/>
      <c r="O14" s="93"/>
      <c r="P14" s="1"/>
      <c r="Q14" s="88" t="s">
        <v>36</v>
      </c>
    </row>
    <row r="15" spans="2:19" x14ac:dyDescent="0.25">
      <c r="B15" s="15" t="s">
        <v>4</v>
      </c>
      <c r="C15" s="16"/>
      <c r="D15" s="16">
        <f>D13/D7</f>
        <v>0.38136256851996797</v>
      </c>
      <c r="E15" s="16">
        <f t="shared" ref="E15:H15" si="11">E13/E7</f>
        <v>0.64875755540631219</v>
      </c>
      <c r="F15" s="16">
        <f t="shared" si="11"/>
        <v>0.43449048152295561</v>
      </c>
      <c r="G15" s="16">
        <f t="shared" si="11"/>
        <v>0.65957446808510323</v>
      </c>
      <c r="H15" s="16">
        <f t="shared" si="11"/>
        <v>1.0839160839160806</v>
      </c>
      <c r="I15" s="92"/>
      <c r="J15" s="16">
        <f>AVERAGE(C15:H15)</f>
        <v>0.64162023149008385</v>
      </c>
      <c r="K15" s="16">
        <f>$S$15</f>
        <v>0.55000000000000004</v>
      </c>
      <c r="L15" s="16">
        <f>$S$15</f>
        <v>0.55000000000000004</v>
      </c>
      <c r="M15" s="16">
        <f>$S$15</f>
        <v>0.55000000000000004</v>
      </c>
      <c r="N15" s="16">
        <f>$S$15</f>
        <v>0.55000000000000004</v>
      </c>
      <c r="O15" s="16">
        <f>$S$15</f>
        <v>0.55000000000000004</v>
      </c>
      <c r="P15" s="1"/>
      <c r="Q15" s="15" t="s">
        <v>4</v>
      </c>
      <c r="R15" s="1" t="s">
        <v>45</v>
      </c>
      <c r="S15" s="5">
        <v>0.55000000000000004</v>
      </c>
    </row>
    <row r="16" spans="2:19" x14ac:dyDescent="0.25">
      <c r="D16" s="99"/>
      <c r="E16" s="99"/>
      <c r="F16" s="99"/>
      <c r="G16" s="99"/>
      <c r="H16" s="99"/>
      <c r="I16" s="100"/>
      <c r="J16" s="93"/>
      <c r="K16" s="93"/>
      <c r="L16" s="93"/>
      <c r="M16" s="93"/>
      <c r="N16" s="93"/>
      <c r="O16" s="93"/>
      <c r="P16" s="1"/>
      <c r="Q16" s="88" t="s">
        <v>6</v>
      </c>
      <c r="R16" s="1" t="s">
        <v>23</v>
      </c>
      <c r="S16" s="5">
        <v>0</v>
      </c>
    </row>
    <row r="17" spans="2:20" x14ac:dyDescent="0.25">
      <c r="B17" s="22" t="s">
        <v>39</v>
      </c>
      <c r="C17" s="7"/>
      <c r="D17" s="13">
        <v>136000000</v>
      </c>
      <c r="E17" s="13">
        <v>132000000</v>
      </c>
      <c r="F17" s="13">
        <v>130000000</v>
      </c>
      <c r="G17" s="13">
        <v>132812500</v>
      </c>
      <c r="H17" s="13">
        <v>132812500</v>
      </c>
      <c r="I17" s="100"/>
      <c r="J17" s="7">
        <f>H17</f>
        <v>132812500</v>
      </c>
      <c r="K17" s="7">
        <f>J17</f>
        <v>132812500</v>
      </c>
      <c r="L17" s="7">
        <f t="shared" ref="L17:O17" si="12">K17</f>
        <v>132812500</v>
      </c>
      <c r="M17" s="7">
        <f t="shared" si="12"/>
        <v>132812500</v>
      </c>
      <c r="N17" s="7">
        <f t="shared" si="12"/>
        <v>132812500</v>
      </c>
      <c r="O17" s="7">
        <f t="shared" si="12"/>
        <v>132812500</v>
      </c>
      <c r="P17" s="1"/>
      <c r="Q17" s="88"/>
      <c r="R17" s="1" t="s">
        <v>24</v>
      </c>
      <c r="S17" s="5">
        <v>0</v>
      </c>
    </row>
    <row r="18" spans="2:20" x14ac:dyDescent="0.25">
      <c r="C18" s="4"/>
      <c r="D18" s="13"/>
      <c r="E18" s="13"/>
      <c r="F18" s="13"/>
      <c r="G18" s="13"/>
      <c r="H18" s="13"/>
      <c r="I18" s="100"/>
      <c r="J18" s="100"/>
      <c r="K18" s="99"/>
      <c r="L18" s="99"/>
      <c r="M18" s="99"/>
      <c r="N18" s="99"/>
      <c r="O18" s="99"/>
      <c r="P18" s="1"/>
      <c r="Q18" s="88" t="s">
        <v>7</v>
      </c>
      <c r="R18" s="1" t="s">
        <v>25</v>
      </c>
      <c r="S18" s="5">
        <v>0</v>
      </c>
    </row>
    <row r="19" spans="2:20" x14ac:dyDescent="0.25">
      <c r="B19" s="22" t="s">
        <v>162</v>
      </c>
      <c r="C19" s="99"/>
      <c r="D19" s="13">
        <v>870000000</v>
      </c>
      <c r="E19" s="13">
        <v>1030000000</v>
      </c>
      <c r="F19" s="13">
        <v>1033000000</v>
      </c>
      <c r="G19" s="13">
        <v>887000000</v>
      </c>
      <c r="H19" s="13">
        <v>2089000000</v>
      </c>
      <c r="I19" s="100"/>
      <c r="J19" s="100"/>
      <c r="K19" s="99"/>
      <c r="L19" s="99"/>
      <c r="M19" s="99"/>
      <c r="N19" s="99"/>
      <c r="O19" s="99"/>
      <c r="P19" s="1"/>
      <c r="Q19" s="88" t="s">
        <v>8</v>
      </c>
      <c r="R19" s="1"/>
    </row>
    <row r="20" spans="2:20" x14ac:dyDescent="0.25">
      <c r="B20" s="22" t="s">
        <v>8</v>
      </c>
      <c r="C20" s="99"/>
      <c r="D20" s="13">
        <v>3865000000</v>
      </c>
      <c r="E20" s="13">
        <v>4535000000</v>
      </c>
      <c r="F20" s="13">
        <v>4604000000</v>
      </c>
      <c r="G20" s="13">
        <v>5803000000</v>
      </c>
      <c r="H20" s="13">
        <v>6724000000</v>
      </c>
      <c r="I20" s="100"/>
      <c r="J20" s="100"/>
      <c r="K20" s="99"/>
      <c r="L20" s="99"/>
      <c r="M20" s="99"/>
      <c r="N20" s="99"/>
      <c r="O20" s="99"/>
      <c r="P20" s="1"/>
      <c r="Q20" s="88" t="s">
        <v>9</v>
      </c>
      <c r="R20" s="1"/>
      <c r="S20" s="11"/>
    </row>
    <row r="21" spans="2:20" x14ac:dyDescent="0.25">
      <c r="B21" s="1" t="s">
        <v>9</v>
      </c>
      <c r="C21" s="99"/>
      <c r="D21" s="99"/>
      <c r="E21" s="99"/>
      <c r="F21" s="99"/>
      <c r="G21" s="99"/>
      <c r="H21" s="99"/>
      <c r="I21" s="100"/>
      <c r="J21" s="93"/>
      <c r="K21" s="99"/>
      <c r="L21" s="99"/>
      <c r="M21" s="99"/>
      <c r="N21" s="99"/>
      <c r="O21" s="99"/>
      <c r="P21" s="1"/>
      <c r="Q21" s="88"/>
      <c r="R21" s="1" t="s">
        <v>26</v>
      </c>
      <c r="S21" s="11">
        <v>20</v>
      </c>
      <c r="T21" s="14"/>
    </row>
    <row r="22" spans="2:20" x14ac:dyDescent="0.25">
      <c r="B22" s="1" t="s">
        <v>35</v>
      </c>
      <c r="C22" s="9"/>
      <c r="D22" s="18">
        <f>D10/D17</f>
        <v>3.0882352941176472</v>
      </c>
      <c r="E22" s="18">
        <f>E10/E17</f>
        <v>4.3030303030303028</v>
      </c>
      <c r="F22" s="18">
        <f>F10/F17</f>
        <v>5.3461538461538458</v>
      </c>
      <c r="G22" s="18">
        <f>G10/G17</f>
        <v>7.8607058823529412</v>
      </c>
      <c r="H22" s="18">
        <f>H10/H17</f>
        <v>7.68</v>
      </c>
      <c r="I22" s="100"/>
      <c r="J22" s="8">
        <f>(H22/D22)^(1/I2)-1</f>
        <v>0.19985887333491759</v>
      </c>
      <c r="K22" s="18">
        <f>K10/K17</f>
        <v>7.2527510588235291</v>
      </c>
      <c r="L22" s="18">
        <f t="shared" ref="L22:O22" si="13">L10/L17</f>
        <v>7.4703335905882353</v>
      </c>
      <c r="M22" s="18">
        <f t="shared" si="13"/>
        <v>7.6944435983058828</v>
      </c>
      <c r="N22" s="18">
        <f t="shared" si="13"/>
        <v>7.9252769062550597</v>
      </c>
      <c r="O22" s="18">
        <f t="shared" si="13"/>
        <v>8.1630352134427113</v>
      </c>
      <c r="P22" s="1"/>
      <c r="Q22" s="88" t="s">
        <v>30</v>
      </c>
      <c r="R22" s="1"/>
      <c r="S22" s="5"/>
    </row>
    <row r="23" spans="2:20" x14ac:dyDescent="0.25">
      <c r="B23" s="1" t="s">
        <v>30</v>
      </c>
      <c r="C23" s="7"/>
      <c r="D23" s="13">
        <f>D17*D25</f>
        <v>21806239456</v>
      </c>
      <c r="E23" s="13">
        <f>E17*E25</f>
        <v>21257279076</v>
      </c>
      <c r="F23" s="13">
        <f>F17*F25</f>
        <v>27917500000</v>
      </c>
      <c r="G23" s="13">
        <f>G17*G25</f>
        <v>26952969015.625</v>
      </c>
      <c r="H23" s="13">
        <f>H17*H25</f>
        <v>30894843750</v>
      </c>
      <c r="I23" s="100"/>
      <c r="J23" s="19"/>
      <c r="K23" s="99"/>
      <c r="L23" s="99"/>
      <c r="M23" s="99"/>
      <c r="N23" s="99"/>
      <c r="O23" s="99"/>
      <c r="P23" s="1"/>
      <c r="Q23" s="88" t="s">
        <v>10</v>
      </c>
      <c r="R23" s="1"/>
    </row>
    <row r="24" spans="2:20" x14ac:dyDescent="0.25">
      <c r="B24" s="1" t="s">
        <v>10</v>
      </c>
      <c r="C24" s="7"/>
      <c r="D24" s="13">
        <f>D23</f>
        <v>21806239456</v>
      </c>
      <c r="E24" s="13">
        <f>E23</f>
        <v>21257279076</v>
      </c>
      <c r="F24" s="13">
        <f>F23</f>
        <v>27917500000</v>
      </c>
      <c r="G24" s="13">
        <f>G23</f>
        <v>26952969015.625</v>
      </c>
      <c r="H24" s="13">
        <f>H23</f>
        <v>30894843750</v>
      </c>
      <c r="I24" s="100"/>
      <c r="J24" s="19"/>
      <c r="K24" s="99"/>
      <c r="L24" s="99"/>
      <c r="M24" s="99"/>
      <c r="N24" s="99"/>
      <c r="O24" s="99"/>
      <c r="P24" s="1"/>
      <c r="Q24" s="88" t="s">
        <v>11</v>
      </c>
      <c r="R24" s="1"/>
    </row>
    <row r="25" spans="2:20" x14ac:dyDescent="0.25">
      <c r="B25" s="22" t="s">
        <v>11</v>
      </c>
      <c r="C25" s="99"/>
      <c r="D25" s="13">
        <v>160.33999600000001</v>
      </c>
      <c r="E25" s="13">
        <v>161.03999300000001</v>
      </c>
      <c r="F25" s="13">
        <v>214.75</v>
      </c>
      <c r="G25" s="13">
        <v>202.94000199999999</v>
      </c>
      <c r="H25" s="13">
        <v>232.62</v>
      </c>
      <c r="I25" s="100"/>
      <c r="J25" s="100"/>
      <c r="K25" s="99"/>
      <c r="L25" s="99"/>
      <c r="M25" s="99"/>
      <c r="N25" s="99"/>
      <c r="O25" s="99"/>
      <c r="P25" s="1"/>
      <c r="Q25" s="88" t="s">
        <v>12</v>
      </c>
      <c r="R25" s="1"/>
    </row>
    <row r="26" spans="2:20" x14ac:dyDescent="0.25">
      <c r="B26" s="1" t="s">
        <v>12</v>
      </c>
      <c r="C26" s="8"/>
      <c r="D26" s="8" t="e">
        <f>(D25-C25)/C25</f>
        <v>#DIV/0!</v>
      </c>
      <c r="E26" s="8">
        <f>(E25-D25)/D25</f>
        <v>4.3657042376376021E-3</v>
      </c>
      <c r="F26" s="8">
        <f>(F25-E25)/E25</f>
        <v>0.33351968041876395</v>
      </c>
      <c r="G26" s="8">
        <f>(G25-F25)/F25</f>
        <v>-5.4994169965075702E-2</v>
      </c>
      <c r="H26" s="8">
        <f>(H25-G25)/G25</f>
        <v>0.14625011189267659</v>
      </c>
      <c r="I26" s="100"/>
      <c r="J26" s="100"/>
      <c r="K26" s="99"/>
      <c r="L26" s="99"/>
      <c r="M26" s="99"/>
      <c r="N26" s="99"/>
      <c r="O26" s="99"/>
      <c r="P26" s="1"/>
      <c r="Q26" s="88" t="s">
        <v>13</v>
      </c>
      <c r="R26" s="1" t="s">
        <v>37</v>
      </c>
    </row>
    <row r="27" spans="2:20" x14ac:dyDescent="0.25">
      <c r="B27" s="1" t="s">
        <v>13</v>
      </c>
      <c r="C27" s="9"/>
      <c r="D27" s="9">
        <f>D24/D7</f>
        <v>17.076146794048551</v>
      </c>
      <c r="E27" s="9">
        <f>E24/E7</f>
        <v>14.27621160241773</v>
      </c>
      <c r="F27" s="9">
        <f>F24/F7</f>
        <v>15.631298992161254</v>
      </c>
      <c r="G27" s="9">
        <f>G24/G7</f>
        <v>11.947238038840869</v>
      </c>
      <c r="H27" s="9">
        <f>H24/H7</f>
        <v>18.0039881993007</v>
      </c>
      <c r="I27" s="100"/>
      <c r="J27" s="100"/>
      <c r="K27" s="99"/>
      <c r="L27" s="99"/>
      <c r="M27" s="99"/>
      <c r="N27" s="99"/>
      <c r="O27" s="99"/>
      <c r="P27" s="1"/>
      <c r="Q27" s="88" t="s">
        <v>14</v>
      </c>
      <c r="R27" s="1" t="s">
        <v>159</v>
      </c>
      <c r="S27" s="14">
        <f>S21*O7</f>
        <v>43366124571.414406</v>
      </c>
    </row>
    <row r="28" spans="2:20" x14ac:dyDescent="0.25">
      <c r="B28" s="1" t="s">
        <v>14</v>
      </c>
      <c r="C28" s="9"/>
      <c r="D28" s="9">
        <f>D23/D10</f>
        <v>51.919617752380951</v>
      </c>
      <c r="E28" s="9">
        <f>E23/E10</f>
        <v>37.424787105633804</v>
      </c>
      <c r="F28" s="9">
        <f>F23/F10</f>
        <v>40.169064748201436</v>
      </c>
      <c r="G28" s="9">
        <f>G23/G10</f>
        <v>25.817020129909004</v>
      </c>
      <c r="H28" s="9">
        <f>H23/H10</f>
        <v>30.2890625</v>
      </c>
      <c r="I28" s="100"/>
      <c r="J28" s="100"/>
      <c r="K28" s="99"/>
      <c r="L28" s="99"/>
      <c r="M28" s="99"/>
      <c r="N28" s="99"/>
      <c r="O28" s="99"/>
      <c r="P28" s="1"/>
      <c r="Q28" s="88" t="s">
        <v>15</v>
      </c>
      <c r="R28" s="1" t="s">
        <v>29</v>
      </c>
      <c r="S28" s="6">
        <f>H19</f>
        <v>2089000000</v>
      </c>
    </row>
    <row r="29" spans="2:20" x14ac:dyDescent="0.25">
      <c r="B29" s="1" t="s">
        <v>15</v>
      </c>
      <c r="C29" s="10"/>
      <c r="D29" s="10">
        <f>D13/D23</f>
        <v>2.2333057516985156E-2</v>
      </c>
      <c r="E29" s="10">
        <f>E13/E23</f>
        <v>4.544325718010811E-2</v>
      </c>
      <c r="F29" s="10">
        <f>F13/F23</f>
        <v>2.7796185188501788E-2</v>
      </c>
      <c r="G29" s="10">
        <f>G13/G23</f>
        <v>5.5207276019846985E-2</v>
      </c>
      <c r="H29" s="10">
        <f>H13/H23</f>
        <v>6.0204220971339095E-2</v>
      </c>
      <c r="I29" s="100"/>
      <c r="J29" s="100"/>
      <c r="K29" s="99"/>
      <c r="L29" s="99"/>
      <c r="M29" s="99"/>
      <c r="N29" s="99"/>
      <c r="O29" s="93"/>
      <c r="P29" s="1"/>
      <c r="Q29" s="88"/>
      <c r="R29" s="1" t="s">
        <v>28</v>
      </c>
      <c r="S29" s="6">
        <f>H20*(-1)</f>
        <v>-6724000000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88"/>
      <c r="R30" s="1" t="s">
        <v>30</v>
      </c>
      <c r="S30" s="14">
        <f>S27+S28+S29</f>
        <v>38731124571.414406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88"/>
      <c r="R31" s="1" t="s">
        <v>157</v>
      </c>
      <c r="S31" s="83">
        <f>S30/O17</f>
        <v>291.62258500829671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88"/>
      <c r="R32" s="1"/>
      <c r="S32" s="14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88"/>
      <c r="R33" s="1" t="s">
        <v>31</v>
      </c>
      <c r="S33" s="84">
        <v>0.15</v>
      </c>
    </row>
    <row r="34" spans="2:19" x14ac:dyDescent="0.25">
      <c r="B34" s="1" t="s"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88"/>
      <c r="R34" s="1"/>
      <c r="S34" s="14"/>
    </row>
    <row r="35" spans="2:19" x14ac:dyDescent="0.25">
      <c r="B35" s="1" t="s">
        <v>42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88"/>
      <c r="R35" s="1" t="s">
        <v>32</v>
      </c>
      <c r="S35" s="14">
        <f>NPV(S33,K13:P13)</f>
        <v>22489012423.19614</v>
      </c>
    </row>
    <row r="36" spans="2:19" x14ac:dyDescent="0.25">
      <c r="R36" s="1" t="s">
        <v>156</v>
      </c>
      <c r="S36" s="14">
        <f>S35/O17</f>
        <v>169.32903471582975</v>
      </c>
    </row>
    <row r="37" spans="2:19" x14ac:dyDescent="0.25">
      <c r="R37" s="1"/>
      <c r="S37" s="14"/>
    </row>
    <row r="38" spans="2:19" ht="17.25" x14ac:dyDescent="0.25">
      <c r="B38" s="94"/>
      <c r="R38" s="1" t="s">
        <v>158</v>
      </c>
      <c r="S38" s="84">
        <v>0.25</v>
      </c>
    </row>
    <row r="40" spans="2:19" x14ac:dyDescent="0.25">
      <c r="R40" s="1" t="s">
        <v>153</v>
      </c>
      <c r="S40" s="14">
        <f>S36*(1-S38)</f>
        <v>126.99677603687232</v>
      </c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B4A2-2204-49E6-88D1-0755446F3C0B}">
  <dimension ref="B1:T40"/>
  <sheetViews>
    <sheetView zoomScaleNormal="100" workbookViewId="0">
      <selection activeCell="K29" sqref="K29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5" width="17.7109375" style="1" bestFit="1" customWidth="1"/>
    <col min="6" max="6" width="21.85546875" style="1" bestFit="1" customWidth="1"/>
    <col min="7" max="8" width="17.7109375" style="1" bestFit="1" customWidth="1"/>
    <col min="10" max="10" width="15.85546875" bestFit="1" customWidth="1"/>
    <col min="11" max="15" width="17.7109375" bestFit="1" customWidth="1"/>
    <col min="16" max="16" width="19.140625" bestFit="1" customWidth="1"/>
    <col min="17" max="17" width="29.85546875" style="87" bestFit="1" customWidth="1"/>
    <col min="18" max="18" width="32.28515625" bestFit="1" customWidth="1"/>
    <col min="19" max="20" width="19.140625" bestFit="1" customWidth="1"/>
  </cols>
  <sheetData>
    <row r="1" spans="2:19" x14ac:dyDescent="0.25">
      <c r="B1" s="1" t="s">
        <v>41</v>
      </c>
    </row>
    <row r="2" spans="2:19" x14ac:dyDescent="0.25">
      <c r="C2" s="102" t="s">
        <v>16</v>
      </c>
      <c r="D2" s="102"/>
      <c r="E2" s="102"/>
      <c r="F2" s="102"/>
      <c r="G2" s="102"/>
      <c r="H2" s="102"/>
      <c r="I2" s="100">
        <v>5</v>
      </c>
      <c r="J2" s="100" t="s">
        <v>34</v>
      </c>
      <c r="K2" s="102" t="s">
        <v>17</v>
      </c>
      <c r="L2" s="102"/>
      <c r="M2" s="102"/>
      <c r="N2" s="102"/>
      <c r="O2" s="102"/>
      <c r="P2" s="1"/>
      <c r="Q2" s="88"/>
      <c r="R2" s="103" t="s">
        <v>19</v>
      </c>
      <c r="S2" s="103"/>
    </row>
    <row r="3" spans="2:19" x14ac:dyDescent="0.25">
      <c r="B3" s="2">
        <v>44409</v>
      </c>
      <c r="C3" s="3"/>
      <c r="D3" s="85">
        <v>20170331</v>
      </c>
      <c r="E3" s="85">
        <v>2018</v>
      </c>
      <c r="F3" s="85">
        <v>2019</v>
      </c>
      <c r="G3" s="85">
        <v>2020</v>
      </c>
      <c r="H3" s="85">
        <v>2021</v>
      </c>
      <c r="I3" s="100"/>
      <c r="J3" s="100"/>
      <c r="K3" s="85">
        <v>2021</v>
      </c>
      <c r="L3" s="85">
        <v>2022</v>
      </c>
      <c r="M3" s="85">
        <v>2023</v>
      </c>
      <c r="N3" s="85">
        <v>2024</v>
      </c>
      <c r="O3" s="85">
        <v>2025</v>
      </c>
      <c r="P3" s="3"/>
      <c r="Q3" s="89"/>
      <c r="R3" s="1" t="s">
        <v>154</v>
      </c>
    </row>
    <row r="4" spans="2:19" x14ac:dyDescent="0.25">
      <c r="B4" s="20" t="s">
        <v>0</v>
      </c>
      <c r="C4" s="13"/>
      <c r="D4" s="13">
        <v>3032574000</v>
      </c>
      <c r="E4" s="13">
        <v>2973536000</v>
      </c>
      <c r="F4" s="13">
        <v>3090325000</v>
      </c>
      <c r="G4" s="13">
        <v>3239141000</v>
      </c>
      <c r="H4" s="13">
        <v>4015307000</v>
      </c>
      <c r="I4" s="90"/>
      <c r="J4" s="91"/>
      <c r="K4" s="13">
        <f>H4*(1+K5)</f>
        <v>4216072350</v>
      </c>
      <c r="L4" s="13">
        <f>K4*(1+L5)</f>
        <v>4426875967.5</v>
      </c>
      <c r="M4" s="13">
        <f t="shared" ref="M4:O4" si="0">L4*(1+M5)</f>
        <v>4648219765.875</v>
      </c>
      <c r="N4" s="13">
        <f t="shared" si="0"/>
        <v>4880630754.1687498</v>
      </c>
      <c r="O4" s="13">
        <f t="shared" si="0"/>
        <v>5124662291.8771877</v>
      </c>
      <c r="P4" s="1"/>
      <c r="Q4" s="88" t="s">
        <v>0</v>
      </c>
      <c r="R4" s="1" t="s">
        <v>20</v>
      </c>
      <c r="S4" s="5">
        <v>0.05</v>
      </c>
    </row>
    <row r="5" spans="2:19" x14ac:dyDescent="0.25">
      <c r="B5" s="21" t="s">
        <v>1</v>
      </c>
      <c r="C5" s="16"/>
      <c r="D5" s="16" t="e">
        <f>(D4-C4)/C4</f>
        <v>#DIV/0!</v>
      </c>
      <c r="E5" s="16">
        <f t="shared" ref="E5:H5" si="1">(E4-D4)/D4</f>
        <v>-1.946795032866469E-2</v>
      </c>
      <c r="F5" s="16">
        <f t="shared" si="1"/>
        <v>3.9276134541502104E-2</v>
      </c>
      <c r="G5" s="16">
        <f t="shared" si="1"/>
        <v>4.8155452905438746E-2</v>
      </c>
      <c r="H5" s="16">
        <f t="shared" si="1"/>
        <v>0.23962093653842176</v>
      </c>
      <c r="I5" s="16"/>
      <c r="J5" s="16">
        <f>(H4/D4)^(1/I2)-1</f>
        <v>5.7746190160910427E-2</v>
      </c>
      <c r="K5" s="16">
        <f>$S$4</f>
        <v>0.05</v>
      </c>
      <c r="L5" s="16">
        <f t="shared" ref="L5:O5" si="2">$S$4</f>
        <v>0.05</v>
      </c>
      <c r="M5" s="16">
        <f t="shared" si="2"/>
        <v>0.05</v>
      </c>
      <c r="N5" s="16">
        <f t="shared" si="2"/>
        <v>0.05</v>
      </c>
      <c r="O5" s="16">
        <f t="shared" si="2"/>
        <v>0.05</v>
      </c>
      <c r="P5" s="1"/>
      <c r="Q5" s="88" t="s">
        <v>1</v>
      </c>
      <c r="R5" s="1"/>
    </row>
    <row r="6" spans="2:19" x14ac:dyDescent="0.25">
      <c r="C6" s="3"/>
      <c r="D6" s="85"/>
      <c r="E6" s="85"/>
      <c r="F6" s="85"/>
      <c r="G6" s="85"/>
      <c r="H6" s="85"/>
      <c r="I6" s="100"/>
      <c r="J6" s="100"/>
      <c r="K6" s="85"/>
      <c r="L6" s="85"/>
      <c r="M6" s="85"/>
      <c r="N6" s="85"/>
      <c r="O6" s="85"/>
      <c r="P6" s="1"/>
      <c r="Q6" s="88"/>
      <c r="R6" s="1"/>
      <c r="S6" s="5"/>
    </row>
    <row r="7" spans="2:19" x14ac:dyDescent="0.25">
      <c r="B7" s="20" t="s">
        <v>5</v>
      </c>
      <c r="C7" s="13"/>
      <c r="D7" s="13">
        <v>790761000</v>
      </c>
      <c r="E7" s="13">
        <v>790908000</v>
      </c>
      <c r="F7" s="13">
        <v>798852000</v>
      </c>
      <c r="G7" s="13">
        <v>924412000</v>
      </c>
      <c r="H7" s="13">
        <v>1338682000</v>
      </c>
      <c r="I7" s="91"/>
      <c r="J7" s="91"/>
      <c r="K7" s="13">
        <f>K4*K8</f>
        <v>1054018087.5</v>
      </c>
      <c r="L7" s="13">
        <f t="shared" ref="L7:O7" si="3">L4*L8</f>
        <v>1106718991.875</v>
      </c>
      <c r="M7" s="13">
        <f t="shared" si="3"/>
        <v>1162054941.46875</v>
      </c>
      <c r="N7" s="13">
        <f t="shared" si="3"/>
        <v>1220157688.5421875</v>
      </c>
      <c r="O7" s="13">
        <f t="shared" si="3"/>
        <v>1281165572.9692969</v>
      </c>
      <c r="Q7" s="88" t="s">
        <v>5</v>
      </c>
      <c r="R7" s="1"/>
    </row>
    <row r="8" spans="2:19" x14ac:dyDescent="0.25">
      <c r="B8" s="15" t="s">
        <v>2</v>
      </c>
      <c r="C8" s="16"/>
      <c r="D8" s="16">
        <f>D7/D4</f>
        <v>0.26075571445247503</v>
      </c>
      <c r="E8" s="16">
        <f t="shared" ref="E8:H8" si="4">E7/E4</f>
        <v>0.26598231869397243</v>
      </c>
      <c r="F8" s="16">
        <f t="shared" si="4"/>
        <v>0.25850096672680056</v>
      </c>
      <c r="G8" s="16">
        <f t="shared" si="4"/>
        <v>0.28538800873441444</v>
      </c>
      <c r="H8" s="16">
        <f t="shared" si="4"/>
        <v>0.33339468190103522</v>
      </c>
      <c r="I8" s="92"/>
      <c r="J8" s="16">
        <f>AVERAGE(C8:H8)</f>
        <v>0.28080433810173955</v>
      </c>
      <c r="K8" s="16">
        <f>$S$8</f>
        <v>0.25</v>
      </c>
      <c r="L8" s="16">
        <f t="shared" ref="L8:O8" si="5">$S$8</f>
        <v>0.25</v>
      </c>
      <c r="M8" s="16">
        <f t="shared" si="5"/>
        <v>0.25</v>
      </c>
      <c r="N8" s="16">
        <f t="shared" si="5"/>
        <v>0.25</v>
      </c>
      <c r="O8" s="16">
        <f t="shared" si="5"/>
        <v>0.25</v>
      </c>
      <c r="P8" s="1"/>
      <c r="Q8" s="88" t="s">
        <v>2</v>
      </c>
      <c r="R8" s="1" t="s">
        <v>21</v>
      </c>
      <c r="S8" s="5">
        <v>0.25</v>
      </c>
    </row>
    <row r="9" spans="2:19" x14ac:dyDescent="0.25">
      <c r="C9" s="3"/>
      <c r="D9" s="85"/>
      <c r="E9" s="85"/>
      <c r="F9" s="85"/>
      <c r="G9" s="85"/>
      <c r="H9" s="85"/>
      <c r="I9" s="100"/>
      <c r="J9" s="100"/>
      <c r="K9" s="85"/>
      <c r="L9" s="85"/>
      <c r="M9" s="85"/>
      <c r="N9" s="85"/>
      <c r="O9" s="85"/>
      <c r="P9" s="1"/>
      <c r="Q9" s="88"/>
    </row>
    <row r="10" spans="2:19" x14ac:dyDescent="0.25">
      <c r="B10" s="20" t="s">
        <v>18</v>
      </c>
      <c r="C10" s="13"/>
      <c r="D10" s="13">
        <v>-16558000</v>
      </c>
      <c r="E10" s="13">
        <v>-40288000</v>
      </c>
      <c r="F10" s="13">
        <v>133125000</v>
      </c>
      <c r="G10" s="13">
        <v>334325000</v>
      </c>
      <c r="H10" s="13">
        <v>733611000</v>
      </c>
      <c r="I10" s="91"/>
      <c r="J10" s="91"/>
      <c r="K10" s="13">
        <f>K4*K11</f>
        <v>421607235</v>
      </c>
      <c r="L10" s="13">
        <f t="shared" ref="L10:O10" si="6">L4*L11</f>
        <v>442687596.75</v>
      </c>
      <c r="M10" s="13">
        <f t="shared" si="6"/>
        <v>464821976.58750004</v>
      </c>
      <c r="N10" s="13">
        <f t="shared" si="6"/>
        <v>488063075.416875</v>
      </c>
      <c r="O10" s="13">
        <f t="shared" si="6"/>
        <v>512466229.18771881</v>
      </c>
      <c r="P10" s="1"/>
      <c r="Q10" s="88" t="s">
        <v>18</v>
      </c>
    </row>
    <row r="11" spans="2:19" x14ac:dyDescent="0.25">
      <c r="B11" s="15" t="s">
        <v>2</v>
      </c>
      <c r="C11" s="16"/>
      <c r="D11" s="16">
        <f t="shared" ref="D11:H11" si="7">D10/D4</f>
        <v>-5.4600481307298682E-3</v>
      </c>
      <c r="E11" s="16">
        <f>E10/E4</f>
        <v>-1.3548852275539962E-2</v>
      </c>
      <c r="F11" s="16">
        <f t="shared" si="7"/>
        <v>4.3077993414932084E-2</v>
      </c>
      <c r="G11" s="16">
        <f t="shared" si="7"/>
        <v>0.10321409287215345</v>
      </c>
      <c r="H11" s="16">
        <f t="shared" si="7"/>
        <v>0.18270358904063874</v>
      </c>
      <c r="I11" s="92"/>
      <c r="J11" s="16">
        <f>AVERAGE(C11:H11)</f>
        <v>6.1997354984290889E-2</v>
      </c>
      <c r="K11" s="16">
        <f>$S$11</f>
        <v>0.1</v>
      </c>
      <c r="L11" s="16">
        <f t="shared" ref="L11:O11" si="8">$S$11</f>
        <v>0.1</v>
      </c>
      <c r="M11" s="16">
        <f t="shared" si="8"/>
        <v>0.1</v>
      </c>
      <c r="N11" s="16">
        <f t="shared" si="8"/>
        <v>0.1</v>
      </c>
      <c r="O11" s="16">
        <f t="shared" si="8"/>
        <v>0.1</v>
      </c>
      <c r="P11" s="1"/>
      <c r="Q11" s="88" t="s">
        <v>2</v>
      </c>
      <c r="R11" s="1" t="s">
        <v>22</v>
      </c>
      <c r="S11" s="5">
        <v>0.1</v>
      </c>
    </row>
    <row r="12" spans="2:19" x14ac:dyDescent="0.25">
      <c r="B12" s="20" t="s">
        <v>43</v>
      </c>
      <c r="C12" s="3"/>
      <c r="D12" s="23">
        <v>1.77218813259109</v>
      </c>
      <c r="E12" s="23">
        <v>4.6126961257738097</v>
      </c>
      <c r="F12" s="23">
        <v>4.9505471893031396</v>
      </c>
      <c r="G12" s="23">
        <v>6.8182508178844001</v>
      </c>
      <c r="H12" s="23">
        <v>9.7768472560815098</v>
      </c>
      <c r="I12" s="100"/>
      <c r="J12" s="100"/>
      <c r="K12" s="85"/>
      <c r="L12" s="85"/>
      <c r="M12" s="85"/>
      <c r="N12" s="85"/>
      <c r="O12" s="85"/>
      <c r="P12" s="1"/>
      <c r="Q12" s="88"/>
    </row>
    <row r="13" spans="2:19" x14ac:dyDescent="0.25">
      <c r="B13" s="20" t="s">
        <v>3</v>
      </c>
      <c r="C13" s="13"/>
      <c r="D13" s="13">
        <f>D17*D12</f>
        <v>225067892.83906844</v>
      </c>
      <c r="E13" s="13">
        <f t="shared" ref="E13:H13" si="9">E17*E12</f>
        <v>585812407.97327387</v>
      </c>
      <c r="F13" s="13">
        <f t="shared" si="9"/>
        <v>628719493.04149878</v>
      </c>
      <c r="G13" s="13">
        <f t="shared" si="9"/>
        <v>811371847.32824361</v>
      </c>
      <c r="H13" s="13">
        <f t="shared" si="9"/>
        <v>1134114281.7054551</v>
      </c>
      <c r="I13" s="91"/>
      <c r="J13" s="91"/>
      <c r="K13" s="13">
        <f>K7*K15</f>
        <v>737812661.25</v>
      </c>
      <c r="L13" s="13">
        <f t="shared" ref="L13:O13" si="10">L7*L15</f>
        <v>774703294.3125</v>
      </c>
      <c r="M13" s="13">
        <f t="shared" si="10"/>
        <v>813438459.02812493</v>
      </c>
      <c r="N13" s="13">
        <f t="shared" si="10"/>
        <v>854110381.97953117</v>
      </c>
      <c r="O13" s="13">
        <f t="shared" si="10"/>
        <v>896815901.07850778</v>
      </c>
      <c r="P13" s="14">
        <f>O7*S21</f>
        <v>25623311459.385941</v>
      </c>
      <c r="Q13" s="88" t="s">
        <v>3</v>
      </c>
    </row>
    <row r="14" spans="2:19" x14ac:dyDescent="0.25">
      <c r="B14" s="12" t="s">
        <v>36</v>
      </c>
      <c r="C14" s="17"/>
      <c r="D14" s="17">
        <f t="shared" ref="D14:H14" si="11">D13/D10</f>
        <v>-13.592697961050154</v>
      </c>
      <c r="E14" s="17">
        <f t="shared" si="11"/>
        <v>-14.540617751520896</v>
      </c>
      <c r="F14" s="17">
        <f t="shared" si="11"/>
        <v>4.7227755345840281</v>
      </c>
      <c r="G14" s="17">
        <f t="shared" si="11"/>
        <v>2.426895527789557</v>
      </c>
      <c r="H14" s="17">
        <f t="shared" si="11"/>
        <v>1.5459341281761794</v>
      </c>
      <c r="I14" s="91"/>
      <c r="J14" s="17"/>
      <c r="K14" s="93"/>
      <c r="L14" s="93"/>
      <c r="M14" s="93"/>
      <c r="N14" s="93"/>
      <c r="O14" s="93"/>
      <c r="P14" s="1"/>
      <c r="Q14" s="88" t="s">
        <v>36</v>
      </c>
    </row>
    <row r="15" spans="2:19" x14ac:dyDescent="0.25">
      <c r="B15" s="15" t="s">
        <v>4</v>
      </c>
      <c r="C15" s="16"/>
      <c r="D15" s="16">
        <f>D13/D7</f>
        <v>0.28462189313720382</v>
      </c>
      <c r="E15" s="16">
        <f t="shared" ref="E15:H15" si="12">E13/E7</f>
        <v>0.7406833765409806</v>
      </c>
      <c r="F15" s="16">
        <f t="shared" si="12"/>
        <v>0.7870287525617996</v>
      </c>
      <c r="G15" s="16">
        <f t="shared" si="12"/>
        <v>0.8777166970228033</v>
      </c>
      <c r="H15" s="16">
        <f t="shared" si="12"/>
        <v>0.84718721974707589</v>
      </c>
      <c r="I15" s="92"/>
      <c r="J15" s="16">
        <f>AVERAGE(C15:H15)</f>
        <v>0.7074475878019727</v>
      </c>
      <c r="K15" s="17">
        <f>$S$15</f>
        <v>0.7</v>
      </c>
      <c r="L15" s="17">
        <f>$S$15</f>
        <v>0.7</v>
      </c>
      <c r="M15" s="17">
        <f>$S$15</f>
        <v>0.7</v>
      </c>
      <c r="N15" s="17">
        <f>$S$15</f>
        <v>0.7</v>
      </c>
      <c r="O15" s="17">
        <f>$S$15</f>
        <v>0.7</v>
      </c>
      <c r="P15" s="1"/>
      <c r="Q15" s="88"/>
      <c r="R15" s="1" t="s">
        <v>45</v>
      </c>
      <c r="S15" s="5">
        <v>0.7</v>
      </c>
    </row>
    <row r="16" spans="2:19" x14ac:dyDescent="0.25">
      <c r="D16" s="85"/>
      <c r="E16" s="85"/>
      <c r="F16" s="85"/>
      <c r="G16" s="85"/>
      <c r="H16" s="85"/>
      <c r="I16" s="100"/>
      <c r="J16" s="93"/>
      <c r="K16" s="93"/>
      <c r="L16" s="93"/>
      <c r="M16" s="93"/>
      <c r="N16" s="93"/>
      <c r="O16" s="93"/>
      <c r="P16" s="1"/>
      <c r="Q16" s="88" t="s">
        <v>6</v>
      </c>
      <c r="R16" s="1" t="s">
        <v>23</v>
      </c>
      <c r="S16" s="5">
        <v>0</v>
      </c>
    </row>
    <row r="17" spans="2:20" x14ac:dyDescent="0.25">
      <c r="B17" s="22" t="s">
        <v>39</v>
      </c>
      <c r="C17" s="7"/>
      <c r="D17" s="7">
        <v>127000000</v>
      </c>
      <c r="E17" s="7">
        <v>127000000</v>
      </c>
      <c r="F17" s="7">
        <v>127000000</v>
      </c>
      <c r="G17" s="7">
        <v>119000000</v>
      </c>
      <c r="H17" s="7">
        <v>116000000</v>
      </c>
      <c r="I17" s="100"/>
      <c r="J17" s="7">
        <f>H17</f>
        <v>116000000</v>
      </c>
      <c r="K17" s="7">
        <f>J17</f>
        <v>116000000</v>
      </c>
      <c r="L17" s="7">
        <f t="shared" ref="L17:O17" si="13">K17</f>
        <v>116000000</v>
      </c>
      <c r="M17" s="7">
        <f t="shared" si="13"/>
        <v>116000000</v>
      </c>
      <c r="N17" s="7">
        <f t="shared" si="13"/>
        <v>116000000</v>
      </c>
      <c r="O17" s="7">
        <f t="shared" si="13"/>
        <v>116000000</v>
      </c>
      <c r="P17" s="1"/>
      <c r="Q17" s="88"/>
      <c r="R17" s="1" t="s">
        <v>24</v>
      </c>
      <c r="S17" s="5">
        <v>0</v>
      </c>
    </row>
    <row r="18" spans="2:20" x14ac:dyDescent="0.25">
      <c r="C18" s="4"/>
      <c r="D18" s="85"/>
      <c r="E18" s="85"/>
      <c r="F18" s="85"/>
      <c r="G18" s="85"/>
      <c r="H18" s="85"/>
      <c r="I18" s="100"/>
      <c r="J18" s="100"/>
      <c r="K18" s="85"/>
      <c r="L18" s="85"/>
      <c r="M18" s="85"/>
      <c r="N18" s="85"/>
      <c r="O18" s="85"/>
      <c r="P18" s="1"/>
      <c r="Q18" s="88" t="s">
        <v>7</v>
      </c>
      <c r="R18" s="1" t="s">
        <v>25</v>
      </c>
      <c r="S18" s="5">
        <v>0</v>
      </c>
    </row>
    <row r="19" spans="2:20" x14ac:dyDescent="0.25">
      <c r="B19" s="1" t="s">
        <v>40</v>
      </c>
      <c r="C19" s="3"/>
      <c r="D19" s="7" t="s">
        <v>155</v>
      </c>
      <c r="E19" s="7" t="s">
        <v>155</v>
      </c>
      <c r="F19" s="7" t="s">
        <v>155</v>
      </c>
      <c r="G19" s="7" t="s">
        <v>155</v>
      </c>
      <c r="H19" s="7" t="s">
        <v>155</v>
      </c>
      <c r="I19" s="100"/>
      <c r="J19" s="100"/>
      <c r="K19" s="85"/>
      <c r="L19" s="85"/>
      <c r="M19" s="85"/>
      <c r="N19" s="85"/>
      <c r="O19" s="85"/>
      <c r="P19" s="1"/>
      <c r="Q19" s="88" t="s">
        <v>8</v>
      </c>
      <c r="R19" s="1"/>
    </row>
    <row r="20" spans="2:20" x14ac:dyDescent="0.25">
      <c r="B20" s="1" t="s">
        <v>8</v>
      </c>
      <c r="C20" s="3"/>
      <c r="D20" s="7" t="s">
        <v>155</v>
      </c>
      <c r="E20" s="7" t="s">
        <v>155</v>
      </c>
      <c r="F20" s="7" t="s">
        <v>155</v>
      </c>
      <c r="G20" s="7" t="s">
        <v>155</v>
      </c>
      <c r="H20" s="7" t="s">
        <v>155</v>
      </c>
      <c r="I20" s="100"/>
      <c r="J20" s="100"/>
      <c r="K20" s="85"/>
      <c r="L20" s="85"/>
      <c r="M20" s="85"/>
      <c r="N20" s="85"/>
      <c r="O20" s="85"/>
      <c r="P20" s="1"/>
      <c r="Q20" s="88" t="s">
        <v>9</v>
      </c>
      <c r="R20" s="1"/>
      <c r="S20" s="11"/>
    </row>
    <row r="21" spans="2:20" x14ac:dyDescent="0.25">
      <c r="B21" s="1" t="s">
        <v>9</v>
      </c>
      <c r="C21" s="3"/>
      <c r="D21" s="85"/>
      <c r="E21" s="85"/>
      <c r="F21" s="85"/>
      <c r="G21" s="85"/>
      <c r="H21" s="85"/>
      <c r="I21" s="100"/>
      <c r="J21" s="93"/>
      <c r="K21" s="85"/>
      <c r="L21" s="85"/>
      <c r="M21" s="85"/>
      <c r="N21" s="85"/>
      <c r="O21" s="85"/>
      <c r="P21" s="1"/>
      <c r="Q21" s="88"/>
      <c r="R21" s="1" t="s">
        <v>26</v>
      </c>
      <c r="S21" s="11">
        <v>20</v>
      </c>
      <c r="T21" s="14"/>
    </row>
    <row r="22" spans="2:20" x14ac:dyDescent="0.25">
      <c r="B22" s="1" t="s">
        <v>35</v>
      </c>
      <c r="C22" s="9"/>
      <c r="D22" s="18">
        <f>D10/D17</f>
        <v>-0.13037795275590552</v>
      </c>
      <c r="E22" s="18">
        <f>E10/E17</f>
        <v>-0.3172283464566929</v>
      </c>
      <c r="F22" s="18">
        <f>F10/F17</f>
        <v>1.0482283464566928</v>
      </c>
      <c r="G22" s="18">
        <f>G10/G17</f>
        <v>2.8094537815126048</v>
      </c>
      <c r="H22" s="18">
        <f>H10/H17</f>
        <v>6.3242327586206892</v>
      </c>
      <c r="I22" s="100"/>
      <c r="J22" s="8">
        <f>(H22/D22)^(1/I2)-1</f>
        <v>-3.1735054706104635</v>
      </c>
      <c r="K22" s="85"/>
      <c r="L22" s="85"/>
      <c r="M22" s="85"/>
      <c r="N22" s="85"/>
      <c r="O22" s="85"/>
      <c r="P22" s="1"/>
      <c r="Q22" s="88" t="s">
        <v>30</v>
      </c>
      <c r="R22" s="1"/>
      <c r="S22" s="5"/>
    </row>
    <row r="23" spans="2:20" x14ac:dyDescent="0.25">
      <c r="B23" s="1" t="s">
        <v>30</v>
      </c>
      <c r="C23" s="7"/>
      <c r="D23" s="19">
        <f>D17*D25</f>
        <v>8509000000</v>
      </c>
      <c r="E23" s="19">
        <f>E17*E25</f>
        <v>8890000000</v>
      </c>
      <c r="F23" s="19">
        <f>F17*F25</f>
        <v>9017000000</v>
      </c>
      <c r="G23" s="19">
        <f>G17*G25</f>
        <v>8330000000</v>
      </c>
      <c r="H23" s="19">
        <f>H17*H25</f>
        <v>20764000000</v>
      </c>
      <c r="I23" s="100"/>
      <c r="J23" s="19"/>
      <c r="K23" s="85"/>
      <c r="L23" s="85"/>
      <c r="M23" s="85"/>
      <c r="N23" s="85"/>
      <c r="O23" s="85"/>
      <c r="P23" s="1"/>
      <c r="Q23" s="88" t="s">
        <v>10</v>
      </c>
      <c r="R23" s="1"/>
    </row>
    <row r="24" spans="2:20" x14ac:dyDescent="0.25">
      <c r="B24" s="1" t="s">
        <v>10</v>
      </c>
      <c r="C24" s="7"/>
      <c r="D24" s="19">
        <f>D23</f>
        <v>8509000000</v>
      </c>
      <c r="E24" s="19">
        <f>E23</f>
        <v>8890000000</v>
      </c>
      <c r="F24" s="19">
        <f>F23</f>
        <v>9017000000</v>
      </c>
      <c r="G24" s="19">
        <f>G23</f>
        <v>8330000000</v>
      </c>
      <c r="H24" s="19">
        <f>H23</f>
        <v>20764000000</v>
      </c>
      <c r="I24" s="100"/>
      <c r="J24" s="19"/>
      <c r="K24" s="85"/>
      <c r="L24" s="85"/>
      <c r="M24" s="85"/>
      <c r="N24" s="85"/>
      <c r="O24" s="85"/>
      <c r="P24" s="1"/>
      <c r="Q24" s="88" t="s">
        <v>11</v>
      </c>
      <c r="R24" s="1"/>
    </row>
    <row r="25" spans="2:20" x14ac:dyDescent="0.25">
      <c r="B25" s="22" t="s">
        <v>11</v>
      </c>
      <c r="C25" s="3"/>
      <c r="D25" s="85">
        <v>67</v>
      </c>
      <c r="E25" s="85">
        <v>70</v>
      </c>
      <c r="F25" s="85">
        <v>71</v>
      </c>
      <c r="G25" s="85">
        <v>70</v>
      </c>
      <c r="H25" s="85">
        <v>179</v>
      </c>
      <c r="I25" s="100"/>
      <c r="J25" s="100"/>
      <c r="K25" s="85"/>
      <c r="L25" s="85"/>
      <c r="M25" s="85"/>
      <c r="N25" s="85"/>
      <c r="O25" s="85"/>
      <c r="P25" s="1"/>
      <c r="Q25" s="88" t="s">
        <v>12</v>
      </c>
      <c r="R25" s="1"/>
    </row>
    <row r="26" spans="2:20" x14ac:dyDescent="0.25">
      <c r="B26" s="1" t="s">
        <v>12</v>
      </c>
      <c r="C26" s="8"/>
      <c r="D26" s="8" t="e">
        <f>(D25-C25)/C25</f>
        <v>#DIV/0!</v>
      </c>
      <c r="E26" s="8">
        <f>(E25-D25)/D25</f>
        <v>4.4776119402985072E-2</v>
      </c>
      <c r="F26" s="8">
        <f>(F25-E25)/E25</f>
        <v>1.4285714285714285E-2</v>
      </c>
      <c r="G26" s="8">
        <f>(G25-F25)/F25</f>
        <v>-1.4084507042253521E-2</v>
      </c>
      <c r="H26" s="8">
        <f>(H25-G25)/G25</f>
        <v>1.5571428571428572</v>
      </c>
      <c r="I26" s="100"/>
      <c r="J26" s="100"/>
      <c r="K26" s="85"/>
      <c r="L26" s="85"/>
      <c r="M26" s="85"/>
      <c r="N26" s="85"/>
      <c r="O26" s="85"/>
      <c r="P26" s="1"/>
      <c r="Q26" s="88" t="s">
        <v>13</v>
      </c>
      <c r="R26" s="1" t="s">
        <v>37</v>
      </c>
    </row>
    <row r="27" spans="2:20" x14ac:dyDescent="0.25">
      <c r="B27" s="1" t="s">
        <v>13</v>
      </c>
      <c r="C27" s="9"/>
      <c r="D27" s="9">
        <f>D24/D7</f>
        <v>10.760520561838533</v>
      </c>
      <c r="E27" s="9">
        <f>E24/E7</f>
        <v>11.240245388844215</v>
      </c>
      <c r="F27" s="9">
        <f>F24/F7</f>
        <v>11.287447487144052</v>
      </c>
      <c r="G27" s="9">
        <f>G24/G7</f>
        <v>9.0111335638221917</v>
      </c>
      <c r="H27" s="9">
        <f>H24/H7</f>
        <v>15.510778511999115</v>
      </c>
      <c r="I27" s="100"/>
      <c r="J27" s="100"/>
      <c r="K27" s="85"/>
      <c r="L27" s="85"/>
      <c r="M27" s="85"/>
      <c r="N27" s="85"/>
      <c r="O27" s="85"/>
      <c r="P27" s="1"/>
      <c r="Q27" s="88" t="s">
        <v>14</v>
      </c>
      <c r="R27" s="1" t="s">
        <v>27</v>
      </c>
      <c r="S27" s="14">
        <f>S21*O7</f>
        <v>25623311459.385941</v>
      </c>
    </row>
    <row r="28" spans="2:20" x14ac:dyDescent="0.25">
      <c r="B28" s="1" t="s">
        <v>14</v>
      </c>
      <c r="C28" s="9"/>
      <c r="D28" s="9">
        <f>D23/D10</f>
        <v>-513.8905664935379</v>
      </c>
      <c r="E28" s="9">
        <f>E23/E10</f>
        <v>-220.66123907863383</v>
      </c>
      <c r="F28" s="9">
        <f>F23/F10</f>
        <v>67.733333333333334</v>
      </c>
      <c r="G28" s="9">
        <f>G23/G10</f>
        <v>24.915875271068572</v>
      </c>
      <c r="H28" s="9">
        <f>H23/H10</f>
        <v>28.303828595808952</v>
      </c>
      <c r="I28" s="100"/>
      <c r="J28" s="100"/>
      <c r="K28" s="85"/>
      <c r="L28" s="85"/>
      <c r="M28" s="85"/>
      <c r="N28" s="85"/>
      <c r="O28" s="85"/>
      <c r="P28" s="1"/>
      <c r="Q28" s="88" t="s">
        <v>15</v>
      </c>
      <c r="R28" s="1" t="s">
        <v>29</v>
      </c>
      <c r="S28" s="6">
        <v>0</v>
      </c>
    </row>
    <row r="29" spans="2:20" x14ac:dyDescent="0.25">
      <c r="B29" s="1" t="s">
        <v>15</v>
      </c>
      <c r="C29" s="10"/>
      <c r="D29" s="10">
        <f>D13/D23</f>
        <v>2.6450569143150599E-2</v>
      </c>
      <c r="E29" s="10">
        <f>E13/E23</f>
        <v>6.5895658939625859E-2</v>
      </c>
      <c r="F29" s="10">
        <f>F13/F23</f>
        <v>6.9726016750748451E-2</v>
      </c>
      <c r="G29" s="10">
        <f>G13/G23</f>
        <v>9.7403583112634293E-2</v>
      </c>
      <c r="H29" s="10">
        <f>H13/H23</f>
        <v>5.4619258413863177E-2</v>
      </c>
      <c r="I29" s="100"/>
      <c r="J29" s="100"/>
      <c r="K29" s="85"/>
      <c r="L29" s="85"/>
      <c r="M29" s="85"/>
      <c r="N29" s="85"/>
      <c r="O29" s="93"/>
      <c r="P29" s="1"/>
      <c r="Q29" s="88"/>
      <c r="R29" s="1" t="s">
        <v>28</v>
      </c>
      <c r="S29" s="6">
        <v>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88"/>
      <c r="R30" s="1" t="s">
        <v>30</v>
      </c>
      <c r="S30" s="14">
        <f>S27+S28+S29</f>
        <v>25623311459.385941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88"/>
      <c r="R31" s="1" t="s">
        <v>11</v>
      </c>
      <c r="S31" s="83">
        <f>S30/O17</f>
        <v>220.89061602918915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88"/>
      <c r="R32" s="1"/>
      <c r="S32" s="14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88"/>
      <c r="R33" s="1" t="s">
        <v>31</v>
      </c>
      <c r="S33" s="84">
        <v>0.15</v>
      </c>
    </row>
    <row r="34" spans="2:19" x14ac:dyDescent="0.25">
      <c r="B34" s="1" t="s"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88"/>
      <c r="R34" s="1"/>
      <c r="S34" s="14"/>
    </row>
    <row r="35" spans="2:19" x14ac:dyDescent="0.25">
      <c r="B35" s="1" t="s">
        <v>42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88"/>
      <c r="R35" s="1" t="s">
        <v>32</v>
      </c>
      <c r="S35" s="14">
        <f>NPV(S33,K13:P13)</f>
        <v>13774093235.480391</v>
      </c>
    </row>
    <row r="36" spans="2:19" x14ac:dyDescent="0.25">
      <c r="B36" s="1" t="s">
        <v>38</v>
      </c>
      <c r="R36" s="1" t="s">
        <v>11</v>
      </c>
      <c r="S36" s="14">
        <f>S35/O17</f>
        <v>118.74218306448613</v>
      </c>
    </row>
    <row r="37" spans="2:19" x14ac:dyDescent="0.25">
      <c r="R37" s="1"/>
      <c r="S37" s="14"/>
    </row>
    <row r="38" spans="2:19" x14ac:dyDescent="0.25">
      <c r="R38" s="1" t="s">
        <v>152</v>
      </c>
      <c r="S38" s="84">
        <v>0.25</v>
      </c>
    </row>
    <row r="39" spans="2:19" x14ac:dyDescent="0.25">
      <c r="R39" s="1" t="s">
        <v>153</v>
      </c>
      <c r="S39" s="14">
        <f>S36*(1-S38)</f>
        <v>89.056637298364592</v>
      </c>
    </row>
    <row r="40" spans="2:19" x14ac:dyDescent="0.25">
      <c r="R40" s="1"/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C98C-14A1-49E8-ACF6-9D135E88EEEE}">
  <dimension ref="B1:T40"/>
  <sheetViews>
    <sheetView workbookViewId="0">
      <selection activeCell="J5" sqref="J5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4" width="17.7109375" style="1" bestFit="1" customWidth="1"/>
    <col min="5" max="5" width="20.5703125" style="1" bestFit="1" customWidth="1"/>
    <col min="6" max="6" width="21.85546875" style="1" bestFit="1" customWidth="1"/>
    <col min="7" max="8" width="20.5703125" style="1" bestFit="1" customWidth="1"/>
    <col min="10" max="10" width="15.85546875" bestFit="1" customWidth="1"/>
    <col min="11" max="15" width="20.5703125" bestFit="1" customWidth="1"/>
    <col min="16" max="16" width="20.5703125" customWidth="1"/>
    <col min="17" max="17" width="31.7109375" style="87" customWidth="1"/>
    <col min="18" max="18" width="32.28515625" bestFit="1" customWidth="1"/>
    <col min="19" max="19" width="19.85546875" bestFit="1" customWidth="1"/>
    <col min="20" max="20" width="19.140625" bestFit="1" customWidth="1"/>
  </cols>
  <sheetData>
    <row r="1" spans="2:19" x14ac:dyDescent="0.25">
      <c r="B1" s="1" t="s">
        <v>160</v>
      </c>
    </row>
    <row r="2" spans="2:19" x14ac:dyDescent="0.25">
      <c r="C2" s="102" t="s">
        <v>16</v>
      </c>
      <c r="D2" s="102"/>
      <c r="E2" s="102"/>
      <c r="F2" s="102"/>
      <c r="G2" s="102"/>
      <c r="H2" s="102"/>
      <c r="I2" s="100">
        <v>5</v>
      </c>
      <c r="J2" s="100" t="s">
        <v>34</v>
      </c>
      <c r="K2" s="102" t="s">
        <v>17</v>
      </c>
      <c r="L2" s="102"/>
      <c r="M2" s="102"/>
      <c r="N2" s="102"/>
      <c r="O2" s="102"/>
      <c r="P2" s="1"/>
      <c r="Q2" s="88"/>
      <c r="R2" s="103" t="s">
        <v>19</v>
      </c>
      <c r="S2" s="103"/>
    </row>
    <row r="3" spans="2:19" x14ac:dyDescent="0.25">
      <c r="B3" s="2">
        <v>44409</v>
      </c>
      <c r="C3" s="86"/>
      <c r="D3" s="86">
        <v>2017</v>
      </c>
      <c r="E3" s="86">
        <v>2018</v>
      </c>
      <c r="F3" s="86">
        <v>2019</v>
      </c>
      <c r="G3" s="86">
        <v>2020</v>
      </c>
      <c r="H3" s="86">
        <v>2021</v>
      </c>
      <c r="I3" s="100"/>
      <c r="J3" s="100"/>
      <c r="K3" s="86">
        <v>2021</v>
      </c>
      <c r="L3" s="86">
        <v>2022</v>
      </c>
      <c r="M3" s="86">
        <v>2023</v>
      </c>
      <c r="N3" s="86">
        <v>2024</v>
      </c>
      <c r="O3" s="86">
        <v>2025</v>
      </c>
      <c r="P3" s="86"/>
      <c r="Q3" s="89"/>
      <c r="R3" s="1" t="s">
        <v>154</v>
      </c>
    </row>
    <row r="4" spans="2:19" x14ac:dyDescent="0.25">
      <c r="B4" s="20" t="s">
        <v>0</v>
      </c>
      <c r="C4" s="13"/>
      <c r="D4" s="13">
        <v>94595000000</v>
      </c>
      <c r="E4" s="13">
        <v>100904000000</v>
      </c>
      <c r="F4" s="13">
        <v>108203000000</v>
      </c>
      <c r="G4" s="13">
        <v>110225000000</v>
      </c>
      <c r="H4" s="13">
        <v>132110000000</v>
      </c>
      <c r="I4" s="90"/>
      <c r="J4" s="91"/>
      <c r="K4" s="13">
        <f>H4*(1+K5)</f>
        <v>138715500000</v>
      </c>
      <c r="L4" s="13">
        <f>K4*(1+L5)</f>
        <v>145651275000</v>
      </c>
      <c r="M4" s="13">
        <f t="shared" ref="M4:O4" si="0">L4*(1+M5)</f>
        <v>152933838750</v>
      </c>
      <c r="N4" s="13">
        <f t="shared" si="0"/>
        <v>160580530687.5</v>
      </c>
      <c r="O4" s="13">
        <f t="shared" si="0"/>
        <v>168609557221.875</v>
      </c>
      <c r="P4" s="1"/>
      <c r="Q4" s="88" t="s">
        <v>0</v>
      </c>
    </row>
    <row r="5" spans="2:19" x14ac:dyDescent="0.25">
      <c r="B5" s="96" t="s">
        <v>1</v>
      </c>
      <c r="C5" s="16"/>
      <c r="D5" s="16" t="e">
        <f>(D4-C4)/C4</f>
        <v>#DIV/0!</v>
      </c>
      <c r="E5" s="16">
        <f t="shared" ref="E5:H5" si="1">(E4-D4)/D4</f>
        <v>6.6694857022041337E-2</v>
      </c>
      <c r="F5" s="16">
        <f t="shared" si="1"/>
        <v>7.2336081820344095E-2</v>
      </c>
      <c r="G5" s="16">
        <f t="shared" si="1"/>
        <v>1.8687097400256925E-2</v>
      </c>
      <c r="H5" s="16">
        <f t="shared" si="1"/>
        <v>0.19854842367883874</v>
      </c>
      <c r="I5" s="16"/>
      <c r="J5" s="16">
        <f>(H4/D4)^(1/I2)-1</f>
        <v>6.9088116627247453E-2</v>
      </c>
      <c r="K5" s="16">
        <f>$S$5</f>
        <v>0.05</v>
      </c>
      <c r="L5" s="16">
        <f>$S$5</f>
        <v>0.05</v>
      </c>
      <c r="M5" s="16">
        <f>$S$5</f>
        <v>0.05</v>
      </c>
      <c r="N5" s="16">
        <f>$S$5</f>
        <v>0.05</v>
      </c>
      <c r="O5" s="16">
        <f>$S$5</f>
        <v>0.05</v>
      </c>
      <c r="P5" s="1"/>
      <c r="Q5" s="88" t="s">
        <v>1</v>
      </c>
      <c r="R5" s="1" t="s">
        <v>20</v>
      </c>
      <c r="S5" s="5">
        <v>0.05</v>
      </c>
    </row>
    <row r="6" spans="2:19" x14ac:dyDescent="0.25">
      <c r="C6" s="86"/>
      <c r="D6" s="86"/>
      <c r="E6" s="86"/>
      <c r="F6" s="86"/>
      <c r="G6" s="86"/>
      <c r="H6" s="86"/>
      <c r="I6" s="100"/>
      <c r="J6" s="100"/>
      <c r="K6" s="86"/>
      <c r="L6" s="86"/>
      <c r="M6" s="86"/>
      <c r="N6" s="86"/>
      <c r="O6" s="86"/>
      <c r="P6" s="1"/>
      <c r="Q6" s="88"/>
      <c r="R6" s="1"/>
      <c r="S6" s="5"/>
    </row>
    <row r="7" spans="2:19" x14ac:dyDescent="0.25">
      <c r="B7" s="20" t="s">
        <v>5</v>
      </c>
      <c r="C7" s="13"/>
      <c r="D7" s="13">
        <v>15436000000</v>
      </c>
      <c r="E7" s="13">
        <v>16817000000</v>
      </c>
      <c r="F7" s="13">
        <v>17759000000</v>
      </c>
      <c r="G7" s="13">
        <v>18212000000</v>
      </c>
      <c r="H7" s="13">
        <v>20844000000</v>
      </c>
      <c r="I7" s="91"/>
      <c r="J7" s="91"/>
      <c r="K7" s="13">
        <f>K4*K8</f>
        <v>22194480000</v>
      </c>
      <c r="L7" s="13">
        <f t="shared" ref="L7:O7" si="2">L4*L8</f>
        <v>23304204000</v>
      </c>
      <c r="M7" s="13">
        <f t="shared" si="2"/>
        <v>24469414200</v>
      </c>
      <c r="N7" s="13">
        <f t="shared" si="2"/>
        <v>25692884910</v>
      </c>
      <c r="O7" s="13">
        <f t="shared" si="2"/>
        <v>26977529155.5</v>
      </c>
      <c r="Q7" s="88" t="s">
        <v>5</v>
      </c>
      <c r="R7" s="1"/>
    </row>
    <row r="8" spans="2:19" x14ac:dyDescent="0.25">
      <c r="B8" s="15" t="s">
        <v>2</v>
      </c>
      <c r="C8" s="16"/>
      <c r="D8" s="16">
        <f>D7/D4</f>
        <v>0.1631798720862625</v>
      </c>
      <c r="E8" s="16">
        <f t="shared" ref="E8:H8" si="3">E7/E4</f>
        <v>0.1666633631967018</v>
      </c>
      <c r="F8" s="16">
        <f t="shared" si="3"/>
        <v>0.16412668779978373</v>
      </c>
      <c r="G8" s="16">
        <f t="shared" si="3"/>
        <v>0.16522567475618055</v>
      </c>
      <c r="H8" s="16">
        <f t="shared" si="3"/>
        <v>0.15777760956778442</v>
      </c>
      <c r="I8" s="92"/>
      <c r="J8" s="16">
        <f>AVERAGE(C8:H8)</f>
        <v>0.16339464148134258</v>
      </c>
      <c r="K8" s="16">
        <f>$S$8</f>
        <v>0.16</v>
      </c>
      <c r="L8" s="16">
        <f t="shared" ref="L8:O8" si="4">$S$8</f>
        <v>0.16</v>
      </c>
      <c r="M8" s="16">
        <f t="shared" si="4"/>
        <v>0.16</v>
      </c>
      <c r="N8" s="16">
        <f t="shared" si="4"/>
        <v>0.16</v>
      </c>
      <c r="O8" s="16">
        <f t="shared" si="4"/>
        <v>0.16</v>
      </c>
      <c r="P8" s="1"/>
      <c r="Q8" s="88" t="s">
        <v>2</v>
      </c>
      <c r="R8" s="1" t="s">
        <v>21</v>
      </c>
      <c r="S8" s="5">
        <v>0.16</v>
      </c>
    </row>
    <row r="9" spans="2:19" x14ac:dyDescent="0.25">
      <c r="C9" s="86"/>
      <c r="D9" s="86"/>
      <c r="E9" s="86"/>
      <c r="F9" s="86"/>
      <c r="G9" s="86"/>
      <c r="H9" s="86"/>
      <c r="I9" s="100"/>
      <c r="J9" s="100"/>
      <c r="K9" s="86"/>
      <c r="L9" s="86"/>
      <c r="M9" s="86"/>
      <c r="N9" s="86"/>
      <c r="O9" s="86"/>
      <c r="P9" s="1"/>
      <c r="Q9" s="88"/>
    </row>
    <row r="10" spans="2:19" x14ac:dyDescent="0.25">
      <c r="B10" s="20" t="s">
        <v>18</v>
      </c>
      <c r="C10" s="13"/>
      <c r="D10" s="13">
        <v>7957000000</v>
      </c>
      <c r="E10" s="13">
        <v>8630000000</v>
      </c>
      <c r="F10" s="13">
        <v>11121000000</v>
      </c>
      <c r="G10" s="13">
        <v>11242000000</v>
      </c>
      <c r="H10" s="13">
        <v>12866000000</v>
      </c>
      <c r="I10" s="91"/>
      <c r="J10" s="91"/>
      <c r="K10" s="13">
        <f>K4*K11</f>
        <v>12484395000</v>
      </c>
      <c r="L10" s="13">
        <f t="shared" ref="L10:O10" si="5">L4*L11</f>
        <v>13108614750</v>
      </c>
      <c r="M10" s="13">
        <f t="shared" si="5"/>
        <v>13764045487.5</v>
      </c>
      <c r="N10" s="13">
        <f t="shared" si="5"/>
        <v>14452247761.875</v>
      </c>
      <c r="O10" s="13">
        <f t="shared" si="5"/>
        <v>15174860149.96875</v>
      </c>
      <c r="P10" s="1"/>
      <c r="Q10" s="88" t="s">
        <v>18</v>
      </c>
    </row>
    <row r="11" spans="2:19" x14ac:dyDescent="0.25">
      <c r="B11" s="15" t="s">
        <v>2</v>
      </c>
      <c r="C11" s="16"/>
      <c r="D11" s="16">
        <f t="shared" ref="D11:H11" si="6">D10/D4</f>
        <v>8.4116496643585809E-2</v>
      </c>
      <c r="E11" s="16">
        <f>E10/E4</f>
        <v>8.5526837389994448E-2</v>
      </c>
      <c r="F11" s="16">
        <f t="shared" si="6"/>
        <v>0.10277903570141309</v>
      </c>
      <c r="G11" s="16">
        <f t="shared" si="6"/>
        <v>0.10199138126559311</v>
      </c>
      <c r="H11" s="16">
        <f t="shared" si="6"/>
        <v>9.738853985315267E-2</v>
      </c>
      <c r="I11" s="92"/>
      <c r="J11" s="16">
        <f>AVERAGE(C11:H11)</f>
        <v>9.4360458170747813E-2</v>
      </c>
      <c r="K11" s="16">
        <f>$S$11</f>
        <v>0.09</v>
      </c>
      <c r="L11" s="16">
        <f t="shared" ref="L11:O11" si="7">$S$11</f>
        <v>0.09</v>
      </c>
      <c r="M11" s="16">
        <f t="shared" si="7"/>
        <v>0.09</v>
      </c>
      <c r="N11" s="16">
        <f t="shared" si="7"/>
        <v>0.09</v>
      </c>
      <c r="O11" s="16">
        <f t="shared" si="7"/>
        <v>0.09</v>
      </c>
      <c r="P11" s="1"/>
      <c r="Q11" s="88" t="s">
        <v>2</v>
      </c>
      <c r="R11" s="1" t="s">
        <v>22</v>
      </c>
      <c r="S11" s="5">
        <v>0.09</v>
      </c>
    </row>
    <row r="12" spans="2:19" x14ac:dyDescent="0.25">
      <c r="B12" s="20" t="s">
        <v>161</v>
      </c>
      <c r="C12" s="86"/>
      <c r="D12" s="9">
        <v>6.6142625607779504</v>
      </c>
      <c r="E12" s="9">
        <v>8.5591216216216193</v>
      </c>
      <c r="F12" s="9">
        <v>9.2703412073490803</v>
      </c>
      <c r="G12" s="9">
        <v>10.255338904363899</v>
      </c>
      <c r="H12" s="9">
        <v>15.2476722532588</v>
      </c>
      <c r="I12" s="100"/>
      <c r="J12" s="100"/>
      <c r="K12" s="86"/>
      <c r="L12" s="86"/>
      <c r="M12" s="86"/>
      <c r="N12" s="86"/>
      <c r="O12" s="86"/>
      <c r="P12" s="1"/>
      <c r="Q12" s="88"/>
    </row>
    <row r="13" spans="2:19" x14ac:dyDescent="0.25">
      <c r="B13" s="97" t="s">
        <v>3</v>
      </c>
      <c r="C13" s="13"/>
      <c r="D13" s="13">
        <f>D17*D12</f>
        <v>8161999999.9999905</v>
      </c>
      <c r="E13" s="13">
        <f t="shared" ref="E13:H13" si="8">E17*E12</f>
        <v>10133999999.999998</v>
      </c>
      <c r="F13" s="13">
        <f t="shared" si="8"/>
        <v>10595999999.999998</v>
      </c>
      <c r="G13" s="13">
        <f t="shared" si="8"/>
        <v>11250106778.087198</v>
      </c>
      <c r="H13" s="13">
        <f t="shared" si="8"/>
        <v>16436990689.012987</v>
      </c>
      <c r="I13" s="91"/>
      <c r="J13" s="91"/>
      <c r="K13" s="13">
        <f>K7*K15</f>
        <v>12206964000.000002</v>
      </c>
      <c r="L13" s="13">
        <f t="shared" ref="L13:O13" si="9">L7*L15</f>
        <v>12817312200.000002</v>
      </c>
      <c r="M13" s="13">
        <f t="shared" si="9"/>
        <v>13458177810.000002</v>
      </c>
      <c r="N13" s="13">
        <f t="shared" si="9"/>
        <v>14131086700.500002</v>
      </c>
      <c r="O13" s="13">
        <f t="shared" si="9"/>
        <v>14837641035.525002</v>
      </c>
      <c r="P13" s="14">
        <f>O7*S21</f>
        <v>539550583110</v>
      </c>
      <c r="Q13" s="88" t="s">
        <v>3</v>
      </c>
    </row>
    <row r="14" spans="2:19" x14ac:dyDescent="0.25">
      <c r="B14" s="12" t="s">
        <v>36</v>
      </c>
      <c r="C14" s="17"/>
      <c r="D14" s="17">
        <f t="shared" ref="D14:H14" si="10">D13/D10</f>
        <v>1.0257634786980006</v>
      </c>
      <c r="E14" s="17">
        <f t="shared" si="10"/>
        <v>1.1742757821552721</v>
      </c>
      <c r="F14" s="17">
        <f t="shared" si="10"/>
        <v>0.95279201510655498</v>
      </c>
      <c r="G14" s="17">
        <f t="shared" si="10"/>
        <v>1.0007211152897348</v>
      </c>
      <c r="H14" s="17">
        <f t="shared" si="10"/>
        <v>1.2775525174112379</v>
      </c>
      <c r="I14" s="91"/>
      <c r="J14" s="17"/>
      <c r="K14" s="93"/>
      <c r="L14" s="93"/>
      <c r="M14" s="93"/>
      <c r="N14" s="93"/>
      <c r="O14" s="93"/>
      <c r="P14" s="1"/>
      <c r="Q14" s="88" t="s">
        <v>36</v>
      </c>
    </row>
    <row r="15" spans="2:19" x14ac:dyDescent="0.25">
      <c r="B15" s="15" t="s">
        <v>4</v>
      </c>
      <c r="C15" s="16"/>
      <c r="D15" s="16">
        <f>D13/D7</f>
        <v>0.52876392847887987</v>
      </c>
      <c r="E15" s="16">
        <f t="shared" ref="E15:H15" si="11">E13/E7</f>
        <v>0.60260450734375914</v>
      </c>
      <c r="F15" s="16">
        <f t="shared" si="11"/>
        <v>0.59665521707303326</v>
      </c>
      <c r="G15" s="16">
        <f t="shared" si="11"/>
        <v>0.61773044026395774</v>
      </c>
      <c r="H15" s="16">
        <f t="shared" si="11"/>
        <v>0.78857180430881724</v>
      </c>
      <c r="I15" s="92"/>
      <c r="J15" s="16">
        <f>AVERAGE(C15:H15)</f>
        <v>0.62686517949368947</v>
      </c>
      <c r="K15" s="16">
        <f>$S$15</f>
        <v>0.55000000000000004</v>
      </c>
      <c r="L15" s="16">
        <f>$S$15</f>
        <v>0.55000000000000004</v>
      </c>
      <c r="M15" s="16">
        <f>$S$15</f>
        <v>0.55000000000000004</v>
      </c>
      <c r="N15" s="16">
        <f>$S$15</f>
        <v>0.55000000000000004</v>
      </c>
      <c r="O15" s="16">
        <f>$S$15</f>
        <v>0.55000000000000004</v>
      </c>
      <c r="P15" s="1"/>
      <c r="Q15" s="15" t="s">
        <v>4</v>
      </c>
      <c r="R15" s="1" t="s">
        <v>45</v>
      </c>
      <c r="S15" s="5">
        <v>0.55000000000000004</v>
      </c>
    </row>
    <row r="16" spans="2:19" x14ac:dyDescent="0.25">
      <c r="D16" s="86"/>
      <c r="E16" s="86"/>
      <c r="F16" s="86"/>
      <c r="G16" s="86"/>
      <c r="H16" s="86"/>
      <c r="I16" s="100"/>
      <c r="J16" s="93"/>
      <c r="K16" s="93"/>
      <c r="L16" s="93"/>
      <c r="M16" s="93"/>
      <c r="N16" s="93"/>
      <c r="O16" s="93"/>
      <c r="P16" s="1"/>
      <c r="Q16" s="88" t="s">
        <v>6</v>
      </c>
      <c r="R16" s="1" t="s">
        <v>23</v>
      </c>
      <c r="S16" s="5">
        <v>0</v>
      </c>
    </row>
    <row r="17" spans="2:20" x14ac:dyDescent="0.25">
      <c r="B17" s="22" t="s">
        <v>39</v>
      </c>
      <c r="C17" s="7"/>
      <c r="D17" s="13">
        <v>1234000000</v>
      </c>
      <c r="E17" s="13">
        <v>1184000000</v>
      </c>
      <c r="F17" s="13">
        <v>1143000000</v>
      </c>
      <c r="G17" s="13">
        <v>1097000000</v>
      </c>
      <c r="H17" s="13">
        <v>1078000000</v>
      </c>
      <c r="I17" s="100"/>
      <c r="J17" s="7">
        <f>H17</f>
        <v>1078000000</v>
      </c>
      <c r="K17" s="7">
        <f>J17</f>
        <v>1078000000</v>
      </c>
      <c r="L17" s="7">
        <f t="shared" ref="L17:O17" si="12">K17</f>
        <v>1078000000</v>
      </c>
      <c r="M17" s="7">
        <f t="shared" si="12"/>
        <v>1078000000</v>
      </c>
      <c r="N17" s="7">
        <f t="shared" si="12"/>
        <v>1078000000</v>
      </c>
      <c r="O17" s="7">
        <f t="shared" si="12"/>
        <v>1078000000</v>
      </c>
      <c r="P17" s="1"/>
      <c r="Q17" s="88"/>
      <c r="R17" s="1" t="s">
        <v>24</v>
      </c>
      <c r="S17" s="5">
        <v>0</v>
      </c>
    </row>
    <row r="18" spans="2:20" x14ac:dyDescent="0.25">
      <c r="C18" s="4"/>
      <c r="D18" s="86"/>
      <c r="E18" s="86"/>
      <c r="F18" s="86"/>
      <c r="G18" s="86"/>
      <c r="H18" s="86"/>
      <c r="I18" s="100"/>
      <c r="J18" s="100"/>
      <c r="K18" s="86"/>
      <c r="L18" s="86"/>
      <c r="M18" s="86"/>
      <c r="N18" s="86"/>
      <c r="O18" s="86"/>
      <c r="P18" s="1"/>
      <c r="Q18" s="88" t="s">
        <v>7</v>
      </c>
      <c r="R18" s="1" t="s">
        <v>25</v>
      </c>
      <c r="S18" s="5">
        <v>0</v>
      </c>
    </row>
    <row r="19" spans="2:20" x14ac:dyDescent="0.25">
      <c r="B19" s="1" t="s">
        <v>162</v>
      </c>
      <c r="C19" s="86"/>
      <c r="D19" s="13">
        <v>2538000000</v>
      </c>
      <c r="E19" s="13">
        <v>3595000000</v>
      </c>
      <c r="F19" s="13">
        <v>1778000000</v>
      </c>
      <c r="G19" s="13">
        <v>2133000000</v>
      </c>
      <c r="H19" s="13">
        <v>7895000000</v>
      </c>
      <c r="I19" s="100"/>
      <c r="J19" s="100"/>
      <c r="K19" s="86"/>
      <c r="L19" s="86"/>
      <c r="M19" s="86"/>
      <c r="N19" s="86"/>
      <c r="O19" s="86"/>
      <c r="P19" s="1"/>
      <c r="Q19" s="88" t="s">
        <v>8</v>
      </c>
      <c r="R19" s="1"/>
    </row>
    <row r="20" spans="2:20" x14ac:dyDescent="0.25">
      <c r="B20" s="1" t="s">
        <v>8</v>
      </c>
      <c r="C20" s="86"/>
      <c r="D20" s="13">
        <v>23601000000</v>
      </c>
      <c r="E20" s="13">
        <v>27028000000</v>
      </c>
      <c r="F20" s="13">
        <v>29202000000</v>
      </c>
      <c r="G20" s="13">
        <v>32311000000</v>
      </c>
      <c r="H20" s="13">
        <v>38066000000</v>
      </c>
      <c r="I20" s="100"/>
      <c r="J20" s="100"/>
      <c r="K20" s="86"/>
      <c r="L20" s="86"/>
      <c r="M20" s="86"/>
      <c r="N20" s="86"/>
      <c r="O20" s="86"/>
      <c r="P20" s="1"/>
      <c r="Q20" s="88" t="s">
        <v>9</v>
      </c>
      <c r="R20" s="1"/>
      <c r="S20" s="11"/>
    </row>
    <row r="21" spans="2:20" x14ac:dyDescent="0.25">
      <c r="B21" s="1" t="s">
        <v>9</v>
      </c>
      <c r="C21" s="86"/>
      <c r="D21" s="86"/>
      <c r="E21" s="86"/>
      <c r="F21" s="86"/>
      <c r="G21" s="86"/>
      <c r="H21" s="86"/>
      <c r="I21" s="100"/>
      <c r="J21" s="93"/>
      <c r="K21" s="86"/>
      <c r="L21" s="86"/>
      <c r="M21" s="86"/>
      <c r="N21" s="86"/>
      <c r="O21" s="86"/>
      <c r="P21" s="1"/>
      <c r="Q21" s="88"/>
      <c r="R21" s="1" t="s">
        <v>26</v>
      </c>
      <c r="S21" s="11">
        <v>20</v>
      </c>
      <c r="T21" s="14"/>
    </row>
    <row r="22" spans="2:20" x14ac:dyDescent="0.25">
      <c r="B22" s="1" t="s">
        <v>35</v>
      </c>
      <c r="C22" s="9"/>
      <c r="D22" s="18">
        <f>D10/D17</f>
        <v>6.4481361426256081</v>
      </c>
      <c r="E22" s="18">
        <f>E10/E17</f>
        <v>7.2888513513513518</v>
      </c>
      <c r="F22" s="18">
        <f>F10/F17</f>
        <v>9.7296587926509179</v>
      </c>
      <c r="G22" s="18">
        <f>G10/G17</f>
        <v>10.247948951686418</v>
      </c>
      <c r="H22" s="18">
        <f>H10/H17</f>
        <v>11.935064935064934</v>
      </c>
      <c r="I22" s="100"/>
      <c r="J22" s="8">
        <f>(H22/D22)^(1/I2)-1</f>
        <v>0.13104039911858534</v>
      </c>
      <c r="K22" s="18">
        <f>K10/K17</f>
        <v>11.581071428571429</v>
      </c>
      <c r="L22" s="18">
        <f t="shared" ref="L22:O22" si="13">L10/L17</f>
        <v>12.160125000000001</v>
      </c>
      <c r="M22" s="18">
        <f t="shared" si="13"/>
        <v>12.76813125</v>
      </c>
      <c r="N22" s="18">
        <f t="shared" si="13"/>
        <v>13.4065378125</v>
      </c>
      <c r="O22" s="18">
        <f t="shared" si="13"/>
        <v>14.076864703125</v>
      </c>
      <c r="P22" s="1"/>
      <c r="Q22" s="88" t="s">
        <v>30</v>
      </c>
      <c r="R22" s="1"/>
      <c r="S22" s="5"/>
    </row>
    <row r="23" spans="2:20" x14ac:dyDescent="0.25">
      <c r="B23" s="1" t="s">
        <v>30</v>
      </c>
      <c r="C23" s="7"/>
      <c r="D23" s="19">
        <f>D17*D25</f>
        <v>161654000000</v>
      </c>
      <c r="E23" s="19">
        <f>E17*E25</f>
        <v>192992000000</v>
      </c>
      <c r="F23" s="19">
        <f>F17*F25</f>
        <v>202311000000</v>
      </c>
      <c r="G23" s="19">
        <f>G17*G25</f>
        <v>194169000000</v>
      </c>
      <c r="H23" s="19">
        <f>H17*H25</f>
        <v>334180000000</v>
      </c>
      <c r="I23" s="100"/>
      <c r="J23" s="19"/>
      <c r="K23" s="86"/>
      <c r="L23" s="86"/>
      <c r="M23" s="86"/>
      <c r="N23" s="86"/>
      <c r="O23" s="86"/>
      <c r="P23" s="1"/>
      <c r="Q23" s="88" t="s">
        <v>10</v>
      </c>
      <c r="R23" s="1"/>
    </row>
    <row r="24" spans="2:20" x14ac:dyDescent="0.25">
      <c r="B24" s="1" t="s">
        <v>10</v>
      </c>
      <c r="C24" s="7"/>
      <c r="D24" s="19">
        <f>D23</f>
        <v>161654000000</v>
      </c>
      <c r="E24" s="19">
        <f>E23</f>
        <v>192992000000</v>
      </c>
      <c r="F24" s="19">
        <f>F23</f>
        <v>202311000000</v>
      </c>
      <c r="G24" s="19">
        <f>G23</f>
        <v>194169000000</v>
      </c>
      <c r="H24" s="19">
        <f>H23</f>
        <v>334180000000</v>
      </c>
      <c r="I24" s="100"/>
      <c r="J24" s="19"/>
      <c r="K24" s="86"/>
      <c r="L24" s="86"/>
      <c r="M24" s="86"/>
      <c r="N24" s="86"/>
      <c r="O24" s="86"/>
      <c r="P24" s="1"/>
      <c r="Q24" s="88" t="s">
        <v>11</v>
      </c>
      <c r="R24" s="1"/>
    </row>
    <row r="25" spans="2:20" x14ac:dyDescent="0.25">
      <c r="B25" s="22" t="s">
        <v>11</v>
      </c>
      <c r="C25" s="86"/>
      <c r="D25" s="86">
        <v>131</v>
      </c>
      <c r="E25" s="86">
        <v>163</v>
      </c>
      <c r="F25" s="86">
        <v>177</v>
      </c>
      <c r="G25" s="86">
        <v>177</v>
      </c>
      <c r="H25" s="86">
        <v>310</v>
      </c>
      <c r="I25" s="100"/>
      <c r="J25" s="100"/>
      <c r="K25" s="86"/>
      <c r="L25" s="86"/>
      <c r="M25" s="86"/>
      <c r="N25" s="86"/>
      <c r="O25" s="86"/>
      <c r="P25" s="1"/>
      <c r="Q25" s="88" t="s">
        <v>12</v>
      </c>
      <c r="R25" s="1"/>
    </row>
    <row r="26" spans="2:20" x14ac:dyDescent="0.25">
      <c r="B26" s="1" t="s">
        <v>12</v>
      </c>
      <c r="C26" s="8"/>
      <c r="D26" s="8" t="e">
        <f>(D25-C25)/C25</f>
        <v>#DIV/0!</v>
      </c>
      <c r="E26" s="8">
        <f>(E25-D25)/D25</f>
        <v>0.24427480916030533</v>
      </c>
      <c r="F26" s="8">
        <f>(F25-E25)/E25</f>
        <v>8.5889570552147243E-2</v>
      </c>
      <c r="G26" s="8">
        <f>(G25-F25)/F25</f>
        <v>0</v>
      </c>
      <c r="H26" s="8">
        <f>(H25-G25)/G25</f>
        <v>0.75141242937853103</v>
      </c>
      <c r="I26" s="100"/>
      <c r="J26" s="100"/>
      <c r="K26" s="86"/>
      <c r="L26" s="86"/>
      <c r="M26" s="86"/>
      <c r="N26" s="86"/>
      <c r="O26" s="86"/>
      <c r="P26" s="1"/>
      <c r="Q26" s="88" t="s">
        <v>13</v>
      </c>
      <c r="R26" s="1" t="s">
        <v>37</v>
      </c>
    </row>
    <row r="27" spans="2:20" x14ac:dyDescent="0.25">
      <c r="B27" s="1" t="s">
        <v>13</v>
      </c>
      <c r="C27" s="9"/>
      <c r="D27" s="9">
        <f>D24/D7</f>
        <v>10.472531743975123</v>
      </c>
      <c r="E27" s="9">
        <f>E24/E7</f>
        <v>11.476006422072903</v>
      </c>
      <c r="F27" s="9">
        <f>F24/F7</f>
        <v>11.392026578073089</v>
      </c>
      <c r="G27" s="9">
        <f>G24/G7</f>
        <v>10.661596749396002</v>
      </c>
      <c r="H27" s="9">
        <f>H24/H7</f>
        <v>16.032431395125695</v>
      </c>
      <c r="I27" s="100"/>
      <c r="J27" s="100"/>
      <c r="K27" s="86"/>
      <c r="L27" s="86"/>
      <c r="M27" s="86"/>
      <c r="N27" s="86"/>
      <c r="O27" s="86"/>
      <c r="P27" s="1"/>
      <c r="Q27" s="88" t="s">
        <v>14</v>
      </c>
      <c r="R27" s="1" t="s">
        <v>159</v>
      </c>
      <c r="S27" s="14">
        <f>S21*O7</f>
        <v>539550583110</v>
      </c>
    </row>
    <row r="28" spans="2:20" x14ac:dyDescent="0.25">
      <c r="B28" s="1" t="s">
        <v>14</v>
      </c>
      <c r="C28" s="9"/>
      <c r="D28" s="9">
        <f>D23/D10</f>
        <v>20.315948221691592</v>
      </c>
      <c r="E28" s="9">
        <f>E23/E10</f>
        <v>22.362920046349942</v>
      </c>
      <c r="F28" s="9">
        <f>F23/F10</f>
        <v>18.191799298624225</v>
      </c>
      <c r="G28" s="9">
        <f>G23/G10</f>
        <v>17.27174879914606</v>
      </c>
      <c r="H28" s="9">
        <f>H23/H10</f>
        <v>25.973884657236127</v>
      </c>
      <c r="I28" s="100"/>
      <c r="J28" s="100"/>
      <c r="K28" s="86"/>
      <c r="L28" s="86"/>
      <c r="M28" s="86"/>
      <c r="N28" s="86"/>
      <c r="O28" s="86"/>
      <c r="P28" s="1"/>
      <c r="Q28" s="88" t="s">
        <v>15</v>
      </c>
      <c r="R28" s="1" t="s">
        <v>29</v>
      </c>
      <c r="S28" s="6">
        <f>H19</f>
        <v>7895000000</v>
      </c>
    </row>
    <row r="29" spans="2:20" x14ac:dyDescent="0.25">
      <c r="B29" s="1" t="s">
        <v>15</v>
      </c>
      <c r="C29" s="10"/>
      <c r="D29" s="10">
        <f>D13/D23</f>
        <v>5.049055389906832E-2</v>
      </c>
      <c r="E29" s="10">
        <f>E13/E23</f>
        <v>5.2509948598905641E-2</v>
      </c>
      <c r="F29" s="10">
        <f>F13/F23</f>
        <v>5.2374809081068244E-2</v>
      </c>
      <c r="G29" s="10">
        <f>G13/G23</f>
        <v>5.7939767821264969E-2</v>
      </c>
      <c r="H29" s="10">
        <f>H13/H23</f>
        <v>4.9186039526641294E-2</v>
      </c>
      <c r="I29" s="100"/>
      <c r="J29" s="100"/>
      <c r="K29" s="86"/>
      <c r="L29" s="86"/>
      <c r="M29" s="86"/>
      <c r="N29" s="86"/>
      <c r="O29" s="93"/>
      <c r="P29" s="1"/>
      <c r="Q29" s="88"/>
      <c r="R29" s="1" t="s">
        <v>28</v>
      </c>
      <c r="S29" s="6">
        <f>H20*(-1)</f>
        <v>-38066000000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88"/>
      <c r="R30" s="1" t="s">
        <v>30</v>
      </c>
      <c r="S30" s="14">
        <f>S27+S28+S29</f>
        <v>509379583110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88"/>
      <c r="R31" s="1" t="s">
        <v>157</v>
      </c>
      <c r="S31" s="83">
        <f>S30/O17</f>
        <v>472.52280436920222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88"/>
      <c r="R32" s="1"/>
      <c r="S32" s="14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88"/>
      <c r="R33" s="1" t="s">
        <v>31</v>
      </c>
      <c r="S33" s="84">
        <v>0.1</v>
      </c>
    </row>
    <row r="34" spans="2:19" x14ac:dyDescent="0.25">
      <c r="B34" s="1" t="s"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88"/>
      <c r="R34" s="1"/>
      <c r="S34" s="14"/>
    </row>
    <row r="35" spans="2:19" x14ac:dyDescent="0.25">
      <c r="B35" s="1" t="s">
        <v>42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88"/>
      <c r="R35" s="1" t="s">
        <v>32</v>
      </c>
      <c r="S35" s="14">
        <f>NPV(S33,K13:P13)</f>
        <v>355228356350.95386</v>
      </c>
    </row>
    <row r="36" spans="2:19" x14ac:dyDescent="0.25">
      <c r="R36" s="1" t="s">
        <v>156</v>
      </c>
      <c r="S36" s="14">
        <f>S35/O17</f>
        <v>329.52537694893681</v>
      </c>
    </row>
    <row r="37" spans="2:19" x14ac:dyDescent="0.25">
      <c r="R37" s="1"/>
      <c r="S37" s="14"/>
    </row>
    <row r="38" spans="2:19" ht="17.25" x14ac:dyDescent="0.25">
      <c r="B38" s="94"/>
      <c r="R38" s="1" t="s">
        <v>158</v>
      </c>
      <c r="S38" s="84">
        <v>0.25</v>
      </c>
    </row>
    <row r="40" spans="2:19" x14ac:dyDescent="0.25">
      <c r="R40" s="1" t="s">
        <v>153</v>
      </c>
      <c r="S40" s="14">
        <f>S36*(1-S38)</f>
        <v>247.14403271170261</v>
      </c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9D9E-D9D3-4690-B98E-6308132DBEFD}">
  <dimension ref="B1:T40"/>
  <sheetViews>
    <sheetView workbookViewId="0">
      <selection activeCell="J23" sqref="J23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4" width="17.7109375" style="1" bestFit="1" customWidth="1"/>
    <col min="5" max="5" width="20.5703125" style="1" bestFit="1" customWidth="1"/>
    <col min="6" max="6" width="21.85546875" style="1" bestFit="1" customWidth="1"/>
    <col min="7" max="8" width="20.5703125" style="1" bestFit="1" customWidth="1"/>
    <col min="10" max="10" width="15.85546875" bestFit="1" customWidth="1"/>
    <col min="11" max="15" width="20.5703125" bestFit="1" customWidth="1"/>
    <col min="16" max="16" width="20.5703125" customWidth="1"/>
    <col min="17" max="17" width="31.7109375" style="87" customWidth="1"/>
    <col min="18" max="18" width="32.28515625" bestFit="1" customWidth="1"/>
    <col min="19" max="19" width="19.85546875" bestFit="1" customWidth="1"/>
    <col min="20" max="20" width="19.140625" bestFit="1" customWidth="1"/>
  </cols>
  <sheetData>
    <row r="1" spans="2:19" x14ac:dyDescent="0.25">
      <c r="B1" s="1" t="s">
        <v>160</v>
      </c>
    </row>
    <row r="2" spans="2:19" x14ac:dyDescent="0.25">
      <c r="C2" s="102" t="s">
        <v>16</v>
      </c>
      <c r="D2" s="102"/>
      <c r="E2" s="102"/>
      <c r="F2" s="102"/>
      <c r="G2" s="102"/>
      <c r="H2" s="102"/>
      <c r="I2" s="95">
        <v>4</v>
      </c>
      <c r="J2" s="95" t="s">
        <v>34</v>
      </c>
      <c r="K2" s="102" t="s">
        <v>17</v>
      </c>
      <c r="L2" s="102"/>
      <c r="M2" s="102"/>
      <c r="N2" s="102"/>
      <c r="O2" s="102"/>
      <c r="P2" s="1"/>
      <c r="Q2" s="88"/>
      <c r="R2" s="103" t="s">
        <v>19</v>
      </c>
      <c r="S2" s="103"/>
    </row>
    <row r="3" spans="2:19" x14ac:dyDescent="0.25">
      <c r="B3" s="2">
        <v>44409</v>
      </c>
      <c r="C3" s="95"/>
      <c r="D3" s="95">
        <v>2017</v>
      </c>
      <c r="E3" s="95">
        <v>2018</v>
      </c>
      <c r="F3" s="95">
        <v>2019</v>
      </c>
      <c r="G3" s="95">
        <v>2020</v>
      </c>
      <c r="H3" s="95">
        <v>2021</v>
      </c>
      <c r="I3" s="95"/>
      <c r="J3" s="95"/>
      <c r="K3" s="95">
        <v>2021</v>
      </c>
      <c r="L3" s="95">
        <v>2022</v>
      </c>
      <c r="M3" s="95">
        <v>2023</v>
      </c>
      <c r="N3" s="95">
        <v>2024</v>
      </c>
      <c r="O3" s="95">
        <v>2025</v>
      </c>
      <c r="P3" s="95"/>
      <c r="Q3" s="89"/>
      <c r="R3" s="1" t="s">
        <v>154</v>
      </c>
    </row>
    <row r="4" spans="2:19" x14ac:dyDescent="0.25">
      <c r="B4" s="20" t="s">
        <v>0</v>
      </c>
      <c r="C4" s="13"/>
      <c r="D4" s="13">
        <v>5253000000</v>
      </c>
      <c r="E4" s="13">
        <v>6475000000</v>
      </c>
      <c r="F4" s="13">
        <v>6731000000</v>
      </c>
      <c r="G4" s="13">
        <v>9763000000</v>
      </c>
      <c r="H4" s="13">
        <v>16434000000</v>
      </c>
      <c r="I4" s="90"/>
      <c r="J4" s="91"/>
      <c r="K4" s="13">
        <f>H4*(1+K5)</f>
        <v>19720800000</v>
      </c>
      <c r="L4" s="13">
        <f>K4*(1+L5)</f>
        <v>23664960000</v>
      </c>
      <c r="M4" s="13">
        <f t="shared" ref="M4:O4" si="0">L4*(1+M5)</f>
        <v>28397952000</v>
      </c>
      <c r="N4" s="13">
        <f t="shared" si="0"/>
        <v>34077542400</v>
      </c>
      <c r="O4" s="13">
        <f t="shared" si="0"/>
        <v>40893050880</v>
      </c>
      <c r="P4" s="1"/>
      <c r="Q4" s="88" t="s">
        <v>0</v>
      </c>
    </row>
    <row r="5" spans="2:19" x14ac:dyDescent="0.25">
      <c r="B5" s="96" t="s">
        <v>1</v>
      </c>
      <c r="C5" s="16"/>
      <c r="D5" s="16" t="e">
        <f>(D4-C4)/C4</f>
        <v>#DIV/0!</v>
      </c>
      <c r="E5" s="16">
        <f t="shared" ref="E5:H5" si="1">(E4-D4)/D4</f>
        <v>0.23262897391966494</v>
      </c>
      <c r="F5" s="16">
        <f t="shared" si="1"/>
        <v>3.9536679536679539E-2</v>
      </c>
      <c r="G5" s="16">
        <f t="shared" si="1"/>
        <v>0.45045312732134896</v>
      </c>
      <c r="H5" s="16">
        <f t="shared" si="1"/>
        <v>0.68329406944586701</v>
      </c>
      <c r="I5" s="16"/>
      <c r="J5" s="16">
        <f>(G4/D4)^(1/I2)-1</f>
        <v>0.16759969300309474</v>
      </c>
      <c r="K5" s="16">
        <f>$S$5</f>
        <v>0.2</v>
      </c>
      <c r="L5" s="16">
        <f>$S$5</f>
        <v>0.2</v>
      </c>
      <c r="M5" s="16">
        <f>$S$5</f>
        <v>0.2</v>
      </c>
      <c r="N5" s="16">
        <f>$S$5</f>
        <v>0.2</v>
      </c>
      <c r="O5" s="16">
        <f>$S$5</f>
        <v>0.2</v>
      </c>
      <c r="P5" s="1"/>
      <c r="Q5" s="88" t="s">
        <v>1</v>
      </c>
      <c r="R5" s="1" t="s">
        <v>20</v>
      </c>
      <c r="S5" s="5">
        <v>0.2</v>
      </c>
    </row>
    <row r="6" spans="2:19" x14ac:dyDescent="0.25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1"/>
      <c r="Q6" s="88"/>
      <c r="R6" s="1"/>
      <c r="S6" s="5"/>
    </row>
    <row r="7" spans="2:19" x14ac:dyDescent="0.25">
      <c r="B7" s="20" t="s">
        <v>5</v>
      </c>
      <c r="C7" s="13"/>
      <c r="D7" s="13">
        <v>256000000</v>
      </c>
      <c r="E7" s="13">
        <v>619000000</v>
      </c>
      <c r="F7" s="13">
        <v>737000000</v>
      </c>
      <c r="G7" s="13">
        <v>1681000000</v>
      </c>
      <c r="H7" s="13">
        <v>4172000000</v>
      </c>
      <c r="I7" s="91"/>
      <c r="J7" s="91"/>
      <c r="K7" s="13">
        <f>K4*K8</f>
        <v>4930200000</v>
      </c>
      <c r="L7" s="13">
        <f t="shared" ref="L7:O7" si="2">L4*L8</f>
        <v>5916240000</v>
      </c>
      <c r="M7" s="13">
        <f t="shared" si="2"/>
        <v>7099488000</v>
      </c>
      <c r="N7" s="13">
        <f t="shared" si="2"/>
        <v>8519385600</v>
      </c>
      <c r="O7" s="13">
        <f t="shared" si="2"/>
        <v>10223262720</v>
      </c>
      <c r="Q7" s="88" t="s">
        <v>5</v>
      </c>
      <c r="R7" s="1"/>
    </row>
    <row r="8" spans="2:19" x14ac:dyDescent="0.25">
      <c r="B8" s="15" t="s">
        <v>2</v>
      </c>
      <c r="C8" s="16"/>
      <c r="D8" s="16">
        <f>D7/D4</f>
        <v>4.8734056729487912E-2</v>
      </c>
      <c r="E8" s="16">
        <f t="shared" ref="E8:H8" si="3">E7/E4</f>
        <v>9.5598455598455603E-2</v>
      </c>
      <c r="F8" s="16">
        <f t="shared" si="3"/>
        <v>0.10949338879809835</v>
      </c>
      <c r="G8" s="16">
        <f t="shared" si="3"/>
        <v>0.17218068216736659</v>
      </c>
      <c r="H8" s="16">
        <f t="shared" si="3"/>
        <v>0.25386394061092854</v>
      </c>
      <c r="I8" s="92"/>
      <c r="J8" s="16">
        <f>AVERAGE(C8:G8)</f>
        <v>0.10650164582335211</v>
      </c>
      <c r="K8" s="16">
        <f>$S$8</f>
        <v>0.25</v>
      </c>
      <c r="L8" s="16">
        <f t="shared" ref="L8:O8" si="4">$S$8</f>
        <v>0.25</v>
      </c>
      <c r="M8" s="16">
        <f t="shared" si="4"/>
        <v>0.25</v>
      </c>
      <c r="N8" s="16">
        <f t="shared" si="4"/>
        <v>0.25</v>
      </c>
      <c r="O8" s="16">
        <f t="shared" si="4"/>
        <v>0.25</v>
      </c>
      <c r="P8" s="1"/>
      <c r="Q8" s="88" t="s">
        <v>2</v>
      </c>
      <c r="R8" s="1" t="s">
        <v>21</v>
      </c>
      <c r="S8" s="5">
        <v>0.25</v>
      </c>
    </row>
    <row r="9" spans="2:19" x14ac:dyDescent="0.25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1"/>
      <c r="Q9" s="88"/>
    </row>
    <row r="10" spans="2:19" x14ac:dyDescent="0.25">
      <c r="B10" s="20" t="s">
        <v>18</v>
      </c>
      <c r="C10" s="13"/>
      <c r="D10" s="13">
        <v>-33000000</v>
      </c>
      <c r="E10" s="13">
        <v>337000000</v>
      </c>
      <c r="F10" s="13">
        <v>341000000</v>
      </c>
      <c r="G10" s="13">
        <v>2490000000</v>
      </c>
      <c r="H10" s="13">
        <v>3162000000</v>
      </c>
      <c r="I10" s="91"/>
      <c r="J10" s="91"/>
      <c r="K10" s="13">
        <f>K4*K11</f>
        <v>3944160000</v>
      </c>
      <c r="L10" s="13">
        <f t="shared" ref="L10:O10" si="5">L4*L11</f>
        <v>4732992000</v>
      </c>
      <c r="M10" s="13">
        <f t="shared" si="5"/>
        <v>5679590400</v>
      </c>
      <c r="N10" s="13">
        <f t="shared" si="5"/>
        <v>6815508480</v>
      </c>
      <c r="O10" s="13">
        <f t="shared" si="5"/>
        <v>8178610176</v>
      </c>
      <c r="P10" s="1"/>
      <c r="Q10" s="88" t="s">
        <v>18</v>
      </c>
    </row>
    <row r="11" spans="2:19" x14ac:dyDescent="0.25">
      <c r="B11" s="15" t="s">
        <v>2</v>
      </c>
      <c r="C11" s="16"/>
      <c r="D11" s="16">
        <f t="shared" ref="D11:H11" si="6">D10/D4</f>
        <v>-6.2821245002855509E-3</v>
      </c>
      <c r="E11" s="16">
        <f>E10/E4</f>
        <v>5.2046332046332043E-2</v>
      </c>
      <c r="F11" s="16">
        <f t="shared" si="6"/>
        <v>5.0661120190164909E-2</v>
      </c>
      <c r="G11" s="16">
        <f t="shared" si="6"/>
        <v>0.25504455597664655</v>
      </c>
      <c r="H11" s="16">
        <f t="shared" si="6"/>
        <v>0.19240598758671049</v>
      </c>
      <c r="I11" s="92"/>
      <c r="J11" s="16">
        <f>AVERAGE(C11:G11)</f>
        <v>8.7867470928214481E-2</v>
      </c>
      <c r="K11" s="16">
        <f>$S$11</f>
        <v>0.2</v>
      </c>
      <c r="L11" s="16">
        <f t="shared" ref="L11:O11" si="7">$S$11</f>
        <v>0.2</v>
      </c>
      <c r="M11" s="16">
        <f t="shared" si="7"/>
        <v>0.2</v>
      </c>
      <c r="N11" s="16">
        <f t="shared" si="7"/>
        <v>0.2</v>
      </c>
      <c r="O11" s="16">
        <f t="shared" si="7"/>
        <v>0.2</v>
      </c>
      <c r="P11" s="1"/>
      <c r="Q11" s="88" t="s">
        <v>2</v>
      </c>
      <c r="R11" s="1" t="s">
        <v>22</v>
      </c>
      <c r="S11" s="5">
        <v>0.2</v>
      </c>
    </row>
    <row r="12" spans="2:19" x14ac:dyDescent="0.25">
      <c r="B12" s="20" t="s">
        <v>161</v>
      </c>
      <c r="C12" s="95"/>
      <c r="D12">
        <v>-4.7268907563025202E-2</v>
      </c>
      <c r="E12">
        <v>-0.121240601503759</v>
      </c>
      <c r="F12">
        <v>0.246428571428571</v>
      </c>
      <c r="G12">
        <v>0.65625</v>
      </c>
      <c r="H12">
        <v>2.6545754328112099</v>
      </c>
      <c r="I12" s="95"/>
      <c r="J12" s="95"/>
      <c r="K12" s="95"/>
      <c r="L12" s="95"/>
      <c r="M12" s="95"/>
      <c r="N12" s="95"/>
      <c r="O12" s="95"/>
      <c r="P12" s="1"/>
      <c r="Q12" s="88"/>
    </row>
    <row r="13" spans="2:19" x14ac:dyDescent="0.25">
      <c r="B13" s="97" t="s">
        <v>3</v>
      </c>
      <c r="C13" s="13"/>
      <c r="D13" s="13">
        <f>D17*D12</f>
        <v>-44999999.999999993</v>
      </c>
      <c r="E13" s="13">
        <f t="shared" ref="E13:H13" si="8">E17*E12</f>
        <v>-128999999.99999957</v>
      </c>
      <c r="F13" s="13">
        <f t="shared" si="8"/>
        <v>275999999.99999952</v>
      </c>
      <c r="G13" s="13">
        <f t="shared" si="8"/>
        <v>777000000</v>
      </c>
      <c r="H13" s="13">
        <f t="shared" si="8"/>
        <v>3219999999.9999976</v>
      </c>
      <c r="I13" s="91"/>
      <c r="J13" s="91"/>
      <c r="K13" s="13">
        <f>K7*K15</f>
        <v>3796254000</v>
      </c>
      <c r="L13" s="13">
        <f t="shared" ref="L13:O13" si="9">L7*L15</f>
        <v>4555504800</v>
      </c>
      <c r="M13" s="13">
        <f t="shared" si="9"/>
        <v>5466605760</v>
      </c>
      <c r="N13" s="13">
        <f t="shared" si="9"/>
        <v>6559926912</v>
      </c>
      <c r="O13" s="13">
        <f t="shared" si="9"/>
        <v>7871912294.4000006</v>
      </c>
      <c r="P13" s="14">
        <f>O7*S21</f>
        <v>204465254400</v>
      </c>
      <c r="Q13" s="88" t="s">
        <v>3</v>
      </c>
    </row>
    <row r="14" spans="2:19" x14ac:dyDescent="0.25">
      <c r="B14" s="12" t="s">
        <v>36</v>
      </c>
      <c r="C14" s="17"/>
      <c r="D14" s="17">
        <f t="shared" ref="D14:H14" si="10">D13/D10</f>
        <v>1.3636363636363633</v>
      </c>
      <c r="E14" s="17">
        <f t="shared" si="10"/>
        <v>-0.38278931750741713</v>
      </c>
      <c r="F14" s="17">
        <f t="shared" si="10"/>
        <v>0.80938416422287252</v>
      </c>
      <c r="G14" s="17">
        <f t="shared" si="10"/>
        <v>0.31204819277108437</v>
      </c>
      <c r="H14" s="17">
        <f t="shared" si="10"/>
        <v>1.0183428209993668</v>
      </c>
      <c r="I14" s="91"/>
      <c r="J14" s="17"/>
      <c r="K14" s="93"/>
      <c r="L14" s="93"/>
      <c r="M14" s="93"/>
      <c r="N14" s="93"/>
      <c r="O14" s="93"/>
      <c r="P14" s="1"/>
      <c r="Q14" s="88" t="s">
        <v>36</v>
      </c>
    </row>
    <row r="15" spans="2:19" x14ac:dyDescent="0.25">
      <c r="B15" s="15" t="s">
        <v>4</v>
      </c>
      <c r="C15" s="16"/>
      <c r="D15" s="16">
        <f>D13/D7</f>
        <v>-0.17578124999999997</v>
      </c>
      <c r="E15" s="16">
        <f t="shared" ref="E15:H15" si="11">E13/E7</f>
        <v>-0.20840064620355342</v>
      </c>
      <c r="F15" s="16">
        <f t="shared" si="11"/>
        <v>0.37449118046132907</v>
      </c>
      <c r="G15" s="16">
        <f t="shared" si="11"/>
        <v>0.46222486615110053</v>
      </c>
      <c r="H15" s="16">
        <f t="shared" si="11"/>
        <v>0.77181208053691219</v>
      </c>
      <c r="I15" s="92"/>
      <c r="J15" s="16">
        <f>AVERAGE(C15:G15)</f>
        <v>0.11313353760221906</v>
      </c>
      <c r="K15" s="16">
        <f>$S$15</f>
        <v>0.77</v>
      </c>
      <c r="L15" s="16">
        <f>$S$15</f>
        <v>0.77</v>
      </c>
      <c r="M15" s="16">
        <f>$S$15</f>
        <v>0.77</v>
      </c>
      <c r="N15" s="16">
        <f>$S$15</f>
        <v>0.77</v>
      </c>
      <c r="O15" s="16">
        <f>$S$15</f>
        <v>0.77</v>
      </c>
      <c r="P15" s="1"/>
      <c r="Q15" s="15" t="s">
        <v>4</v>
      </c>
      <c r="R15" s="1" t="s">
        <v>45</v>
      </c>
      <c r="S15" s="5">
        <v>0.77</v>
      </c>
    </row>
    <row r="16" spans="2:19" x14ac:dyDescent="0.25">
      <c r="D16" s="95"/>
      <c r="E16" s="95"/>
      <c r="F16" s="95"/>
      <c r="G16" s="95"/>
      <c r="H16" s="95"/>
      <c r="I16" s="95"/>
      <c r="J16" s="93"/>
      <c r="K16" s="93"/>
      <c r="L16" s="93"/>
      <c r="M16" s="93"/>
      <c r="N16" s="93"/>
      <c r="O16" s="93"/>
      <c r="P16" s="1"/>
      <c r="Q16" s="88" t="s">
        <v>6</v>
      </c>
      <c r="R16" s="1" t="s">
        <v>23</v>
      </c>
      <c r="S16" s="5">
        <v>0</v>
      </c>
    </row>
    <row r="17" spans="2:20" x14ac:dyDescent="0.25">
      <c r="B17" s="22" t="s">
        <v>39</v>
      </c>
      <c r="C17" s="7"/>
      <c r="D17" s="13">
        <v>952000000</v>
      </c>
      <c r="E17" s="13">
        <v>1064000000</v>
      </c>
      <c r="F17" s="13">
        <v>1120000000</v>
      </c>
      <c r="G17" s="13">
        <v>1184000000</v>
      </c>
      <c r="H17" s="13">
        <v>1213000000</v>
      </c>
      <c r="I17" s="95"/>
      <c r="J17" s="7">
        <f>H17</f>
        <v>1213000000</v>
      </c>
      <c r="K17" s="7">
        <f>J17</f>
        <v>1213000000</v>
      </c>
      <c r="L17" s="7">
        <f t="shared" ref="L17:O17" si="12">K17</f>
        <v>1213000000</v>
      </c>
      <c r="M17" s="7">
        <f t="shared" si="12"/>
        <v>1213000000</v>
      </c>
      <c r="N17" s="7">
        <f t="shared" si="12"/>
        <v>1213000000</v>
      </c>
      <c r="O17" s="7">
        <f t="shared" si="12"/>
        <v>1213000000</v>
      </c>
      <c r="P17" s="1"/>
      <c r="Q17" s="88"/>
      <c r="R17" s="1" t="s">
        <v>24</v>
      </c>
      <c r="S17" s="5">
        <v>0</v>
      </c>
    </row>
    <row r="18" spans="2:20" x14ac:dyDescent="0.25">
      <c r="C18" s="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1"/>
      <c r="Q18" s="88" t="s">
        <v>7</v>
      </c>
      <c r="R18" s="1" t="s">
        <v>25</v>
      </c>
      <c r="S18" s="5">
        <v>0</v>
      </c>
    </row>
    <row r="19" spans="2:20" x14ac:dyDescent="0.25">
      <c r="B19" s="22" t="s">
        <v>162</v>
      </c>
      <c r="C19" s="95"/>
      <c r="D19" s="13">
        <v>1185000000</v>
      </c>
      <c r="E19" s="13">
        <v>1078000000</v>
      </c>
      <c r="F19" s="13">
        <v>1466000000</v>
      </c>
      <c r="G19" s="13">
        <v>1595000000</v>
      </c>
      <c r="H19" s="13">
        <v>2535000000</v>
      </c>
      <c r="I19" s="95"/>
      <c r="J19" s="95"/>
      <c r="K19" s="95"/>
      <c r="L19" s="95"/>
      <c r="M19" s="95"/>
      <c r="N19" s="95"/>
      <c r="O19" s="95"/>
      <c r="P19" s="1"/>
      <c r="Q19" s="88" t="s">
        <v>8</v>
      </c>
      <c r="R19" s="1"/>
    </row>
    <row r="20" spans="2:20" x14ac:dyDescent="0.25">
      <c r="B20" s="22" t="s">
        <v>8</v>
      </c>
      <c r="C20" s="95"/>
      <c r="D20" s="13">
        <v>1395000000</v>
      </c>
      <c r="E20" s="13">
        <v>1250000000</v>
      </c>
      <c r="F20" s="13">
        <v>529000000</v>
      </c>
      <c r="G20" s="13">
        <v>531000000</v>
      </c>
      <c r="H20" s="13">
        <v>661000000</v>
      </c>
      <c r="I20" s="95"/>
      <c r="J20" s="95"/>
      <c r="K20" s="95"/>
      <c r="L20" s="95"/>
      <c r="M20" s="95"/>
      <c r="N20" s="95"/>
      <c r="O20" s="95"/>
      <c r="P20" s="1"/>
      <c r="Q20" s="88" t="s">
        <v>9</v>
      </c>
      <c r="R20" s="1"/>
      <c r="S20" s="11"/>
    </row>
    <row r="21" spans="2:20" x14ac:dyDescent="0.25">
      <c r="B21" s="1" t="s">
        <v>9</v>
      </c>
      <c r="C21" s="95"/>
      <c r="D21" s="95"/>
      <c r="E21" s="95"/>
      <c r="F21" s="95"/>
      <c r="G21" s="95"/>
      <c r="H21" s="95"/>
      <c r="I21" s="95"/>
      <c r="J21" s="93"/>
      <c r="K21" s="95"/>
      <c r="L21" s="95"/>
      <c r="M21" s="95"/>
      <c r="N21" s="95"/>
      <c r="O21" s="95"/>
      <c r="P21" s="1"/>
      <c r="Q21" s="88"/>
      <c r="R21" s="1" t="s">
        <v>26</v>
      </c>
      <c r="S21" s="11">
        <v>20</v>
      </c>
      <c r="T21" s="14"/>
    </row>
    <row r="22" spans="2:20" x14ac:dyDescent="0.25">
      <c r="B22" s="1" t="s">
        <v>35</v>
      </c>
      <c r="C22" s="9"/>
      <c r="D22" s="18">
        <f>D10/D17</f>
        <v>-3.4663865546218489E-2</v>
      </c>
      <c r="E22" s="18">
        <f>E10/E17</f>
        <v>0.31672932330827069</v>
      </c>
      <c r="F22" s="18">
        <f>F10/F17</f>
        <v>0.30446428571428569</v>
      </c>
      <c r="G22" s="18">
        <f>G10/G17</f>
        <v>2.1030405405405403</v>
      </c>
      <c r="H22" s="18">
        <f>H10/H17</f>
        <v>2.6067600989282771</v>
      </c>
      <c r="I22" s="95"/>
      <c r="J22" s="8" t="e">
        <f>(G22/D22)^(1/I2)-1</f>
        <v>#NUM!</v>
      </c>
      <c r="K22" s="18">
        <f>K10/K17</f>
        <v>3.2515746084089034</v>
      </c>
      <c r="L22" s="18">
        <f t="shared" ref="L22:O22" si="13">L10/L17</f>
        <v>3.9018895300906844</v>
      </c>
      <c r="M22" s="18">
        <f t="shared" si="13"/>
        <v>4.6822674361088215</v>
      </c>
      <c r="N22" s="18">
        <f t="shared" si="13"/>
        <v>5.618720923330585</v>
      </c>
      <c r="O22" s="18">
        <f t="shared" si="13"/>
        <v>6.7424651079967024</v>
      </c>
      <c r="P22" s="1"/>
      <c r="Q22" s="88" t="s">
        <v>30</v>
      </c>
      <c r="R22" s="1"/>
      <c r="S22" s="5"/>
    </row>
    <row r="23" spans="2:20" x14ac:dyDescent="0.25">
      <c r="B23" s="1" t="s">
        <v>30</v>
      </c>
      <c r="C23" s="7"/>
      <c r="D23" s="13">
        <f>D17*D25</f>
        <v>12680640000</v>
      </c>
      <c r="E23" s="13">
        <f>E17*E25</f>
        <v>21471520000</v>
      </c>
      <c r="F23" s="13">
        <f>F17*F25</f>
        <v>55171197760</v>
      </c>
      <c r="G23" s="13">
        <f>G17*G25</f>
        <v>111449916448</v>
      </c>
      <c r="H23" s="13">
        <f>H17*H25</f>
        <v>141350890000</v>
      </c>
      <c r="I23" s="95"/>
      <c r="J23" s="19"/>
      <c r="K23" s="95"/>
      <c r="L23" s="95"/>
      <c r="M23" s="95"/>
      <c r="N23" s="95"/>
      <c r="O23" s="95"/>
      <c r="P23" s="1"/>
      <c r="Q23" s="88" t="s">
        <v>10</v>
      </c>
      <c r="R23" s="1"/>
    </row>
    <row r="24" spans="2:20" x14ac:dyDescent="0.25">
      <c r="B24" s="1" t="s">
        <v>10</v>
      </c>
      <c r="C24" s="7"/>
      <c r="D24" s="13">
        <f>D23</f>
        <v>12680640000</v>
      </c>
      <c r="E24" s="13">
        <f>E23</f>
        <v>21471520000</v>
      </c>
      <c r="F24" s="13">
        <f>F23</f>
        <v>55171197760</v>
      </c>
      <c r="G24" s="13">
        <f>G23</f>
        <v>111449916448</v>
      </c>
      <c r="H24" s="13">
        <f>H23</f>
        <v>141350890000</v>
      </c>
      <c r="I24" s="95"/>
      <c r="J24" s="19"/>
      <c r="K24" s="95"/>
      <c r="L24" s="95"/>
      <c r="M24" s="95"/>
      <c r="N24" s="95"/>
      <c r="O24" s="95"/>
      <c r="P24" s="1"/>
      <c r="Q24" s="88" t="s">
        <v>11</v>
      </c>
      <c r="R24" s="1"/>
    </row>
    <row r="25" spans="2:20" x14ac:dyDescent="0.25">
      <c r="B25" s="22" t="s">
        <v>11</v>
      </c>
      <c r="C25" s="95"/>
      <c r="D25" s="18">
        <v>13.32</v>
      </c>
      <c r="E25" s="18">
        <v>20.18</v>
      </c>
      <c r="F25" s="18">
        <v>49.259998000000003</v>
      </c>
      <c r="G25" s="18">
        <v>94.129997000000003</v>
      </c>
      <c r="H25" s="18">
        <v>116.53</v>
      </c>
      <c r="I25" s="95"/>
      <c r="J25" s="95"/>
      <c r="K25" s="95"/>
      <c r="L25" s="95"/>
      <c r="M25" s="95"/>
      <c r="N25" s="95"/>
      <c r="O25" s="95"/>
      <c r="P25" s="1"/>
      <c r="Q25" s="88" t="s">
        <v>12</v>
      </c>
      <c r="R25" s="1"/>
    </row>
    <row r="26" spans="2:20" x14ac:dyDescent="0.25">
      <c r="B26" s="1" t="s">
        <v>12</v>
      </c>
      <c r="C26" s="8"/>
      <c r="D26" s="8" t="e">
        <f>(D25-C25)/C25</f>
        <v>#DIV/0!</v>
      </c>
      <c r="E26" s="8">
        <f>(E25-D25)/D25</f>
        <v>0.51501501501501501</v>
      </c>
      <c r="F26" s="8">
        <f>(F25-E25)/E25</f>
        <v>1.4410306243805751</v>
      </c>
      <c r="G26" s="8">
        <f>(G25-F25)/F25</f>
        <v>0.91088105606500425</v>
      </c>
      <c r="H26" s="8">
        <f>(H25-G25)/G25</f>
        <v>0.23796880605446102</v>
      </c>
      <c r="I26" s="95"/>
      <c r="J26" s="95"/>
      <c r="K26" s="95"/>
      <c r="L26" s="95"/>
      <c r="M26" s="95"/>
      <c r="N26" s="95"/>
      <c r="O26" s="95"/>
      <c r="P26" s="1"/>
      <c r="Q26" s="88" t="s">
        <v>13</v>
      </c>
      <c r="R26" s="1" t="s">
        <v>37</v>
      </c>
    </row>
    <row r="27" spans="2:20" x14ac:dyDescent="0.25">
      <c r="B27" s="1" t="s">
        <v>13</v>
      </c>
      <c r="C27" s="9"/>
      <c r="D27" s="9">
        <f>D24/D7</f>
        <v>49.533749999999998</v>
      </c>
      <c r="E27" s="9">
        <f>E24/E7</f>
        <v>34.687431340872372</v>
      </c>
      <c r="F27" s="9">
        <f>F24/F7</f>
        <v>74.859155712347359</v>
      </c>
      <c r="G27" s="9">
        <f>G24/G7</f>
        <v>66.299771831052951</v>
      </c>
      <c r="H27" s="9">
        <f>H24/H7</f>
        <v>33.880846116970275</v>
      </c>
      <c r="I27" s="95"/>
      <c r="J27" s="95"/>
      <c r="K27" s="95"/>
      <c r="L27" s="95"/>
      <c r="M27" s="95"/>
      <c r="N27" s="95"/>
      <c r="O27" s="95"/>
      <c r="P27" s="1"/>
      <c r="Q27" s="88" t="s">
        <v>14</v>
      </c>
      <c r="R27" s="1" t="s">
        <v>159</v>
      </c>
      <c r="S27" s="14">
        <f>S21*O7</f>
        <v>204465254400</v>
      </c>
    </row>
    <row r="28" spans="2:20" x14ac:dyDescent="0.25">
      <c r="B28" s="1" t="s">
        <v>14</v>
      </c>
      <c r="C28" s="9"/>
      <c r="D28" s="9">
        <f>D23/D10</f>
        <v>-384.26181818181817</v>
      </c>
      <c r="E28" s="9">
        <f>E23/E10</f>
        <v>63.713709198813056</v>
      </c>
      <c r="F28" s="9">
        <f>F23/F10</f>
        <v>161.79236879765395</v>
      </c>
      <c r="G28" s="9">
        <f>G23/G10</f>
        <v>44.759002589558236</v>
      </c>
      <c r="H28" s="9">
        <f>H23/H10</f>
        <v>44.703001265022138</v>
      </c>
      <c r="I28" s="95"/>
      <c r="J28" s="95"/>
      <c r="K28" s="95"/>
      <c r="L28" s="95"/>
      <c r="M28" s="95"/>
      <c r="N28" s="95"/>
      <c r="O28" s="95"/>
      <c r="P28" s="1"/>
      <c r="Q28" s="88" t="s">
        <v>15</v>
      </c>
      <c r="R28" s="1" t="s">
        <v>29</v>
      </c>
      <c r="S28" s="6">
        <f>H19</f>
        <v>2535000000</v>
      </c>
    </row>
    <row r="29" spans="2:20" x14ac:dyDescent="0.25">
      <c r="B29" s="1" t="s">
        <v>15</v>
      </c>
      <c r="C29" s="10"/>
      <c r="D29" s="10">
        <f>D13/D23</f>
        <v>-3.5487167840109013E-3</v>
      </c>
      <c r="E29" s="10">
        <f>E13/E23</f>
        <v>-6.007958449145639E-3</v>
      </c>
      <c r="F29" s="10">
        <f>F13/F23</f>
        <v>5.0026102605316997E-3</v>
      </c>
      <c r="G29" s="10">
        <f>G13/G23</f>
        <v>6.9717414311614182E-3</v>
      </c>
      <c r="H29" s="10">
        <f>H13/H23</f>
        <v>2.278018907415438E-2</v>
      </c>
      <c r="I29" s="95"/>
      <c r="J29" s="95"/>
      <c r="K29" s="95"/>
      <c r="L29" s="95"/>
      <c r="M29" s="95"/>
      <c r="N29" s="95"/>
      <c r="O29" s="93"/>
      <c r="P29" s="1"/>
      <c r="Q29" s="88"/>
      <c r="R29" s="1" t="s">
        <v>28</v>
      </c>
      <c r="S29" s="6">
        <f>H20*(-1)</f>
        <v>-661000000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88"/>
      <c r="R30" s="1" t="s">
        <v>30</v>
      </c>
      <c r="S30" s="14">
        <f>S27+S28+S29</f>
        <v>206339254400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88"/>
      <c r="R31" s="1" t="s">
        <v>157</v>
      </c>
      <c r="S31" s="83">
        <f>S30/O17</f>
        <v>170.10655762572136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88"/>
      <c r="R32" s="1"/>
      <c r="S32" s="14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88"/>
      <c r="R33" s="1" t="s">
        <v>31</v>
      </c>
      <c r="S33" s="84">
        <v>0.1</v>
      </c>
    </row>
    <row r="34" spans="2:19" x14ac:dyDescent="0.25">
      <c r="B34" s="1" t="s"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88"/>
      <c r="R34" s="1"/>
      <c r="S34" s="14"/>
    </row>
    <row r="35" spans="2:19" x14ac:dyDescent="0.25">
      <c r="B35" s="1" t="s">
        <v>42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88"/>
      <c r="R35" s="1" t="s">
        <v>32</v>
      </c>
      <c r="S35" s="14">
        <f>NPV(S33,K13:P13)</f>
        <v>136106824072.74707</v>
      </c>
    </row>
    <row r="36" spans="2:19" x14ac:dyDescent="0.25">
      <c r="R36" s="1" t="s">
        <v>156</v>
      </c>
      <c r="S36" s="14">
        <f>S35/O17</f>
        <v>112.20677994455653</v>
      </c>
    </row>
    <row r="37" spans="2:19" x14ac:dyDescent="0.25">
      <c r="R37" s="1"/>
      <c r="S37" s="14"/>
    </row>
    <row r="38" spans="2:19" ht="17.25" x14ac:dyDescent="0.25">
      <c r="B38" s="94"/>
      <c r="R38" s="1" t="s">
        <v>158</v>
      </c>
      <c r="S38" s="84">
        <v>0.25</v>
      </c>
    </row>
    <row r="40" spans="2:19" x14ac:dyDescent="0.25">
      <c r="R40" s="1" t="s">
        <v>153</v>
      </c>
      <c r="S40" s="14">
        <f>S36*(1-S38)</f>
        <v>84.155084958417405</v>
      </c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52A3-71E2-43A4-BE4F-FFA065373826}">
  <dimension ref="B1:T40"/>
  <sheetViews>
    <sheetView workbookViewId="0">
      <selection activeCell="I1" sqref="I1:J1048576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5" width="20.5703125" style="1" bestFit="1" customWidth="1"/>
    <col min="6" max="6" width="21.85546875" style="1" bestFit="1" customWidth="1"/>
    <col min="7" max="8" width="20.5703125" style="1" bestFit="1" customWidth="1"/>
    <col min="10" max="10" width="15.85546875" bestFit="1" customWidth="1"/>
    <col min="11" max="15" width="20.5703125" bestFit="1" customWidth="1"/>
    <col min="16" max="16" width="20.5703125" customWidth="1"/>
    <col min="17" max="17" width="31.7109375" style="87" customWidth="1"/>
    <col min="18" max="18" width="32.28515625" bestFit="1" customWidth="1"/>
    <col min="19" max="19" width="22.42578125" bestFit="1" customWidth="1"/>
    <col min="20" max="20" width="19.140625" bestFit="1" customWidth="1"/>
  </cols>
  <sheetData>
    <row r="1" spans="2:19" x14ac:dyDescent="0.25">
      <c r="B1" s="1" t="s">
        <v>160</v>
      </c>
    </row>
    <row r="2" spans="2:19" x14ac:dyDescent="0.25">
      <c r="C2" s="102" t="s">
        <v>16</v>
      </c>
      <c r="D2" s="102"/>
      <c r="E2" s="102"/>
      <c r="F2" s="102"/>
      <c r="G2" s="102"/>
      <c r="H2" s="102"/>
      <c r="I2" s="98">
        <v>5</v>
      </c>
      <c r="J2" s="98" t="s">
        <v>34</v>
      </c>
      <c r="K2" s="102" t="s">
        <v>17</v>
      </c>
      <c r="L2" s="102"/>
      <c r="M2" s="102"/>
      <c r="N2" s="102"/>
      <c r="O2" s="102"/>
      <c r="P2" s="1"/>
      <c r="Q2" s="88"/>
      <c r="R2" s="103" t="s">
        <v>19</v>
      </c>
      <c r="S2" s="103"/>
    </row>
    <row r="3" spans="2:19" x14ac:dyDescent="0.25">
      <c r="B3" s="2">
        <v>44409</v>
      </c>
      <c r="C3" s="98"/>
      <c r="D3" s="98">
        <v>2017</v>
      </c>
      <c r="E3" s="98">
        <v>2018</v>
      </c>
      <c r="F3" s="98">
        <v>2019</v>
      </c>
      <c r="G3" s="98">
        <v>2020</v>
      </c>
      <c r="H3" s="98">
        <v>2021</v>
      </c>
      <c r="I3" s="98"/>
      <c r="J3" s="98"/>
      <c r="K3" s="98">
        <v>2021</v>
      </c>
      <c r="L3" s="98">
        <v>2022</v>
      </c>
      <c r="M3" s="98">
        <v>2023</v>
      </c>
      <c r="N3" s="98">
        <v>2024</v>
      </c>
      <c r="O3" s="98">
        <v>2025</v>
      </c>
      <c r="P3" s="98"/>
      <c r="Q3" s="89"/>
      <c r="R3" s="1" t="s">
        <v>154</v>
      </c>
    </row>
    <row r="4" spans="2:19" x14ac:dyDescent="0.25">
      <c r="B4" s="20" t="s">
        <v>0</v>
      </c>
      <c r="C4" s="13"/>
      <c r="D4" s="7">
        <v>151938000000</v>
      </c>
      <c r="E4" s="7">
        <v>237760000000</v>
      </c>
      <c r="F4" s="7">
        <v>312694000000</v>
      </c>
      <c r="G4" s="7">
        <v>377289000000</v>
      </c>
      <c r="H4" s="7">
        <v>482064000000</v>
      </c>
      <c r="I4" s="90"/>
      <c r="J4" s="91"/>
      <c r="K4" s="13">
        <f>H4*(1+K5)</f>
        <v>530270400000.00006</v>
      </c>
      <c r="L4" s="13">
        <f>K4*(1+L5)</f>
        <v>583297440000.00012</v>
      </c>
      <c r="M4" s="13">
        <f t="shared" ref="M4:O4" si="0">L4*(1+M5)</f>
        <v>641627184000.00024</v>
      </c>
      <c r="N4" s="13">
        <f t="shared" si="0"/>
        <v>705789902400.00037</v>
      </c>
      <c r="O4" s="13">
        <f t="shared" si="0"/>
        <v>776368892640.00049</v>
      </c>
      <c r="P4" s="1"/>
      <c r="Q4" s="88" t="s">
        <v>0</v>
      </c>
    </row>
    <row r="5" spans="2:19" x14ac:dyDescent="0.25">
      <c r="B5" s="96" t="s">
        <v>1</v>
      </c>
      <c r="C5" s="16"/>
      <c r="D5" s="16" t="e">
        <f>(D4-C4)/C4</f>
        <v>#DIV/0!</v>
      </c>
      <c r="E5" s="16">
        <f t="shared" ref="E5:H5" si="1">(E4-D4)/D4</f>
        <v>0.56484881991338576</v>
      </c>
      <c r="F5" s="16">
        <f t="shared" si="1"/>
        <v>0.31516655450874831</v>
      </c>
      <c r="G5" s="16">
        <f t="shared" si="1"/>
        <v>0.20657575776957665</v>
      </c>
      <c r="H5" s="16">
        <f t="shared" si="1"/>
        <v>0.2777048893553748</v>
      </c>
      <c r="I5" s="16"/>
      <c r="J5" s="16">
        <f>(H4/D4)^(1/I2)-1</f>
        <v>0.25975954882239338</v>
      </c>
      <c r="K5" s="16">
        <f>$S$5</f>
        <v>0.1</v>
      </c>
      <c r="L5" s="16">
        <f>$S$5</f>
        <v>0.1</v>
      </c>
      <c r="M5" s="16">
        <f>$S$5</f>
        <v>0.1</v>
      </c>
      <c r="N5" s="16">
        <f>$S$5</f>
        <v>0.1</v>
      </c>
      <c r="O5" s="16">
        <f>$S$5</f>
        <v>0.1</v>
      </c>
      <c r="P5" s="1"/>
      <c r="Q5" s="88" t="s">
        <v>1</v>
      </c>
      <c r="R5" s="1" t="s">
        <v>20</v>
      </c>
      <c r="S5" s="5">
        <v>0.1</v>
      </c>
    </row>
    <row r="6" spans="2:19" x14ac:dyDescent="0.25"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1"/>
      <c r="Q6" s="88"/>
      <c r="R6" s="1"/>
      <c r="S6" s="5"/>
    </row>
    <row r="7" spans="2:19" x14ac:dyDescent="0.25">
      <c r="B7" s="20" t="s">
        <v>5</v>
      </c>
      <c r="C7" s="13"/>
      <c r="D7" s="7">
        <v>66196000000</v>
      </c>
      <c r="E7" s="7">
        <v>113925000000</v>
      </c>
      <c r="F7" s="7">
        <v>132347000000</v>
      </c>
      <c r="G7" s="7">
        <v>159185000000</v>
      </c>
      <c r="H7" s="7">
        <v>237967000000</v>
      </c>
      <c r="I7" s="91"/>
      <c r="J7" s="91"/>
      <c r="K7" s="13">
        <f>K4*K8</f>
        <v>212108160000.00003</v>
      </c>
      <c r="L7" s="13">
        <f t="shared" ref="L7:O7" si="2">L4*L8</f>
        <v>233318976000.00006</v>
      </c>
      <c r="M7" s="13">
        <f t="shared" si="2"/>
        <v>256650873600.00012</v>
      </c>
      <c r="N7" s="13">
        <f t="shared" si="2"/>
        <v>282315960960.00018</v>
      </c>
      <c r="O7" s="13">
        <f t="shared" si="2"/>
        <v>310547557056.00018</v>
      </c>
      <c r="Q7" s="88" t="s">
        <v>5</v>
      </c>
      <c r="R7" s="1"/>
    </row>
    <row r="8" spans="2:19" x14ac:dyDescent="0.25">
      <c r="B8" s="15" t="s">
        <v>2</v>
      </c>
      <c r="C8" s="16"/>
      <c r="D8" s="16">
        <f>D7/D4</f>
        <v>0.43567771064513156</v>
      </c>
      <c r="E8" s="16">
        <f t="shared" ref="E8:H8" si="3">E7/E4</f>
        <v>0.47915965679676986</v>
      </c>
      <c r="F8" s="16">
        <f t="shared" si="3"/>
        <v>0.42324764786020841</v>
      </c>
      <c r="G8" s="16">
        <f t="shared" si="3"/>
        <v>0.42191794618979084</v>
      </c>
      <c r="H8" s="16">
        <f t="shared" si="3"/>
        <v>0.49364192306415744</v>
      </c>
      <c r="I8" s="92"/>
      <c r="J8" s="16">
        <f>AVERAGE(C8:H8)</f>
        <v>0.45072897691121161</v>
      </c>
      <c r="K8" s="16">
        <f>$S$8</f>
        <v>0.4</v>
      </c>
      <c r="L8" s="16">
        <f t="shared" ref="L8:O8" si="4">$S$8</f>
        <v>0.4</v>
      </c>
      <c r="M8" s="16">
        <f t="shared" si="4"/>
        <v>0.4</v>
      </c>
      <c r="N8" s="16">
        <f t="shared" si="4"/>
        <v>0.4</v>
      </c>
      <c r="O8" s="16">
        <f t="shared" si="4"/>
        <v>0.4</v>
      </c>
      <c r="P8" s="1"/>
      <c r="Q8" s="88" t="s">
        <v>2</v>
      </c>
      <c r="R8" s="1" t="s">
        <v>21</v>
      </c>
      <c r="S8" s="5">
        <v>0.4</v>
      </c>
    </row>
    <row r="9" spans="2:19" x14ac:dyDescent="0.25"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1"/>
      <c r="Q9" s="88"/>
    </row>
    <row r="10" spans="2:19" x14ac:dyDescent="0.25">
      <c r="B10" s="20" t="s">
        <v>18</v>
      </c>
      <c r="C10" s="13"/>
      <c r="D10" s="7">
        <v>41095000000</v>
      </c>
      <c r="E10" s="7">
        <v>71510000000</v>
      </c>
      <c r="F10" s="7">
        <v>78719000000</v>
      </c>
      <c r="G10" s="7">
        <v>93310000000</v>
      </c>
      <c r="H10" s="7">
        <v>159847000000</v>
      </c>
      <c r="I10" s="91"/>
      <c r="J10" s="91"/>
      <c r="K10" s="13">
        <f>K4*K11</f>
        <v>106054080000.00002</v>
      </c>
      <c r="L10" s="13">
        <f t="shared" ref="L10:O10" si="5">L4*L11</f>
        <v>116659488000.00003</v>
      </c>
      <c r="M10" s="13">
        <f t="shared" si="5"/>
        <v>128325436800.00006</v>
      </c>
      <c r="N10" s="13">
        <f t="shared" si="5"/>
        <v>141157980480.00009</v>
      </c>
      <c r="O10" s="13">
        <f t="shared" si="5"/>
        <v>155273778528.00009</v>
      </c>
      <c r="P10" s="1"/>
      <c r="Q10" s="88" t="s">
        <v>18</v>
      </c>
    </row>
    <row r="11" spans="2:19" x14ac:dyDescent="0.25">
      <c r="B11" s="15" t="s">
        <v>2</v>
      </c>
      <c r="C11" s="16"/>
      <c r="D11" s="16">
        <f t="shared" ref="D11:H11" si="6">D10/D4</f>
        <v>0.27047216627835036</v>
      </c>
      <c r="E11" s="16">
        <f>E10/E4</f>
        <v>0.30076547779273216</v>
      </c>
      <c r="F11" s="16">
        <f t="shared" si="6"/>
        <v>0.25174451700384404</v>
      </c>
      <c r="G11" s="16">
        <f t="shared" si="6"/>
        <v>0.24731704343354829</v>
      </c>
      <c r="H11" s="16">
        <f t="shared" si="6"/>
        <v>0.33158875170101892</v>
      </c>
      <c r="I11" s="92"/>
      <c r="J11" s="16">
        <f>AVERAGE(C11:H11)</f>
        <v>0.28037759124189876</v>
      </c>
      <c r="K11" s="16">
        <f>$S$11</f>
        <v>0.2</v>
      </c>
      <c r="L11" s="16">
        <f t="shared" ref="L11:O11" si="7">$S$11</f>
        <v>0.2</v>
      </c>
      <c r="M11" s="16">
        <f t="shared" si="7"/>
        <v>0.2</v>
      </c>
      <c r="N11" s="16">
        <f t="shared" si="7"/>
        <v>0.2</v>
      </c>
      <c r="O11" s="16">
        <f t="shared" si="7"/>
        <v>0.2</v>
      </c>
      <c r="P11" s="1"/>
      <c r="Q11" s="88" t="s">
        <v>2</v>
      </c>
      <c r="R11" s="1" t="s">
        <v>22</v>
      </c>
      <c r="S11" s="5">
        <v>0.2</v>
      </c>
    </row>
    <row r="12" spans="2:19" x14ac:dyDescent="0.25">
      <c r="B12" s="20" t="s">
        <v>161</v>
      </c>
      <c r="C12" s="98"/>
      <c r="D12" s="7">
        <v>4.9876279863481203</v>
      </c>
      <c r="E12" s="7">
        <v>7.8775900541919004</v>
      </c>
      <c r="F12" s="7">
        <v>5.5465904277848299</v>
      </c>
      <c r="G12" s="7">
        <v>9.6749049429657799</v>
      </c>
      <c r="H12" s="7">
        <v>13.4373024236037</v>
      </c>
      <c r="I12" s="98"/>
      <c r="J12" s="98"/>
      <c r="K12" s="98"/>
      <c r="L12" s="98"/>
      <c r="M12" s="98"/>
      <c r="N12" s="98"/>
      <c r="O12" s="98"/>
      <c r="P12" s="1"/>
      <c r="Q12" s="88"/>
    </row>
    <row r="13" spans="2:19" x14ac:dyDescent="0.25">
      <c r="B13" s="97" t="s">
        <v>3</v>
      </c>
      <c r="C13" s="13"/>
      <c r="D13" s="13">
        <f>D17*D12</f>
        <v>46763999999.999977</v>
      </c>
      <c r="E13" s="13">
        <f t="shared" ref="E13:H13" si="8">E17*E12</f>
        <v>74135999999.999969</v>
      </c>
      <c r="F13" s="13">
        <f t="shared" si="8"/>
        <v>52381999999.999931</v>
      </c>
      <c r="G13" s="13">
        <f t="shared" si="8"/>
        <v>91602000000</v>
      </c>
      <c r="H13" s="13">
        <f t="shared" si="8"/>
        <v>127519999999.99911</v>
      </c>
      <c r="I13" s="91"/>
      <c r="J13" s="91"/>
      <c r="K13" s="13">
        <f>K7*K15</f>
        <v>116659488000.00003</v>
      </c>
      <c r="L13" s="13">
        <f t="shared" ref="L13:O13" si="9">L7*L15</f>
        <v>128325436800.00005</v>
      </c>
      <c r="M13" s="13">
        <f t="shared" si="9"/>
        <v>141157980480.00009</v>
      </c>
      <c r="N13" s="13">
        <f t="shared" si="9"/>
        <v>155273778528.00012</v>
      </c>
      <c r="O13" s="13">
        <f t="shared" si="9"/>
        <v>170801156380.80011</v>
      </c>
      <c r="P13" s="14">
        <f>O7*S21</f>
        <v>1552737785280.001</v>
      </c>
      <c r="Q13" s="88" t="s">
        <v>3</v>
      </c>
    </row>
    <row r="14" spans="2:19" x14ac:dyDescent="0.25">
      <c r="B14" s="12" t="s">
        <v>36</v>
      </c>
      <c r="C14" s="17"/>
      <c r="D14" s="17">
        <f t="shared" ref="D14:H14" si="10">D13/D10</f>
        <v>1.1379486555542031</v>
      </c>
      <c r="E14" s="17">
        <f t="shared" si="10"/>
        <v>1.0367221367640884</v>
      </c>
      <c r="F14" s="17">
        <f t="shared" si="10"/>
        <v>0.66543020109503337</v>
      </c>
      <c r="G14" s="17">
        <f t="shared" si="10"/>
        <v>0.98169542385596398</v>
      </c>
      <c r="H14" s="17">
        <f t="shared" si="10"/>
        <v>0.7977628607355729</v>
      </c>
      <c r="I14" s="91"/>
      <c r="J14" s="17"/>
      <c r="K14" s="93"/>
      <c r="L14" s="93"/>
      <c r="M14" s="93"/>
      <c r="N14" s="93"/>
      <c r="O14" s="93"/>
      <c r="P14" s="1"/>
      <c r="Q14" s="88" t="s">
        <v>36</v>
      </c>
    </row>
    <row r="15" spans="2:19" x14ac:dyDescent="0.25">
      <c r="B15" s="15" t="s">
        <v>4</v>
      </c>
      <c r="C15" s="16"/>
      <c r="D15" s="16">
        <f>D13/D7</f>
        <v>0.706447519487582</v>
      </c>
      <c r="E15" s="16">
        <f t="shared" ref="E15:H15" si="11">E13/E7</f>
        <v>0.65074391046741253</v>
      </c>
      <c r="F15" s="16">
        <f t="shared" si="11"/>
        <v>0.39579287781362577</v>
      </c>
      <c r="G15" s="16">
        <f t="shared" si="11"/>
        <v>0.57544366617457676</v>
      </c>
      <c r="H15" s="16">
        <f t="shared" si="11"/>
        <v>0.53587262099366351</v>
      </c>
      <c r="I15" s="92"/>
      <c r="J15" s="16">
        <f>AVERAGE(C15:H15)</f>
        <v>0.5728601189873721</v>
      </c>
      <c r="K15" s="16">
        <f>$S$15</f>
        <v>0.55000000000000004</v>
      </c>
      <c r="L15" s="16">
        <f>$S$15</f>
        <v>0.55000000000000004</v>
      </c>
      <c r="M15" s="16">
        <f>$S$15</f>
        <v>0.55000000000000004</v>
      </c>
      <c r="N15" s="16">
        <f>$S$15</f>
        <v>0.55000000000000004</v>
      </c>
      <c r="O15" s="16">
        <f>$S$15</f>
        <v>0.55000000000000004</v>
      </c>
      <c r="P15" s="1"/>
      <c r="Q15" s="15" t="s">
        <v>4</v>
      </c>
      <c r="R15" s="1" t="s">
        <v>45</v>
      </c>
      <c r="S15" s="5">
        <v>0.55000000000000004</v>
      </c>
    </row>
    <row r="16" spans="2:19" x14ac:dyDescent="0.25">
      <c r="D16" s="98"/>
      <c r="E16" s="98"/>
      <c r="F16" s="98"/>
      <c r="G16" s="98"/>
      <c r="H16" s="98"/>
      <c r="I16" s="98"/>
      <c r="J16" s="93"/>
      <c r="K16" s="93"/>
      <c r="L16" s="93"/>
      <c r="M16" s="93"/>
      <c r="N16" s="93"/>
      <c r="O16" s="93"/>
      <c r="P16" s="1"/>
      <c r="Q16" s="88" t="s">
        <v>6</v>
      </c>
      <c r="R16" s="1" t="s">
        <v>23</v>
      </c>
      <c r="S16" s="5">
        <v>0</v>
      </c>
    </row>
    <row r="17" spans="2:20" x14ac:dyDescent="0.25">
      <c r="B17" s="22" t="s">
        <v>39</v>
      </c>
      <c r="C17" s="7"/>
      <c r="D17" s="7">
        <v>9376000000</v>
      </c>
      <c r="E17" s="7">
        <v>9411000000</v>
      </c>
      <c r="F17" s="7">
        <v>9444000000</v>
      </c>
      <c r="G17" s="7">
        <v>9468000000</v>
      </c>
      <c r="H17" s="7">
        <v>9490000000</v>
      </c>
      <c r="I17" s="98"/>
      <c r="J17" s="7">
        <f>H17</f>
        <v>9490000000</v>
      </c>
      <c r="K17" s="7">
        <f>J17</f>
        <v>9490000000</v>
      </c>
      <c r="L17" s="7">
        <f t="shared" ref="L17:O17" si="12">K17</f>
        <v>9490000000</v>
      </c>
      <c r="M17" s="7">
        <f t="shared" si="12"/>
        <v>9490000000</v>
      </c>
      <c r="N17" s="7">
        <f t="shared" si="12"/>
        <v>9490000000</v>
      </c>
      <c r="O17" s="7">
        <f t="shared" si="12"/>
        <v>9490000000</v>
      </c>
      <c r="P17" s="1"/>
      <c r="Q17" s="88"/>
      <c r="R17" s="1" t="s">
        <v>24</v>
      </c>
      <c r="S17" s="5">
        <v>0</v>
      </c>
    </row>
    <row r="18" spans="2:20" x14ac:dyDescent="0.25">
      <c r="C18" s="4"/>
      <c r="D18" s="7"/>
      <c r="E18" s="7"/>
      <c r="F18" s="7"/>
      <c r="G18" s="7"/>
      <c r="H18" s="7"/>
      <c r="I18" s="98"/>
      <c r="J18" s="98"/>
      <c r="K18" s="98"/>
      <c r="L18" s="98"/>
      <c r="M18" s="98"/>
      <c r="N18" s="98"/>
      <c r="O18" s="98"/>
      <c r="P18" s="1"/>
      <c r="Q18" s="88" t="s">
        <v>7</v>
      </c>
      <c r="R18" s="1" t="s">
        <v>25</v>
      </c>
      <c r="S18" s="5">
        <v>0</v>
      </c>
    </row>
    <row r="19" spans="2:20" x14ac:dyDescent="0.25">
      <c r="B19" s="22" t="s">
        <v>162</v>
      </c>
      <c r="C19" s="98"/>
      <c r="D19" s="7">
        <v>71902000000</v>
      </c>
      <c r="E19" s="7">
        <v>105697000000</v>
      </c>
      <c r="F19" s="7">
        <v>97814000000</v>
      </c>
      <c r="G19" s="7">
        <v>132991000000</v>
      </c>
      <c r="H19" s="7">
        <v>152798000000</v>
      </c>
      <c r="I19" s="98"/>
      <c r="J19" s="98"/>
      <c r="K19" s="98"/>
      <c r="L19" s="98"/>
      <c r="M19" s="98"/>
      <c r="N19" s="98"/>
      <c r="O19" s="98"/>
      <c r="P19" s="1"/>
      <c r="Q19" s="88" t="s">
        <v>8</v>
      </c>
      <c r="R19" s="1"/>
    </row>
    <row r="20" spans="2:20" x14ac:dyDescent="0.25">
      <c r="B20" s="22" t="s">
        <v>8</v>
      </c>
      <c r="C20" s="98"/>
      <c r="D20" s="7">
        <v>109497000000</v>
      </c>
      <c r="E20" s="7">
        <v>131905000000</v>
      </c>
      <c r="F20" s="7">
        <v>179289000000</v>
      </c>
      <c r="G20" s="7">
        <v>232520000000</v>
      </c>
      <c r="H20" s="7">
        <v>262464000000</v>
      </c>
      <c r="I20" s="98"/>
      <c r="J20" s="98"/>
      <c r="K20" s="98"/>
      <c r="L20" s="98"/>
      <c r="M20" s="98"/>
      <c r="N20" s="98"/>
      <c r="O20" s="98"/>
      <c r="P20" s="1"/>
      <c r="Q20" s="88" t="s">
        <v>9</v>
      </c>
      <c r="R20" s="1"/>
      <c r="S20" s="11"/>
    </row>
    <row r="21" spans="2:20" x14ac:dyDescent="0.25">
      <c r="B21" s="1" t="s">
        <v>9</v>
      </c>
      <c r="C21" s="98"/>
      <c r="D21" s="98"/>
      <c r="E21" s="98"/>
      <c r="F21" s="98"/>
      <c r="G21" s="98"/>
      <c r="H21" s="98"/>
      <c r="I21" s="98"/>
      <c r="J21" s="93"/>
      <c r="K21" s="98"/>
      <c r="L21" s="98"/>
      <c r="M21" s="98"/>
      <c r="N21" s="98"/>
      <c r="O21" s="98"/>
      <c r="P21" s="1"/>
      <c r="Q21" s="88"/>
      <c r="R21" s="1" t="s">
        <v>26</v>
      </c>
      <c r="S21" s="11">
        <v>5</v>
      </c>
      <c r="T21" s="14"/>
    </row>
    <row r="22" spans="2:20" x14ac:dyDescent="0.25">
      <c r="B22" s="1" t="s">
        <v>35</v>
      </c>
      <c r="C22" s="9"/>
      <c r="D22" s="18">
        <f>D10/D17</f>
        <v>4.3829991467576788</v>
      </c>
      <c r="E22" s="18">
        <f>E10/E17</f>
        <v>7.5985548825842102</v>
      </c>
      <c r="F22" s="18">
        <f>F10/F17</f>
        <v>8.3353451927149518</v>
      </c>
      <c r="G22" s="18">
        <f>G10/G17</f>
        <v>9.8553020701309677</v>
      </c>
      <c r="H22" s="18">
        <f>H10/H17</f>
        <v>16.84373024236038</v>
      </c>
      <c r="I22" s="98"/>
      <c r="J22" s="8">
        <f>(H22/D22)^(1/I2)-1</f>
        <v>0.30898110700127135</v>
      </c>
      <c r="K22" s="18">
        <f>K10/K17</f>
        <v>11.175350895679664</v>
      </c>
      <c r="L22" s="18">
        <f t="shared" ref="L22:O22" si="13">L10/L17</f>
        <v>12.292885985247633</v>
      </c>
      <c r="M22" s="18">
        <f t="shared" si="13"/>
        <v>13.522174583772399</v>
      </c>
      <c r="N22" s="18">
        <f t="shared" si="13"/>
        <v>14.874392042149641</v>
      </c>
      <c r="O22" s="18">
        <f t="shared" si="13"/>
        <v>16.361831246364606</v>
      </c>
      <c r="P22" s="1"/>
      <c r="Q22" s="88" t="s">
        <v>30</v>
      </c>
      <c r="R22" s="1"/>
      <c r="S22" s="5"/>
    </row>
    <row r="23" spans="2:20" x14ac:dyDescent="0.25">
      <c r="B23" s="1" t="s">
        <v>30</v>
      </c>
      <c r="C23" s="7"/>
      <c r="D23" s="13">
        <f>D17*D25</f>
        <v>245557449376</v>
      </c>
      <c r="E23" s="13">
        <f>E17*E25</f>
        <v>549884730000</v>
      </c>
      <c r="F23" s="13">
        <f>F17*F25</f>
        <v>421674618888</v>
      </c>
      <c r="G23" s="13">
        <f>G17*G25</f>
        <v>464689458936</v>
      </c>
      <c r="H23" s="13">
        <f>H17*H25</f>
        <v>847551881019.99988</v>
      </c>
      <c r="I23" s="98"/>
      <c r="J23" s="19"/>
      <c r="K23" s="98"/>
      <c r="L23" s="98"/>
      <c r="M23" s="98"/>
      <c r="N23" s="98"/>
      <c r="O23" s="98"/>
      <c r="P23" s="1"/>
      <c r="Q23" s="88" t="s">
        <v>10</v>
      </c>
      <c r="R23" s="1"/>
    </row>
    <row r="24" spans="2:20" x14ac:dyDescent="0.25">
      <c r="B24" s="1" t="s">
        <v>10</v>
      </c>
      <c r="C24" s="7"/>
      <c r="D24" s="13">
        <f>D23</f>
        <v>245557449376</v>
      </c>
      <c r="E24" s="13">
        <f>E23</f>
        <v>549884730000</v>
      </c>
      <c r="F24" s="13">
        <f>F23</f>
        <v>421674618888</v>
      </c>
      <c r="G24" s="13">
        <f>G23</f>
        <v>464689458936</v>
      </c>
      <c r="H24" s="13">
        <f>H23</f>
        <v>847551881019.99988</v>
      </c>
      <c r="I24" s="98"/>
      <c r="J24" s="19"/>
      <c r="K24" s="98"/>
      <c r="L24" s="98"/>
      <c r="M24" s="98"/>
      <c r="N24" s="98"/>
      <c r="O24" s="98"/>
      <c r="P24" s="1"/>
      <c r="Q24" s="88" t="s">
        <v>11</v>
      </c>
      <c r="R24" s="1"/>
    </row>
    <row r="25" spans="2:20" x14ac:dyDescent="0.25">
      <c r="B25" s="22" t="s">
        <v>11</v>
      </c>
      <c r="C25" s="98"/>
      <c r="D25" s="7">
        <v>26.190000999999999</v>
      </c>
      <c r="E25" s="7">
        <v>58.43</v>
      </c>
      <c r="F25" s="7">
        <v>44.650002000000001</v>
      </c>
      <c r="G25" s="7">
        <v>49.080002</v>
      </c>
      <c r="H25" s="7">
        <v>89.309997999999993</v>
      </c>
      <c r="I25" s="98"/>
      <c r="J25" s="98"/>
      <c r="K25" s="98"/>
      <c r="L25" s="98"/>
      <c r="M25" s="98"/>
      <c r="N25" s="98"/>
      <c r="O25" s="98"/>
      <c r="P25" s="1"/>
      <c r="Q25" s="88" t="s">
        <v>12</v>
      </c>
      <c r="R25" s="1"/>
    </row>
    <row r="26" spans="2:20" x14ac:dyDescent="0.25">
      <c r="B26" s="1" t="s">
        <v>12</v>
      </c>
      <c r="C26" s="8"/>
      <c r="D26" s="8" t="e">
        <f>(D25-C25)/C25</f>
        <v>#DIV/0!</v>
      </c>
      <c r="E26" s="8">
        <f>(E25-D25)/D25</f>
        <v>1.2310041148910227</v>
      </c>
      <c r="F26" s="8">
        <f>(F25-E25)/E25</f>
        <v>-0.23583772034913569</v>
      </c>
      <c r="G26" s="8">
        <f>(G25-F25)/F25</f>
        <v>9.9216120975761657E-2</v>
      </c>
      <c r="H26" s="8">
        <f>(H25-G25)/G25</f>
        <v>0.8196820366877734</v>
      </c>
      <c r="I26" s="98"/>
      <c r="J26" s="98"/>
      <c r="K26" s="98"/>
      <c r="L26" s="98"/>
      <c r="M26" s="98"/>
      <c r="N26" s="98"/>
      <c r="O26" s="98"/>
      <c r="P26" s="1"/>
      <c r="Q26" s="88" t="s">
        <v>13</v>
      </c>
      <c r="R26" s="1" t="s">
        <v>37</v>
      </c>
    </row>
    <row r="27" spans="2:20" x14ac:dyDescent="0.25">
      <c r="B27" s="1" t="s">
        <v>13</v>
      </c>
      <c r="C27" s="9"/>
      <c r="D27" s="9">
        <f>D24/D7</f>
        <v>3.7095511719137106</v>
      </c>
      <c r="E27" s="9">
        <f>E24/E7</f>
        <v>4.8267257406188282</v>
      </c>
      <c r="F27" s="9">
        <f>F24/F7</f>
        <v>3.1861290311680657</v>
      </c>
      <c r="G27" s="9">
        <f>G24/G7</f>
        <v>2.9191786847755754</v>
      </c>
      <c r="H27" s="9">
        <f>H24/H7</f>
        <v>3.5616361975399946</v>
      </c>
      <c r="I27" s="98"/>
      <c r="J27" s="98"/>
      <c r="K27" s="98"/>
      <c r="L27" s="98"/>
      <c r="M27" s="98"/>
      <c r="N27" s="98"/>
      <c r="O27" s="98"/>
      <c r="P27" s="1"/>
      <c r="Q27" s="88" t="s">
        <v>14</v>
      </c>
      <c r="R27" s="1" t="s">
        <v>159</v>
      </c>
      <c r="S27" s="14">
        <f>S21*O7</f>
        <v>1552737785280.001</v>
      </c>
    </row>
    <row r="28" spans="2:20" x14ac:dyDescent="0.25">
      <c r="B28" s="1" t="s">
        <v>14</v>
      </c>
      <c r="C28" s="9"/>
      <c r="D28" s="9">
        <f>D23/D10</f>
        <v>5.9753607342985768</v>
      </c>
      <c r="E28" s="9">
        <f>E23/E10</f>
        <v>7.6896200531394214</v>
      </c>
      <c r="F28" s="9">
        <f>F23/F10</f>
        <v>5.3567070070503942</v>
      </c>
      <c r="G28" s="9">
        <f>G23/G10</f>
        <v>4.9800606466187975</v>
      </c>
      <c r="H28" s="9">
        <f>H23/H10</f>
        <v>5.3022695516337492</v>
      </c>
      <c r="I28" s="98"/>
      <c r="J28" s="98"/>
      <c r="K28" s="98"/>
      <c r="L28" s="98"/>
      <c r="M28" s="98"/>
      <c r="N28" s="98"/>
      <c r="O28" s="98"/>
      <c r="P28" s="1"/>
      <c r="Q28" s="88" t="s">
        <v>15</v>
      </c>
      <c r="R28" s="1" t="s">
        <v>29</v>
      </c>
      <c r="S28" s="6">
        <f>H19</f>
        <v>152798000000</v>
      </c>
    </row>
    <row r="29" spans="2:20" x14ac:dyDescent="0.25">
      <c r="B29" s="1" t="s">
        <v>15</v>
      </c>
      <c r="C29" s="10"/>
      <c r="D29" s="10">
        <f>D13/D23</f>
        <v>0.19044016021030777</v>
      </c>
      <c r="E29" s="10">
        <f>E13/E23</f>
        <v>0.13482098329953621</v>
      </c>
      <c r="F29" s="10">
        <f>F13/F23</f>
        <v>0.12422374421808155</v>
      </c>
      <c r="G29" s="10">
        <f>G13/G23</f>
        <v>0.19712519455410329</v>
      </c>
      <c r="H29" s="10">
        <f>H13/H23</f>
        <v>0.1504568662469761</v>
      </c>
      <c r="I29" s="98"/>
      <c r="J29" s="98"/>
      <c r="K29" s="98"/>
      <c r="L29" s="98"/>
      <c r="M29" s="98"/>
      <c r="N29" s="98"/>
      <c r="O29" s="93"/>
      <c r="P29" s="1"/>
      <c r="Q29" s="88"/>
      <c r="R29" s="1" t="s">
        <v>28</v>
      </c>
      <c r="S29" s="6">
        <f>H20*(-1)</f>
        <v>-262464000000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88"/>
      <c r="R30" s="1" t="s">
        <v>30</v>
      </c>
      <c r="S30" s="14">
        <f>S27+S28+S29</f>
        <v>1443071785280.001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88"/>
      <c r="R31" s="1" t="s">
        <v>157</v>
      </c>
      <c r="S31" s="83">
        <f>S30/O17</f>
        <v>152.06235882824035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88"/>
      <c r="R32" s="1"/>
      <c r="S32" s="14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88"/>
      <c r="R33" s="1" t="s">
        <v>31</v>
      </c>
      <c r="S33" s="84">
        <v>0.15</v>
      </c>
    </row>
    <row r="34" spans="2:19" x14ac:dyDescent="0.25">
      <c r="B34" s="1" t="s"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88"/>
      <c r="R34" s="1"/>
      <c r="S34" s="14"/>
    </row>
    <row r="35" spans="2:19" x14ac:dyDescent="0.25">
      <c r="B35" s="1" t="s">
        <v>42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88"/>
      <c r="R35" s="1" t="s">
        <v>32</v>
      </c>
      <c r="S35" s="14">
        <f>NPV(S33,K13:P13)</f>
        <v>1136277204870.4043</v>
      </c>
    </row>
    <row r="36" spans="2:19" x14ac:dyDescent="0.25">
      <c r="R36" s="1" t="s">
        <v>156</v>
      </c>
      <c r="S36" s="14">
        <f>S35/O17</f>
        <v>119.73416278929444</v>
      </c>
    </row>
    <row r="37" spans="2:19" x14ac:dyDescent="0.25">
      <c r="R37" s="1"/>
      <c r="S37" s="14"/>
    </row>
    <row r="38" spans="2:19" ht="17.25" x14ac:dyDescent="0.25">
      <c r="B38" s="94"/>
      <c r="R38" s="1" t="s">
        <v>158</v>
      </c>
      <c r="S38" s="84">
        <v>0.25</v>
      </c>
    </row>
    <row r="40" spans="2:19" x14ac:dyDescent="0.25">
      <c r="R40" s="1" t="s">
        <v>153</v>
      </c>
      <c r="S40" s="14">
        <f>S36*(1-S38)</f>
        <v>89.800622091970837</v>
      </c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TESLA</vt:lpstr>
      <vt:lpstr>WLTW</vt:lpstr>
      <vt:lpstr>QRVO</vt:lpstr>
      <vt:lpstr>HD</vt:lpstr>
      <vt:lpstr>AMD</vt:lpstr>
      <vt:lpstr>Tencent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An Lee</dc:creator>
  <cp:lastModifiedBy>Che An Lee</cp:lastModifiedBy>
  <dcterms:created xsi:type="dcterms:W3CDTF">2021-08-07T09:59:59Z</dcterms:created>
  <dcterms:modified xsi:type="dcterms:W3CDTF">2022-02-22T06:50:27Z</dcterms:modified>
</cp:coreProperties>
</file>