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нвест-Консалт\"/>
    </mc:Choice>
  </mc:AlternateContent>
  <bookViews>
    <workbookView xWindow="0" yWindow="0" windowWidth="19200" windowHeight="8300" tabRatio="670" activeTab="1"/>
  </bookViews>
  <sheets>
    <sheet name="Dashboard" sheetId="8" r:id="rId1"/>
    <sheet name="CashFlow" sheetId="7" r:id="rId2"/>
    <sheet name="Затраты на старте" sheetId="1" r:id="rId3"/>
    <sheet name="Выручка" sheetId="3" r:id="rId4"/>
    <sheet name="Текущие затраты" sheetId="2" r:id="rId5"/>
    <sheet name="Кредит" sheetId="6" r:id="rId6"/>
    <sheet name="Входящие данные" sheetId="4" r:id="rId7"/>
  </sheets>
  <definedNames>
    <definedName name="Анализ_чувствительности_посещаемость">Dashboard!$B$27</definedName>
    <definedName name="Анализ_чувствительности_цены">Dashboard!$B$34</definedName>
    <definedName name="АнализЧувствительностиЧислоПарикмахеров">Dashboard!$B$42</definedName>
    <definedName name="Дата_начала_погашения_кредита">'Входящие данные'!$C$13</definedName>
    <definedName name="Платеж_по_кредиту">'Входящие данные'!$C$15</definedName>
    <definedName name="Ставка_кредита">'Входящие данные'!$C$14</definedName>
    <definedName name="Старт">'Входящие данные'!$C$3</definedName>
    <definedName name="СтартОперационнойДеятельности">'Входящие данные'!$C$4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7" l="1"/>
  <c r="C11" i="3" l="1"/>
  <c r="C9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11" i="3"/>
  <c r="K11" i="3"/>
  <c r="J11" i="3"/>
  <c r="I11" i="3"/>
  <c r="H11" i="3"/>
  <c r="G11" i="3"/>
  <c r="L9" i="3"/>
  <c r="K9" i="3"/>
  <c r="J9" i="3"/>
  <c r="I9" i="3"/>
  <c r="H9" i="3"/>
  <c r="G9" i="3"/>
  <c r="F17" i="2"/>
  <c r="F16" i="2"/>
  <c r="C5" i="6"/>
  <c r="D42" i="7" s="1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F12" i="2"/>
  <c r="O19" i="3"/>
  <c r="E31" i="3"/>
  <c r="E29" i="3"/>
  <c r="E28" i="3"/>
  <c r="E27" i="3"/>
  <c r="E25" i="3"/>
  <c r="E24" i="3"/>
  <c r="E23" i="3"/>
  <c r="E22" i="3"/>
  <c r="E21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J5" i="1"/>
  <c r="K5" i="1"/>
  <c r="K34" i="1" s="1"/>
  <c r="L5" i="1"/>
  <c r="L34" i="1" s="1"/>
  <c r="J9" i="1"/>
  <c r="J34" i="1" s="1"/>
  <c r="K9" i="1"/>
  <c r="L9" i="1"/>
  <c r="J23" i="1"/>
  <c r="K23" i="1"/>
  <c r="L23" i="1"/>
  <c r="J28" i="1"/>
  <c r="K28" i="1"/>
  <c r="L28" i="1"/>
  <c r="F30" i="1"/>
  <c r="F31" i="1"/>
  <c r="F32" i="1"/>
  <c r="F33" i="1"/>
  <c r="F29" i="1"/>
  <c r="F25" i="1"/>
  <c r="F26" i="1"/>
  <c r="F27" i="1"/>
  <c r="F24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7" i="1"/>
  <c r="F8" i="1"/>
  <c r="F6" i="1"/>
  <c r="BI21" i="7"/>
  <c r="BJ21" i="7"/>
  <c r="BK21" i="7"/>
  <c r="BL21" i="7"/>
  <c r="BM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C18" i="2"/>
  <c r="BC17" i="2" l="1"/>
  <c r="BJ17" i="2"/>
  <c r="AE17" i="2"/>
  <c r="AM17" i="2"/>
  <c r="BK17" i="2"/>
  <c r="R17" i="2"/>
  <c r="Z17" i="2"/>
  <c r="AH17" i="2"/>
  <c r="AP17" i="2"/>
  <c r="AX17" i="2"/>
  <c r="BF17" i="2"/>
  <c r="Q17" i="2"/>
  <c r="V17" i="2"/>
  <c r="AL17" i="2"/>
  <c r="AT17" i="2"/>
  <c r="BB17" i="2"/>
  <c r="J17" i="2"/>
  <c r="AS17" i="2"/>
  <c r="BA17" i="2"/>
  <c r="BI17" i="2"/>
  <c r="O17" i="2"/>
  <c r="W17" i="2"/>
  <c r="G17" i="2"/>
  <c r="Y17" i="2"/>
  <c r="AK17" i="2"/>
  <c r="P17" i="2"/>
  <c r="X17" i="2"/>
  <c r="AV17" i="2"/>
  <c r="BD17" i="2"/>
  <c r="AG17" i="2"/>
  <c r="AO17" i="2"/>
  <c r="BE17" i="2"/>
  <c r="BM17" i="2"/>
  <c r="BH17" i="2"/>
  <c r="AB17" i="2"/>
  <c r="AJ17" i="2"/>
  <c r="AR17" i="2"/>
  <c r="AU17" i="2"/>
  <c r="AD17" i="2"/>
  <c r="T17" i="2"/>
  <c r="H17" i="2"/>
  <c r="AZ17" i="2"/>
  <c r="U17" i="2"/>
  <c r="AC17" i="2"/>
  <c r="I17" i="2"/>
  <c r="N17" i="2"/>
  <c r="AF17" i="2"/>
  <c r="AN17" i="2"/>
  <c r="BL17" i="2"/>
  <c r="AW17" i="2"/>
  <c r="S17" i="2"/>
  <c r="AA17" i="2"/>
  <c r="AI17" i="2"/>
  <c r="AQ17" i="2"/>
  <c r="AY17" i="2"/>
  <c r="BG17" i="2"/>
  <c r="M17" i="2"/>
  <c r="K17" i="2"/>
  <c r="L17" i="2"/>
  <c r="C6" i="6"/>
  <c r="C4" i="6"/>
  <c r="F9" i="6" s="1"/>
  <c r="C11" i="2" l="1"/>
  <c r="M43" i="8"/>
  <c r="K43" i="8"/>
  <c r="C6" i="3"/>
  <c r="F14" i="6"/>
  <c r="F9" i="1"/>
  <c r="G9" i="1"/>
  <c r="I9" i="1"/>
  <c r="K31" i="3"/>
  <c r="E30" i="3"/>
  <c r="K30" i="3" s="1"/>
  <c r="K29" i="3"/>
  <c r="K28" i="3"/>
  <c r="K27" i="3"/>
  <c r="E26" i="3"/>
  <c r="K26" i="3" s="1"/>
  <c r="K25" i="3"/>
  <c r="K24" i="3"/>
  <c r="K23" i="3"/>
  <c r="K22" i="3"/>
  <c r="K21" i="3"/>
  <c r="E20" i="3"/>
  <c r="K20" i="3" s="1"/>
  <c r="E19" i="3"/>
  <c r="K19" i="3" s="1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J10" i="8"/>
  <c r="J8" i="8"/>
  <c r="O20" i="3"/>
  <c r="O21" i="3"/>
  <c r="O22" i="3"/>
  <c r="O23" i="3"/>
  <c r="O24" i="3"/>
  <c r="O25" i="3"/>
  <c r="O26" i="3"/>
  <c r="O27" i="3"/>
  <c r="O28" i="3"/>
  <c r="O29" i="3"/>
  <c r="O30" i="3"/>
  <c r="O31" i="3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G7" i="3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AJ7" i="3" s="1"/>
  <c r="AK7" i="3" s="1"/>
  <c r="AL7" i="3" s="1"/>
  <c r="AM7" i="3" s="1"/>
  <c r="AN7" i="3" s="1"/>
  <c r="AO7" i="3" s="1"/>
  <c r="AP7" i="3" s="1"/>
  <c r="AQ7" i="3" s="1"/>
  <c r="AR7" i="3" s="1"/>
  <c r="AS7" i="3" s="1"/>
  <c r="AT7" i="3" s="1"/>
  <c r="H5" i="1"/>
  <c r="I5" i="1"/>
  <c r="F5" i="1"/>
  <c r="K21" i="7"/>
  <c r="M21" i="7"/>
  <c r="P21" i="7"/>
  <c r="G23" i="1"/>
  <c r="H23" i="1"/>
  <c r="F23" i="1"/>
  <c r="G32" i="3"/>
  <c r="AK21" i="7"/>
  <c r="AL21" i="7"/>
  <c r="AM21" i="7"/>
  <c r="AN21" i="7"/>
  <c r="AO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J21" i="7"/>
  <c r="L21" i="7"/>
  <c r="N21" i="7"/>
  <c r="O21" i="7"/>
  <c r="Q21" i="7"/>
  <c r="F2" i="7"/>
  <c r="F3" i="7" s="1"/>
  <c r="F3" i="3"/>
  <c r="F4" i="3" s="1"/>
  <c r="F2" i="6"/>
  <c r="F3" i="6" s="1"/>
  <c r="F10" i="6" s="1"/>
  <c r="F28" i="7" s="1"/>
  <c r="F2" i="2"/>
  <c r="H28" i="1"/>
  <c r="G5" i="1"/>
  <c r="F2" i="1"/>
  <c r="G2" i="1" s="1"/>
  <c r="H2" i="1" s="1"/>
  <c r="I2" i="1" s="1"/>
  <c r="J2" i="1" s="1"/>
  <c r="W6" i="3" l="1"/>
  <c r="W10" i="2" s="1"/>
  <c r="X6" i="3"/>
  <c r="X10" i="2" s="1"/>
  <c r="T6" i="3"/>
  <c r="U6" i="3"/>
  <c r="U10" i="2" s="1"/>
  <c r="R6" i="3"/>
  <c r="R10" i="2" s="1"/>
  <c r="S6" i="3"/>
  <c r="S10" i="2" s="1"/>
  <c r="M6" i="3"/>
  <c r="M10" i="2" s="1"/>
  <c r="P6" i="3"/>
  <c r="P10" i="2" s="1"/>
  <c r="AS6" i="3"/>
  <c r="AS10" i="2" s="1"/>
  <c r="BE6" i="3"/>
  <c r="BE10" i="2" s="1"/>
  <c r="BL6" i="3"/>
  <c r="BL10" i="2" s="1"/>
  <c r="BK6" i="3"/>
  <c r="BK10" i="2" s="1"/>
  <c r="BJ6" i="3"/>
  <c r="BJ10" i="2" s="1"/>
  <c r="BI6" i="3"/>
  <c r="BI10" i="2" s="1"/>
  <c r="BH6" i="3"/>
  <c r="BH10" i="2" s="1"/>
  <c r="BM6" i="3"/>
  <c r="BM10" i="2" s="1"/>
  <c r="BG6" i="3"/>
  <c r="BG10" i="2" s="1"/>
  <c r="AY6" i="3"/>
  <c r="AY10" i="2" s="1"/>
  <c r="BF6" i="3"/>
  <c r="BF10" i="2" s="1"/>
  <c r="AX6" i="3"/>
  <c r="AX10" i="2" s="1"/>
  <c r="AW6" i="3"/>
  <c r="AW10" i="2" s="1"/>
  <c r="BD6" i="3"/>
  <c r="BD10" i="2" s="1"/>
  <c r="AV6" i="3"/>
  <c r="AV10" i="2" s="1"/>
  <c r="BC6" i="3"/>
  <c r="BC10" i="2" s="1"/>
  <c r="BB6" i="3"/>
  <c r="BB10" i="2" s="1"/>
  <c r="BA6" i="3"/>
  <c r="BA10" i="2" s="1"/>
  <c r="AZ6" i="3"/>
  <c r="AZ10" i="2" s="1"/>
  <c r="AT6" i="3"/>
  <c r="AT10" i="2" s="1"/>
  <c r="AU6" i="3"/>
  <c r="AU10" i="2" s="1"/>
  <c r="AR6" i="3"/>
  <c r="AR10" i="2" s="1"/>
  <c r="AP6" i="3"/>
  <c r="AP10" i="2" s="1"/>
  <c r="AQ6" i="3"/>
  <c r="AQ10" i="2" s="1"/>
  <c r="AN6" i="3"/>
  <c r="AN10" i="2" s="1"/>
  <c r="AO6" i="3"/>
  <c r="AO10" i="2" s="1"/>
  <c r="AL6" i="3"/>
  <c r="AL10" i="2" s="1"/>
  <c r="AM6" i="3"/>
  <c r="AM10" i="2" s="1"/>
  <c r="AJ6" i="3"/>
  <c r="AJ10" i="2" s="1"/>
  <c r="AK6" i="3"/>
  <c r="AK10" i="2" s="1"/>
  <c r="AH6" i="3"/>
  <c r="AH10" i="2" s="1"/>
  <c r="AI6" i="3"/>
  <c r="AI10" i="2" s="1"/>
  <c r="AF6" i="3"/>
  <c r="AF10" i="2" s="1"/>
  <c r="AG6" i="3"/>
  <c r="AG10" i="2" s="1"/>
  <c r="AD6" i="3"/>
  <c r="AD10" i="2" s="1"/>
  <c r="AE6" i="3"/>
  <c r="AE10" i="2" s="1"/>
  <c r="AB6" i="3"/>
  <c r="AB10" i="2" s="1"/>
  <c r="AC6" i="3"/>
  <c r="AC10" i="2" s="1"/>
  <c r="Z6" i="3"/>
  <c r="Z10" i="2" s="1"/>
  <c r="AA6" i="3"/>
  <c r="AA10" i="2" s="1"/>
  <c r="Y6" i="3"/>
  <c r="Y10" i="2" s="1"/>
  <c r="V6" i="3"/>
  <c r="V10" i="2" s="1"/>
  <c r="T10" i="2"/>
  <c r="Q6" i="3"/>
  <c r="Q10" i="2" s="1"/>
  <c r="N6" i="3"/>
  <c r="N10" i="2" s="1"/>
  <c r="O6" i="3"/>
  <c r="O10" i="2" s="1"/>
  <c r="L6" i="3"/>
  <c r="L10" i="2" s="1"/>
  <c r="J6" i="3"/>
  <c r="J10" i="2" s="1"/>
  <c r="K6" i="3"/>
  <c r="K10" i="2" s="1"/>
  <c r="H6" i="3"/>
  <c r="H10" i="2" s="1"/>
  <c r="I6" i="3"/>
  <c r="I10" i="2" s="1"/>
  <c r="F6" i="3"/>
  <c r="F10" i="2" s="1"/>
  <c r="G6" i="3"/>
  <c r="G10" i="2" s="1"/>
  <c r="J3" i="1"/>
  <c r="K2" i="1"/>
  <c r="BK5" i="2"/>
  <c r="BL5" i="2" s="1"/>
  <c r="BM5" i="2" s="1"/>
  <c r="F3" i="2"/>
  <c r="F18" i="2" s="1"/>
  <c r="F14" i="7" s="1"/>
  <c r="F14" i="2"/>
  <c r="F19" i="2"/>
  <c r="F7" i="2"/>
  <c r="F6" i="2"/>
  <c r="F15" i="2"/>
  <c r="F13" i="7"/>
  <c r="F20" i="2"/>
  <c r="F22" i="2"/>
  <c r="F18" i="7" s="1"/>
  <c r="AU7" i="3"/>
  <c r="G28" i="1"/>
  <c r="G34" i="1" s="1"/>
  <c r="G21" i="7" s="1"/>
  <c r="F28" i="1"/>
  <c r="F34" i="1" s="1"/>
  <c r="F21" i="7" s="1"/>
  <c r="H9" i="1"/>
  <c r="H34" i="1" s="1"/>
  <c r="H21" i="7" s="1"/>
  <c r="O32" i="3"/>
  <c r="C40" i="3" s="1"/>
  <c r="C41" i="3" s="1"/>
  <c r="I23" i="1"/>
  <c r="G2" i="2"/>
  <c r="I28" i="1"/>
  <c r="F25" i="7"/>
  <c r="K32" i="3"/>
  <c r="I32" i="3"/>
  <c r="G2" i="7"/>
  <c r="G2" i="6"/>
  <c r="G3" i="3"/>
  <c r="F3" i="1"/>
  <c r="I3" i="1"/>
  <c r="H3" i="1"/>
  <c r="G3" i="1"/>
  <c r="L2" i="1" l="1"/>
  <c r="L3" i="1" s="1"/>
  <c r="K3" i="1"/>
  <c r="H2" i="2"/>
  <c r="H13" i="7" s="1"/>
  <c r="C43" i="3"/>
  <c r="C46" i="3" s="1"/>
  <c r="F9" i="7"/>
  <c r="F15" i="7"/>
  <c r="F10" i="7"/>
  <c r="G3" i="2"/>
  <c r="G18" i="2" s="1"/>
  <c r="G14" i="7" s="1"/>
  <c r="G14" i="2"/>
  <c r="G16" i="2"/>
  <c r="G19" i="2"/>
  <c r="G15" i="7" s="1"/>
  <c r="G7" i="2"/>
  <c r="G10" i="7" s="1"/>
  <c r="G6" i="2"/>
  <c r="G9" i="7" s="1"/>
  <c r="G15" i="2"/>
  <c r="G13" i="7"/>
  <c r="G20" i="2"/>
  <c r="G16" i="7" s="1"/>
  <c r="H19" i="2"/>
  <c r="H15" i="7" s="1"/>
  <c r="H7" i="2"/>
  <c r="H10" i="7" s="1"/>
  <c r="H6" i="2"/>
  <c r="H9" i="7" s="1"/>
  <c r="H15" i="2"/>
  <c r="H20" i="2"/>
  <c r="H16" i="7" s="1"/>
  <c r="F16" i="7"/>
  <c r="AV7" i="3"/>
  <c r="I34" i="1"/>
  <c r="I21" i="7" s="1"/>
  <c r="D21" i="7" s="1"/>
  <c r="C42" i="3"/>
  <c r="C45" i="3" s="1"/>
  <c r="G25" i="7"/>
  <c r="G3" i="7"/>
  <c r="H2" i="7"/>
  <c r="G3" i="6"/>
  <c r="H2" i="6"/>
  <c r="I2" i="2"/>
  <c r="G4" i="3"/>
  <c r="H3" i="3"/>
  <c r="C10" i="3" l="1"/>
  <c r="C8" i="3"/>
  <c r="BJ8" i="3" s="1"/>
  <c r="H16" i="2"/>
  <c r="H14" i="2"/>
  <c r="H3" i="2"/>
  <c r="H18" i="2" s="1"/>
  <c r="H14" i="7" s="1"/>
  <c r="I14" i="2"/>
  <c r="I16" i="2"/>
  <c r="I19" i="2"/>
  <c r="I15" i="7" s="1"/>
  <c r="I7" i="2"/>
  <c r="I10" i="7" s="1"/>
  <c r="I6" i="2"/>
  <c r="I9" i="7" s="1"/>
  <c r="I15" i="2"/>
  <c r="I13" i="7"/>
  <c r="I20" i="2"/>
  <c r="AW7" i="3"/>
  <c r="H25" i="7"/>
  <c r="I2" i="7"/>
  <c r="H3" i="7"/>
  <c r="I2" i="6"/>
  <c r="H3" i="6"/>
  <c r="J2" i="2"/>
  <c r="I3" i="2"/>
  <c r="I18" i="2" s="1"/>
  <c r="I14" i="7" s="1"/>
  <c r="I3" i="3"/>
  <c r="H4" i="3"/>
  <c r="AC10" i="3" l="1"/>
  <c r="G10" i="3"/>
  <c r="AB8" i="3"/>
  <c r="BA8" i="3"/>
  <c r="AF8" i="3"/>
  <c r="J8" i="3"/>
  <c r="K8" i="3"/>
  <c r="Q8" i="3"/>
  <c r="R8" i="3"/>
  <c r="BF8" i="3"/>
  <c r="G8" i="3"/>
  <c r="AC8" i="3"/>
  <c r="AS8" i="3"/>
  <c r="AK8" i="3"/>
  <c r="AN8" i="3"/>
  <c r="AI8" i="3"/>
  <c r="P8" i="3"/>
  <c r="AQ8" i="3"/>
  <c r="AY8" i="3"/>
  <c r="AR8" i="3"/>
  <c r="AO8" i="3"/>
  <c r="BK8" i="3"/>
  <c r="AG8" i="3"/>
  <c r="AH8" i="3"/>
  <c r="AM8" i="3"/>
  <c r="BC8" i="3"/>
  <c r="BG8" i="3"/>
  <c r="M8" i="3"/>
  <c r="AW8" i="3"/>
  <c r="BM8" i="3"/>
  <c r="X8" i="3"/>
  <c r="AP8" i="3"/>
  <c r="AE8" i="3"/>
  <c r="AT8" i="3"/>
  <c r="AA8" i="3"/>
  <c r="Y8" i="3"/>
  <c r="I8" i="3"/>
  <c r="BD8" i="3"/>
  <c r="V8" i="3"/>
  <c r="BB8" i="3"/>
  <c r="AJ8" i="3"/>
  <c r="BE8" i="3"/>
  <c r="L8" i="3"/>
  <c r="AZ8" i="3"/>
  <c r="F8" i="3"/>
  <c r="Z8" i="3"/>
  <c r="U8" i="3"/>
  <c r="AU8" i="3"/>
  <c r="AD8" i="3"/>
  <c r="N8" i="3"/>
  <c r="AX8" i="3"/>
  <c r="H8" i="3"/>
  <c r="S8" i="3"/>
  <c r="O8" i="3"/>
  <c r="AL8" i="3"/>
  <c r="AV8" i="3"/>
  <c r="T8" i="3"/>
  <c r="W8" i="3"/>
  <c r="BI8" i="3"/>
  <c r="BH8" i="3"/>
  <c r="BL8" i="3"/>
  <c r="AW10" i="3"/>
  <c r="K10" i="3"/>
  <c r="K12" i="3" s="1"/>
  <c r="K9" i="2" s="1"/>
  <c r="AG10" i="3"/>
  <c r="BG10" i="3"/>
  <c r="AQ10" i="3"/>
  <c r="AQ13" i="2" s="1"/>
  <c r="O10" i="3"/>
  <c r="X10" i="3"/>
  <c r="M10" i="3"/>
  <c r="J10" i="3"/>
  <c r="T10" i="3"/>
  <c r="L10" i="3"/>
  <c r="AT10" i="3"/>
  <c r="N10" i="3"/>
  <c r="AZ10" i="3"/>
  <c r="AF10" i="3"/>
  <c r="AM10" i="3"/>
  <c r="AI10" i="3"/>
  <c r="R10" i="3"/>
  <c r="AU10" i="3"/>
  <c r="U10" i="3"/>
  <c r="AE10" i="3"/>
  <c r="BF10" i="3"/>
  <c r="AS10" i="3"/>
  <c r="I10" i="3"/>
  <c r="BJ10" i="3"/>
  <c r="BJ12" i="3" s="1"/>
  <c r="BJ9" i="2" s="1"/>
  <c r="BA10" i="3"/>
  <c r="F10" i="3"/>
  <c r="AX10" i="3"/>
  <c r="AN10" i="3"/>
  <c r="AY10" i="3"/>
  <c r="BL10" i="3"/>
  <c r="AR10" i="3"/>
  <c r="AL10" i="3"/>
  <c r="BI10" i="3"/>
  <c r="V10" i="3"/>
  <c r="BE10" i="3"/>
  <c r="S10" i="3"/>
  <c r="P10" i="3"/>
  <c r="Y10" i="3"/>
  <c r="BC10" i="3"/>
  <c r="AK10" i="3"/>
  <c r="Q10" i="3"/>
  <c r="AV10" i="3"/>
  <c r="AH10" i="3"/>
  <c r="BK10" i="3"/>
  <c r="AB10" i="3"/>
  <c r="AP10" i="3"/>
  <c r="AO10" i="3"/>
  <c r="AJ10" i="3"/>
  <c r="Z10" i="3"/>
  <c r="H10" i="3"/>
  <c r="BM10" i="3"/>
  <c r="BH10" i="3"/>
  <c r="BD10" i="3"/>
  <c r="AD10" i="3"/>
  <c r="W10" i="3"/>
  <c r="BB10" i="3"/>
  <c r="AA10" i="3"/>
  <c r="J19" i="2"/>
  <c r="J16" i="2"/>
  <c r="J15" i="2"/>
  <c r="J14" i="2"/>
  <c r="J7" i="2"/>
  <c r="J10" i="7" s="1"/>
  <c r="J6" i="2"/>
  <c r="J9" i="7" s="1"/>
  <c r="J20" i="2"/>
  <c r="J16" i="7" s="1"/>
  <c r="I16" i="7"/>
  <c r="AX7" i="3"/>
  <c r="I25" i="7"/>
  <c r="J2" i="7"/>
  <c r="J22" i="7" s="1"/>
  <c r="J20" i="7" s="1"/>
  <c r="J19" i="7" s="1"/>
  <c r="I3" i="7"/>
  <c r="J2" i="6"/>
  <c r="I3" i="6"/>
  <c r="K2" i="2"/>
  <c r="J3" i="2"/>
  <c r="J18" i="2" s="1"/>
  <c r="J14" i="7" s="1"/>
  <c r="J3" i="3"/>
  <c r="I4" i="3"/>
  <c r="AU12" i="3" l="1"/>
  <c r="AU9" i="2" s="1"/>
  <c r="J12" i="3"/>
  <c r="J9" i="2" s="1"/>
  <c r="N12" i="3"/>
  <c r="N9" i="2" s="1"/>
  <c r="AC12" i="3"/>
  <c r="AC9" i="2" s="1"/>
  <c r="BH12" i="3"/>
  <c r="BH9" i="2" s="1"/>
  <c r="BB12" i="3"/>
  <c r="BB9" i="2" s="1"/>
  <c r="AQ12" i="3"/>
  <c r="AQ9" i="2" s="1"/>
  <c r="BA12" i="3"/>
  <c r="BA9" i="2" s="1"/>
  <c r="AB12" i="3"/>
  <c r="AB9" i="2" s="1"/>
  <c r="AN12" i="3"/>
  <c r="AN9" i="2" s="1"/>
  <c r="AF12" i="3"/>
  <c r="AF9" i="2" s="1"/>
  <c r="Q12" i="3"/>
  <c r="Q9" i="2" s="1"/>
  <c r="AY12" i="3"/>
  <c r="AY9" i="2" s="1"/>
  <c r="R12" i="3"/>
  <c r="R9" i="2" s="1"/>
  <c r="BF12" i="3"/>
  <c r="BF9" i="2" s="1"/>
  <c r="AK12" i="3"/>
  <c r="AK9" i="2" s="1"/>
  <c r="W12" i="3"/>
  <c r="W9" i="2" s="1"/>
  <c r="BC12" i="3"/>
  <c r="BC9" i="2" s="1"/>
  <c r="G12" i="3"/>
  <c r="G9" i="2" s="1"/>
  <c r="AS12" i="3"/>
  <c r="AS9" i="2" s="1"/>
  <c r="AR13" i="2"/>
  <c r="AO12" i="3"/>
  <c r="AO9" i="2" s="1"/>
  <c r="BI12" i="3"/>
  <c r="BI9" i="2" s="1"/>
  <c r="AP13" i="2"/>
  <c r="AI12" i="3"/>
  <c r="AI9" i="2" s="1"/>
  <c r="P12" i="3"/>
  <c r="P9" i="2" s="1"/>
  <c r="AG12" i="3"/>
  <c r="AG9" i="2" s="1"/>
  <c r="AH12" i="3"/>
  <c r="AH9" i="2" s="1"/>
  <c r="AM12" i="3"/>
  <c r="AM9" i="2" s="1"/>
  <c r="BK12" i="3"/>
  <c r="BK9" i="2" s="1"/>
  <c r="AS13" i="2"/>
  <c r="AA12" i="3"/>
  <c r="AA9" i="2" s="1"/>
  <c r="BE12" i="3"/>
  <c r="BE9" i="2" s="1"/>
  <c r="AT13" i="2"/>
  <c r="AV13" i="2"/>
  <c r="S12" i="3"/>
  <c r="S9" i="2" s="1"/>
  <c r="H12" i="3"/>
  <c r="H9" i="2" s="1"/>
  <c r="AX12" i="3"/>
  <c r="AX9" i="2" s="1"/>
  <c r="U12" i="3"/>
  <c r="U9" i="2" s="1"/>
  <c r="BG12" i="3"/>
  <c r="BG9" i="2" s="1"/>
  <c r="T12" i="3"/>
  <c r="T9" i="2" s="1"/>
  <c r="AE12" i="3"/>
  <c r="AE9" i="2" s="1"/>
  <c r="V12" i="3"/>
  <c r="V9" i="2" s="1"/>
  <c r="L12" i="3"/>
  <c r="L9" i="2" s="1"/>
  <c r="AU13" i="2"/>
  <c r="AP12" i="3"/>
  <c r="AP9" i="2" s="1"/>
  <c r="O12" i="3"/>
  <c r="O9" i="2" s="1"/>
  <c r="X12" i="3"/>
  <c r="X9" i="2" s="1"/>
  <c r="AZ12" i="3"/>
  <c r="AZ9" i="2" s="1"/>
  <c r="M12" i="3"/>
  <c r="M9" i="2" s="1"/>
  <c r="AJ12" i="3"/>
  <c r="AJ9" i="2" s="1"/>
  <c r="F12" i="3"/>
  <c r="F9" i="2" s="1"/>
  <c r="F8" i="2" s="1"/>
  <c r="F11" i="7" s="1"/>
  <c r="AD12" i="3"/>
  <c r="AD9" i="2" s="1"/>
  <c r="AW12" i="3"/>
  <c r="AW9" i="2" s="1"/>
  <c r="BL12" i="3"/>
  <c r="BL9" i="2" s="1"/>
  <c r="Y12" i="3"/>
  <c r="Y9" i="2" s="1"/>
  <c r="BM12" i="3"/>
  <c r="BM9" i="2" s="1"/>
  <c r="I12" i="3"/>
  <c r="I9" i="2" s="1"/>
  <c r="AR12" i="3"/>
  <c r="AR9" i="2" s="1"/>
  <c r="AL12" i="3"/>
  <c r="AL9" i="2" s="1"/>
  <c r="BD12" i="3"/>
  <c r="BD9" i="2" s="1"/>
  <c r="AV12" i="3"/>
  <c r="AV9" i="2" s="1"/>
  <c r="Z12" i="3"/>
  <c r="Z9" i="2" s="1"/>
  <c r="F13" i="2"/>
  <c r="F11" i="2" s="1"/>
  <c r="AT12" i="3"/>
  <c r="AT9" i="2" s="1"/>
  <c r="J13" i="7"/>
  <c r="J15" i="7"/>
  <c r="K6" i="2"/>
  <c r="K9" i="7" s="1"/>
  <c r="K19" i="2"/>
  <c r="K15" i="7" s="1"/>
  <c r="K16" i="2"/>
  <c r="K15" i="2"/>
  <c r="K14" i="2"/>
  <c r="K20" i="2"/>
  <c r="K16" i="7" s="1"/>
  <c r="K7" i="2"/>
  <c r="K10" i="7" s="1"/>
  <c r="K13" i="7"/>
  <c r="AW13" i="2"/>
  <c r="AY7" i="3"/>
  <c r="H13" i="2"/>
  <c r="H11" i="2" s="1"/>
  <c r="H12" i="7" s="1"/>
  <c r="Z13" i="2"/>
  <c r="AG13" i="2"/>
  <c r="Q13" i="2"/>
  <c r="M13" i="2"/>
  <c r="AN13" i="2"/>
  <c r="AJ13" i="2"/>
  <c r="AD13" i="2"/>
  <c r="AC13" i="2"/>
  <c r="AB13" i="2"/>
  <c r="AE13" i="2"/>
  <c r="O13" i="2"/>
  <c r="K13" i="2"/>
  <c r="AF13" i="2"/>
  <c r="AA13" i="2"/>
  <c r="AL13" i="2"/>
  <c r="AH13" i="2"/>
  <c r="I13" i="2"/>
  <c r="I11" i="2" s="1"/>
  <c r="I12" i="7" s="1"/>
  <c r="X13" i="2"/>
  <c r="V13" i="2"/>
  <c r="T13" i="2"/>
  <c r="R13" i="2"/>
  <c r="G13" i="2"/>
  <c r="G11" i="2" s="1"/>
  <c r="G12" i="7" s="1"/>
  <c r="P13" i="2"/>
  <c r="N13" i="2"/>
  <c r="L13" i="2"/>
  <c r="J13" i="2"/>
  <c r="J11" i="2" s="1"/>
  <c r="AO13" i="2"/>
  <c r="AM13" i="2"/>
  <c r="AK13" i="2"/>
  <c r="AI13" i="2"/>
  <c r="Y13" i="2"/>
  <c r="W13" i="2"/>
  <c r="U13" i="2"/>
  <c r="S13" i="2"/>
  <c r="C12" i="3"/>
  <c r="J25" i="7"/>
  <c r="K2" i="7"/>
  <c r="K22" i="7" s="1"/>
  <c r="K20" i="7" s="1"/>
  <c r="K19" i="7" s="1"/>
  <c r="J3" i="7"/>
  <c r="K2" i="6"/>
  <c r="J3" i="6"/>
  <c r="L2" i="2"/>
  <c r="K3" i="2"/>
  <c r="K18" i="2" s="1"/>
  <c r="K14" i="7" s="1"/>
  <c r="J4" i="3"/>
  <c r="K3" i="3"/>
  <c r="L7" i="2" l="1"/>
  <c r="L6" i="2"/>
  <c r="L9" i="7" s="1"/>
  <c r="L19" i="2"/>
  <c r="L16" i="2"/>
  <c r="L15" i="2"/>
  <c r="L14" i="2"/>
  <c r="L20" i="2"/>
  <c r="L16" i="7" s="1"/>
  <c r="K11" i="2"/>
  <c r="K12" i="7" s="1"/>
  <c r="AX13" i="2"/>
  <c r="AZ7" i="3"/>
  <c r="E13" i="2"/>
  <c r="AL21" i="2"/>
  <c r="F12" i="7"/>
  <c r="M21" i="2"/>
  <c r="J7" i="7"/>
  <c r="J6" i="7" s="1"/>
  <c r="O21" i="2"/>
  <c r="T21" i="2"/>
  <c r="K21" i="2"/>
  <c r="L21" i="2"/>
  <c r="R21" i="2"/>
  <c r="U21" i="2"/>
  <c r="P21" i="2"/>
  <c r="N21" i="2"/>
  <c r="V21" i="2"/>
  <c r="Q21" i="2"/>
  <c r="S21" i="2"/>
  <c r="K25" i="7"/>
  <c r="L2" i="7"/>
  <c r="L22" i="7" s="1"/>
  <c r="L20" i="7" s="1"/>
  <c r="L19" i="7" s="1"/>
  <c r="K3" i="7"/>
  <c r="K3" i="6"/>
  <c r="L2" i="6"/>
  <c r="M2" i="2"/>
  <c r="L3" i="2"/>
  <c r="L18" i="2" s="1"/>
  <c r="L14" i="7" s="1"/>
  <c r="L3" i="3"/>
  <c r="K4" i="3"/>
  <c r="G8" i="2" l="1"/>
  <c r="G11" i="7" s="1"/>
  <c r="H8" i="2"/>
  <c r="H11" i="7" s="1"/>
  <c r="I8" i="2"/>
  <c r="I11" i="7" s="1"/>
  <c r="L11" i="2"/>
  <c r="L12" i="7" s="1"/>
  <c r="M20" i="2"/>
  <c r="M16" i="7" s="1"/>
  <c r="M7" i="2"/>
  <c r="M10" i="7" s="1"/>
  <c r="M6" i="2"/>
  <c r="M9" i="7" s="1"/>
  <c r="M19" i="2"/>
  <c r="M15" i="7" s="1"/>
  <c r="M16" i="2"/>
  <c r="M15" i="2"/>
  <c r="M14" i="2"/>
  <c r="M13" i="7"/>
  <c r="L13" i="7"/>
  <c r="L10" i="7"/>
  <c r="L15" i="7"/>
  <c r="AQ7" i="7"/>
  <c r="AQ6" i="7" s="1"/>
  <c r="AQ21" i="2"/>
  <c r="AQ17" i="7" s="1"/>
  <c r="AP7" i="7"/>
  <c r="AP6" i="7" s="1"/>
  <c r="AP21" i="2"/>
  <c r="AP17" i="7" s="1"/>
  <c r="AW7" i="7"/>
  <c r="AW6" i="7" s="1"/>
  <c r="AW21" i="2"/>
  <c r="AW17" i="7" s="1"/>
  <c r="AV7" i="7"/>
  <c r="AV6" i="7" s="1"/>
  <c r="AV21" i="2"/>
  <c r="AV17" i="7" s="1"/>
  <c r="AU7" i="7"/>
  <c r="AU6" i="7" s="1"/>
  <c r="AU21" i="2"/>
  <c r="AU17" i="7" s="1"/>
  <c r="AY7" i="7"/>
  <c r="AY6" i="7" s="1"/>
  <c r="AY21" i="2"/>
  <c r="AY17" i="7" s="1"/>
  <c r="AT7" i="7"/>
  <c r="AT6" i="7" s="1"/>
  <c r="AT21" i="2"/>
  <c r="AT17" i="7" s="1"/>
  <c r="AX7" i="7"/>
  <c r="AX6" i="7" s="1"/>
  <c r="AX21" i="2"/>
  <c r="AX17" i="7" s="1"/>
  <c r="AS7" i="7"/>
  <c r="AS6" i="7" s="1"/>
  <c r="AS21" i="2"/>
  <c r="AS17" i="7" s="1"/>
  <c r="AY13" i="2"/>
  <c r="AR7" i="7"/>
  <c r="AR6" i="7" s="1"/>
  <c r="AR21" i="2"/>
  <c r="AR17" i="7" s="1"/>
  <c r="BA7" i="3"/>
  <c r="AL7" i="7"/>
  <c r="AL6" i="7" s="1"/>
  <c r="W21" i="2"/>
  <c r="W17" i="7" s="1"/>
  <c r="AM21" i="2"/>
  <c r="AM17" i="7" s="1"/>
  <c r="AC7" i="7"/>
  <c r="AC6" i="7" s="1"/>
  <c r="AC21" i="2"/>
  <c r="AC17" i="7" s="1"/>
  <c r="AN21" i="2"/>
  <c r="AN17" i="7" s="1"/>
  <c r="AK21" i="2"/>
  <c r="AK17" i="7" s="1"/>
  <c r="AO21" i="2"/>
  <c r="AO17" i="7" s="1"/>
  <c r="AG21" i="2"/>
  <c r="AG17" i="7" s="1"/>
  <c r="AB21" i="2"/>
  <c r="AB17" i="7" s="1"/>
  <c r="AH21" i="2"/>
  <c r="AH17" i="7" s="1"/>
  <c r="AD7" i="7"/>
  <c r="AD6" i="7" s="1"/>
  <c r="AD21" i="2"/>
  <c r="AD17" i="7" s="1"/>
  <c r="AF21" i="2"/>
  <c r="AF17" i="7" s="1"/>
  <c r="AA7" i="7"/>
  <c r="AA6" i="7" s="1"/>
  <c r="AA21" i="2"/>
  <c r="AA17" i="7" s="1"/>
  <c r="AJ21" i="2"/>
  <c r="AJ17" i="7" s="1"/>
  <c r="Y21" i="2"/>
  <c r="Y17" i="7" s="1"/>
  <c r="Z7" i="7"/>
  <c r="Z6" i="7" s="1"/>
  <c r="Z21" i="2"/>
  <c r="Z17" i="7" s="1"/>
  <c r="X21" i="2"/>
  <c r="X17" i="7" s="1"/>
  <c r="AE21" i="2"/>
  <c r="AE17" i="7" s="1"/>
  <c r="AI21" i="2"/>
  <c r="AI17" i="7" s="1"/>
  <c r="K8" i="2"/>
  <c r="K11" i="7" s="1"/>
  <c r="L8" i="2"/>
  <c r="L11" i="7" s="1"/>
  <c r="T17" i="7"/>
  <c r="S17" i="7"/>
  <c r="U17" i="7"/>
  <c r="V17" i="7"/>
  <c r="R7" i="7"/>
  <c r="R6" i="7" s="1"/>
  <c r="R17" i="7"/>
  <c r="L17" i="7"/>
  <c r="N17" i="7"/>
  <c r="P17" i="7"/>
  <c r="Q7" i="7"/>
  <c r="Q6" i="7" s="1"/>
  <c r="O17" i="7"/>
  <c r="K17" i="7"/>
  <c r="M17" i="7"/>
  <c r="I7" i="7"/>
  <c r="I6" i="7" s="1"/>
  <c r="I21" i="2"/>
  <c r="I17" i="7" s="1"/>
  <c r="F7" i="7"/>
  <c r="F21" i="2"/>
  <c r="G7" i="7"/>
  <c r="G6" i="7" s="1"/>
  <c r="G21" i="2"/>
  <c r="H7" i="7"/>
  <c r="H6" i="7" s="1"/>
  <c r="H21" i="2"/>
  <c r="H17" i="7" s="1"/>
  <c r="M7" i="7"/>
  <c r="M6" i="7" s="1"/>
  <c r="C8" i="2"/>
  <c r="C23" i="2" s="1"/>
  <c r="AB7" i="7"/>
  <c r="AB6" i="7" s="1"/>
  <c r="AH7" i="7"/>
  <c r="AH6" i="7" s="1"/>
  <c r="AF7" i="7"/>
  <c r="AF6" i="7" s="1"/>
  <c r="J21" i="2"/>
  <c r="J17" i="7" s="1"/>
  <c r="AJ7" i="7"/>
  <c r="AJ6" i="7" s="1"/>
  <c r="T7" i="7"/>
  <c r="T6" i="7" s="1"/>
  <c r="AL17" i="7"/>
  <c r="AK7" i="7"/>
  <c r="AK6" i="7" s="1"/>
  <c r="AO7" i="7"/>
  <c r="AO6" i="7" s="1"/>
  <c r="AG7" i="7"/>
  <c r="AG6" i="7" s="1"/>
  <c r="AN7" i="7"/>
  <c r="AN6" i="7" s="1"/>
  <c r="K7" i="7"/>
  <c r="K6" i="7" s="1"/>
  <c r="Y7" i="7"/>
  <c r="Y6" i="7" s="1"/>
  <c r="AM7" i="7"/>
  <c r="AM6" i="7" s="1"/>
  <c r="AE7" i="7"/>
  <c r="AE6" i="7" s="1"/>
  <c r="AI7" i="7"/>
  <c r="AI6" i="7" s="1"/>
  <c r="O7" i="7"/>
  <c r="O6" i="7" s="1"/>
  <c r="L7" i="7"/>
  <c r="L6" i="7" s="1"/>
  <c r="U7" i="7"/>
  <c r="U6" i="7" s="1"/>
  <c r="X7" i="7"/>
  <c r="X6" i="7" s="1"/>
  <c r="P7" i="7"/>
  <c r="P6" i="7" s="1"/>
  <c r="V7" i="7"/>
  <c r="V6" i="7" s="1"/>
  <c r="S7" i="7"/>
  <c r="S6" i="7" s="1"/>
  <c r="W7" i="7"/>
  <c r="W6" i="7" s="1"/>
  <c r="N7" i="7"/>
  <c r="N6" i="7" s="1"/>
  <c r="Q17" i="7"/>
  <c r="L25" i="7"/>
  <c r="L3" i="7"/>
  <c r="M2" i="7"/>
  <c r="M22" i="7" s="1"/>
  <c r="M20" i="7" s="1"/>
  <c r="M19" i="7" s="1"/>
  <c r="L3" i="6"/>
  <c r="M2" i="6"/>
  <c r="M3" i="2"/>
  <c r="M18" i="2" s="1"/>
  <c r="M14" i="7" s="1"/>
  <c r="N2" i="2"/>
  <c r="L4" i="3"/>
  <c r="M3" i="3"/>
  <c r="F6" i="7" l="1"/>
  <c r="M11" i="2"/>
  <c r="M8" i="2"/>
  <c r="M11" i="7" s="1"/>
  <c r="N19" i="2"/>
  <c r="N15" i="7" s="1"/>
  <c r="N14" i="2"/>
  <c r="N7" i="2"/>
  <c r="N6" i="2"/>
  <c r="N9" i="7" s="1"/>
  <c r="N20" i="2"/>
  <c r="N16" i="7" s="1"/>
  <c r="N16" i="2"/>
  <c r="N15" i="2"/>
  <c r="N8" i="2"/>
  <c r="N11" i="7" s="1"/>
  <c r="AZ13" i="2"/>
  <c r="AZ7" i="7"/>
  <c r="AZ6" i="7" s="1"/>
  <c r="AZ21" i="2"/>
  <c r="AZ17" i="7" s="1"/>
  <c r="BB7" i="3"/>
  <c r="F17" i="7"/>
  <c r="F8" i="7" s="1"/>
  <c r="E21" i="2"/>
  <c r="J8" i="2"/>
  <c r="G17" i="7"/>
  <c r="M25" i="7"/>
  <c r="M3" i="7"/>
  <c r="N2" i="7"/>
  <c r="N22" i="7" s="1"/>
  <c r="N20" i="7" s="1"/>
  <c r="N19" i="7" s="1"/>
  <c r="M3" i="6"/>
  <c r="N2" i="6"/>
  <c r="O2" i="2"/>
  <c r="N3" i="2"/>
  <c r="N18" i="2" s="1"/>
  <c r="N14" i="7" s="1"/>
  <c r="M4" i="3"/>
  <c r="N3" i="3"/>
  <c r="M12" i="7" l="1"/>
  <c r="N13" i="7"/>
  <c r="N10" i="7"/>
  <c r="O15" i="2"/>
  <c r="O19" i="2"/>
  <c r="O15" i="7" s="1"/>
  <c r="O14" i="2"/>
  <c r="O7" i="2"/>
  <c r="O10" i="7" s="1"/>
  <c r="O6" i="2"/>
  <c r="O9" i="7" s="1"/>
  <c r="O20" i="2"/>
  <c r="O16" i="7" s="1"/>
  <c r="O16" i="2"/>
  <c r="O13" i="7"/>
  <c r="N11" i="2"/>
  <c r="N12" i="7" s="1"/>
  <c r="BA13" i="2"/>
  <c r="BA7" i="7"/>
  <c r="BA6" i="7" s="1"/>
  <c r="BA21" i="2"/>
  <c r="BA17" i="7" s="1"/>
  <c r="BC7" i="3"/>
  <c r="Q11" i="8"/>
  <c r="J11" i="7"/>
  <c r="G10" i="6"/>
  <c r="G28" i="7" s="1"/>
  <c r="H10" i="6"/>
  <c r="H28" i="7" s="1"/>
  <c r="I10" i="6"/>
  <c r="I28" i="7" s="1"/>
  <c r="J10" i="6"/>
  <c r="J28" i="7" s="1"/>
  <c r="K10" i="6"/>
  <c r="K28" i="7" s="1"/>
  <c r="L10" i="6"/>
  <c r="L28" i="7" s="1"/>
  <c r="F22" i="7"/>
  <c r="N25" i="7"/>
  <c r="N3" i="7"/>
  <c r="O2" i="7"/>
  <c r="O22" i="7" s="1"/>
  <c r="O20" i="7" s="1"/>
  <c r="O19" i="7" s="1"/>
  <c r="N3" i="6"/>
  <c r="O2" i="6"/>
  <c r="P2" i="2"/>
  <c r="O3" i="2"/>
  <c r="O18" i="2" s="1"/>
  <c r="O14" i="7" s="1"/>
  <c r="N4" i="3"/>
  <c r="O3" i="3"/>
  <c r="F5" i="7" l="1"/>
  <c r="F29" i="7" s="1"/>
  <c r="BB13" i="2"/>
  <c r="P16" i="2"/>
  <c r="P15" i="2"/>
  <c r="P19" i="2"/>
  <c r="P15" i="7" s="1"/>
  <c r="P14" i="2"/>
  <c r="P7" i="2"/>
  <c r="P10" i="7" s="1"/>
  <c r="P6" i="2"/>
  <c r="P9" i="7" s="1"/>
  <c r="P20" i="2"/>
  <c r="P16" i="7" s="1"/>
  <c r="P13" i="7"/>
  <c r="O11" i="2"/>
  <c r="O12" i="7" s="1"/>
  <c r="O8" i="2"/>
  <c r="BB7" i="7"/>
  <c r="BB6" i="7" s="1"/>
  <c r="BB21" i="2"/>
  <c r="BB17" i="7" s="1"/>
  <c r="BD7" i="3"/>
  <c r="F23" i="2"/>
  <c r="F20" i="7"/>
  <c r="O25" i="7"/>
  <c r="O3" i="7"/>
  <c r="P2" i="7"/>
  <c r="P22" i="7" s="1"/>
  <c r="P20" i="7" s="1"/>
  <c r="P19" i="7" s="1"/>
  <c r="P2" i="6"/>
  <c r="O3" i="6"/>
  <c r="P3" i="2"/>
  <c r="P18" i="2" s="1"/>
  <c r="P14" i="7" s="1"/>
  <c r="Q2" i="2"/>
  <c r="P3" i="3"/>
  <c r="O4" i="3"/>
  <c r="F32" i="7" l="1"/>
  <c r="F27" i="7"/>
  <c r="F15" i="6"/>
  <c r="F16" i="6" s="1"/>
  <c r="P8" i="2"/>
  <c r="P11" i="7" s="1"/>
  <c r="P11" i="2"/>
  <c r="P12" i="7" s="1"/>
  <c r="Q16" i="2"/>
  <c r="Q15" i="2"/>
  <c r="Q7" i="2"/>
  <c r="Q10" i="7" s="1"/>
  <c r="Q19" i="2"/>
  <c r="Q15" i="7" s="1"/>
  <c r="Q14" i="2"/>
  <c r="Q6" i="2"/>
  <c r="Q9" i="7" s="1"/>
  <c r="Q20" i="2"/>
  <c r="Q16" i="7" s="1"/>
  <c r="O11" i="7"/>
  <c r="BC13" i="2"/>
  <c r="BC7" i="7"/>
  <c r="BC6" i="7" s="1"/>
  <c r="BC21" i="2"/>
  <c r="BC17" i="7" s="1"/>
  <c r="BE7" i="3"/>
  <c r="P25" i="7"/>
  <c r="P3" i="7"/>
  <c r="Q2" i="7"/>
  <c r="Q22" i="7" s="1"/>
  <c r="Q20" i="7" s="1"/>
  <c r="Q19" i="7" s="1"/>
  <c r="Q2" i="6"/>
  <c r="P3" i="6"/>
  <c r="Q3" i="2"/>
  <c r="Q18" i="2" s="1"/>
  <c r="Q14" i="7" s="1"/>
  <c r="R2" i="2"/>
  <c r="Q3" i="3"/>
  <c r="P4" i="3"/>
  <c r="F8" i="6" l="1"/>
  <c r="F11" i="6" s="1"/>
  <c r="G9" i="6" s="1"/>
  <c r="Q11" i="2"/>
  <c r="Q12" i="7" s="1"/>
  <c r="Q8" i="2"/>
  <c r="R20" i="2"/>
  <c r="R16" i="7" s="1"/>
  <c r="R16" i="2"/>
  <c r="R15" i="2"/>
  <c r="R19" i="2"/>
  <c r="R15" i="7" s="1"/>
  <c r="R14" i="2"/>
  <c r="R7" i="2"/>
  <c r="R10" i="7" s="1"/>
  <c r="R6" i="2"/>
  <c r="R9" i="7" s="1"/>
  <c r="R13" i="7"/>
  <c r="Q13" i="7"/>
  <c r="BD13" i="2"/>
  <c r="BD7" i="7"/>
  <c r="BD6" i="7" s="1"/>
  <c r="BD21" i="2"/>
  <c r="BD17" i="7" s="1"/>
  <c r="BF7" i="3"/>
  <c r="F33" i="7"/>
  <c r="F34" i="7" s="1"/>
  <c r="Q3" i="7"/>
  <c r="Q25" i="7"/>
  <c r="R2" i="7"/>
  <c r="R22" i="7" s="1"/>
  <c r="R20" i="7" s="1"/>
  <c r="R19" i="7" s="1"/>
  <c r="R2" i="6"/>
  <c r="Q3" i="6"/>
  <c r="Q4" i="3"/>
  <c r="R3" i="3"/>
  <c r="R3" i="2"/>
  <c r="R18" i="2" s="1"/>
  <c r="R14" i="7" s="1"/>
  <c r="S2" i="2"/>
  <c r="G22" i="2" l="1"/>
  <c r="BE13" i="2"/>
  <c r="R8" i="2"/>
  <c r="R11" i="7" s="1"/>
  <c r="S6" i="2"/>
  <c r="S9" i="7" s="1"/>
  <c r="S20" i="2"/>
  <c r="S16" i="7" s="1"/>
  <c r="S16" i="2"/>
  <c r="S15" i="2"/>
  <c r="S19" i="2"/>
  <c r="S15" i="7" s="1"/>
  <c r="S14" i="2"/>
  <c r="S7" i="2"/>
  <c r="S10" i="7" s="1"/>
  <c r="S13" i="7"/>
  <c r="Q11" i="7"/>
  <c r="R11" i="2"/>
  <c r="R12" i="7" s="1"/>
  <c r="BE7" i="7"/>
  <c r="BE6" i="7" s="1"/>
  <c r="BE21" i="2"/>
  <c r="BE17" i="7" s="1"/>
  <c r="BG7" i="3"/>
  <c r="G22" i="7"/>
  <c r="S2" i="7"/>
  <c r="S22" i="7" s="1"/>
  <c r="S20" i="7" s="1"/>
  <c r="S19" i="7" s="1"/>
  <c r="R3" i="7"/>
  <c r="R25" i="7"/>
  <c r="R3" i="6"/>
  <c r="S2" i="6"/>
  <c r="S3" i="3"/>
  <c r="R4" i="3"/>
  <c r="T2" i="2"/>
  <c r="S3" i="2"/>
  <c r="S18" i="2" s="1"/>
  <c r="S14" i="7" s="1"/>
  <c r="G23" i="2" l="1"/>
  <c r="G18" i="7"/>
  <c r="G8" i="7" s="1"/>
  <c r="G5" i="7" s="1"/>
  <c r="G29" i="7" s="1"/>
  <c r="G20" i="7"/>
  <c r="G19" i="7" s="1"/>
  <c r="S11" i="2"/>
  <c r="S12" i="7" s="1"/>
  <c r="S8" i="2"/>
  <c r="S11" i="7" s="1"/>
  <c r="T7" i="2"/>
  <c r="T10" i="7" s="1"/>
  <c r="T6" i="2"/>
  <c r="T9" i="7" s="1"/>
  <c r="T20" i="2"/>
  <c r="T16" i="7" s="1"/>
  <c r="T16" i="2"/>
  <c r="T15" i="2"/>
  <c r="T19" i="2"/>
  <c r="T15" i="7" s="1"/>
  <c r="T14" i="2"/>
  <c r="T13" i="7"/>
  <c r="BF13" i="2"/>
  <c r="BF7" i="7"/>
  <c r="BF6" i="7" s="1"/>
  <c r="BF21" i="2"/>
  <c r="BF17" i="7" s="1"/>
  <c r="BH7" i="3"/>
  <c r="S25" i="7"/>
  <c r="S3" i="7"/>
  <c r="T2" i="7"/>
  <c r="T22" i="7" s="1"/>
  <c r="T20" i="7" s="1"/>
  <c r="T19" i="7" s="1"/>
  <c r="S3" i="6"/>
  <c r="T2" i="6"/>
  <c r="T3" i="3"/>
  <c r="S4" i="3"/>
  <c r="U2" i="2"/>
  <c r="T3" i="2"/>
  <c r="T18" i="2" s="1"/>
  <c r="T14" i="7" s="1"/>
  <c r="G32" i="7" l="1"/>
  <c r="G33" i="7" s="1"/>
  <c r="G34" i="7" s="1"/>
  <c r="G15" i="6"/>
  <c r="G16" i="6" s="1"/>
  <c r="U7" i="2"/>
  <c r="U10" i="7" s="1"/>
  <c r="U6" i="2"/>
  <c r="U9" i="7" s="1"/>
  <c r="U20" i="2"/>
  <c r="U16" i="7" s="1"/>
  <c r="U16" i="2"/>
  <c r="U15" i="2"/>
  <c r="U19" i="2"/>
  <c r="U15" i="7" s="1"/>
  <c r="U14" i="2"/>
  <c r="U13" i="7"/>
  <c r="T8" i="2"/>
  <c r="T11" i="2"/>
  <c r="T12" i="7" s="1"/>
  <c r="BG7" i="7"/>
  <c r="BG6" i="7" s="1"/>
  <c r="BG21" i="2"/>
  <c r="BG17" i="7" s="1"/>
  <c r="BG13" i="2"/>
  <c r="BI7" i="3"/>
  <c r="U2" i="7"/>
  <c r="U22" i="7" s="1"/>
  <c r="U20" i="7" s="1"/>
  <c r="U19" i="7" s="1"/>
  <c r="T3" i="7"/>
  <c r="T25" i="7"/>
  <c r="U2" i="6"/>
  <c r="T3" i="6"/>
  <c r="U3" i="3"/>
  <c r="T4" i="3"/>
  <c r="V2" i="2"/>
  <c r="U3" i="2"/>
  <c r="U18" i="2" s="1"/>
  <c r="U14" i="7" s="1"/>
  <c r="U8" i="2" l="1"/>
  <c r="U11" i="7" s="1"/>
  <c r="T11" i="7"/>
  <c r="U11" i="2"/>
  <c r="U12" i="7" s="1"/>
  <c r="V19" i="2"/>
  <c r="V15" i="7" s="1"/>
  <c r="V14" i="2"/>
  <c r="V7" i="2"/>
  <c r="V10" i="7" s="1"/>
  <c r="V6" i="2"/>
  <c r="V9" i="7" s="1"/>
  <c r="V20" i="2"/>
  <c r="V16" i="7" s="1"/>
  <c r="V16" i="2"/>
  <c r="V15" i="2"/>
  <c r="V13" i="7"/>
  <c r="BH13" i="2"/>
  <c r="BH7" i="7"/>
  <c r="BH6" i="7" s="1"/>
  <c r="BH21" i="2"/>
  <c r="BH17" i="7" s="1"/>
  <c r="BJ7" i="3"/>
  <c r="U3" i="7"/>
  <c r="V2" i="7"/>
  <c r="V22" i="7" s="1"/>
  <c r="V20" i="7" s="1"/>
  <c r="V19" i="7" s="1"/>
  <c r="U25" i="7"/>
  <c r="V2" i="6"/>
  <c r="U3" i="6"/>
  <c r="V3" i="3"/>
  <c r="U4" i="3"/>
  <c r="V3" i="2"/>
  <c r="V18" i="2" s="1"/>
  <c r="V14" i="7" s="1"/>
  <c r="W2" i="2"/>
  <c r="V11" i="2" l="1"/>
  <c r="V12" i="7" s="1"/>
  <c r="V8" i="2"/>
  <c r="W15" i="2"/>
  <c r="W14" i="2"/>
  <c r="W19" i="2"/>
  <c r="W15" i="7" s="1"/>
  <c r="W7" i="2"/>
  <c r="W10" i="7" s="1"/>
  <c r="W6" i="2"/>
  <c r="W9" i="7" s="1"/>
  <c r="W20" i="2"/>
  <c r="W16" i="7" s="1"/>
  <c r="W16" i="2"/>
  <c r="W13" i="7"/>
  <c r="BI13" i="2"/>
  <c r="BI7" i="7"/>
  <c r="BI6" i="7" s="1"/>
  <c r="BI21" i="2"/>
  <c r="BI17" i="7" s="1"/>
  <c r="BK7" i="3"/>
  <c r="BL7" i="3" s="1"/>
  <c r="V25" i="7"/>
  <c r="V3" i="7"/>
  <c r="W2" i="7"/>
  <c r="W22" i="7" s="1"/>
  <c r="W20" i="7" s="1"/>
  <c r="W19" i="7" s="1"/>
  <c r="V3" i="6"/>
  <c r="W2" i="6"/>
  <c r="V4" i="3"/>
  <c r="W3" i="3"/>
  <c r="W3" i="2"/>
  <c r="W18" i="2" s="1"/>
  <c r="W14" i="7" s="1"/>
  <c r="X2" i="2"/>
  <c r="W11" i="2" l="1"/>
  <c r="W12" i="7" s="1"/>
  <c r="BM7" i="3"/>
  <c r="W8" i="2"/>
  <c r="W11" i="7" s="1"/>
  <c r="X16" i="2"/>
  <c r="X15" i="2"/>
  <c r="X19" i="2"/>
  <c r="X15" i="7" s="1"/>
  <c r="X14" i="2"/>
  <c r="X7" i="2"/>
  <c r="X10" i="7" s="1"/>
  <c r="X6" i="2"/>
  <c r="X9" i="7" s="1"/>
  <c r="X20" i="2"/>
  <c r="X16" i="7" s="1"/>
  <c r="X13" i="7"/>
  <c r="V11" i="7"/>
  <c r="BJ13" i="2"/>
  <c r="BJ7" i="7"/>
  <c r="BJ6" i="7" s="1"/>
  <c r="BJ21" i="2"/>
  <c r="BJ17" i="7" s="1"/>
  <c r="W3" i="7"/>
  <c r="W25" i="7"/>
  <c r="X2" i="7"/>
  <c r="X22" i="7" s="1"/>
  <c r="X20" i="7" s="1"/>
  <c r="X19" i="7" s="1"/>
  <c r="X2" i="6"/>
  <c r="W3" i="6"/>
  <c r="X3" i="3"/>
  <c r="W4" i="3"/>
  <c r="Y2" i="2"/>
  <c r="X3" i="2"/>
  <c r="X18" i="2" s="1"/>
  <c r="X14" i="7" s="1"/>
  <c r="X11" i="2" l="1"/>
  <c r="X12" i="7" s="1"/>
  <c r="BL13" i="2"/>
  <c r="BL21" i="2"/>
  <c r="BL17" i="7" s="1"/>
  <c r="BL7" i="7"/>
  <c r="BL6" i="7" s="1"/>
  <c r="X8" i="2"/>
  <c r="X11" i="7" s="1"/>
  <c r="BK13" i="2"/>
  <c r="Y16" i="2"/>
  <c r="Y15" i="2"/>
  <c r="Y19" i="2"/>
  <c r="Y15" i="7" s="1"/>
  <c r="Y14" i="2"/>
  <c r="Y7" i="2"/>
  <c r="Y10" i="7" s="1"/>
  <c r="Y6" i="2"/>
  <c r="Y9" i="7" s="1"/>
  <c r="Y20" i="2"/>
  <c r="Y16" i="7" s="1"/>
  <c r="Y13" i="7"/>
  <c r="BK7" i="7"/>
  <c r="BK6" i="7" s="1"/>
  <c r="BK21" i="2"/>
  <c r="BK17" i="7" s="1"/>
  <c r="X3" i="7"/>
  <c r="X25" i="7"/>
  <c r="Y2" i="7"/>
  <c r="Y22" i="7" s="1"/>
  <c r="Y20" i="7" s="1"/>
  <c r="Y19" i="7" s="1"/>
  <c r="Y2" i="6"/>
  <c r="X3" i="6"/>
  <c r="X4" i="3"/>
  <c r="Y3" i="3"/>
  <c r="Y3" i="2"/>
  <c r="Y18" i="2" s="1"/>
  <c r="Y14" i="7" s="1"/>
  <c r="Z2" i="2"/>
  <c r="BM13" i="2" l="1"/>
  <c r="BM7" i="7"/>
  <c r="BM21" i="2"/>
  <c r="BM17" i="7" s="1"/>
  <c r="D17" i="7" s="1"/>
  <c r="Y8" i="2"/>
  <c r="Y11" i="7" s="1"/>
  <c r="Y11" i="2"/>
  <c r="Y12" i="7" s="1"/>
  <c r="Z20" i="2"/>
  <c r="Z16" i="7" s="1"/>
  <c r="Z16" i="2"/>
  <c r="Z15" i="2"/>
  <c r="Z19" i="2"/>
  <c r="Z15" i="7" s="1"/>
  <c r="Z14" i="2"/>
  <c r="Z7" i="2"/>
  <c r="Z10" i="7" s="1"/>
  <c r="Z6" i="2"/>
  <c r="Z9" i="7" s="1"/>
  <c r="Z13" i="7"/>
  <c r="Z2" i="7"/>
  <c r="Z22" i="7" s="1"/>
  <c r="Z20" i="7" s="1"/>
  <c r="Z19" i="7" s="1"/>
  <c r="Y3" i="7"/>
  <c r="Y25" i="7"/>
  <c r="Z2" i="6"/>
  <c r="Y3" i="6"/>
  <c r="Z3" i="3"/>
  <c r="Y4" i="3"/>
  <c r="AA2" i="2"/>
  <c r="Z3" i="2"/>
  <c r="Z18" i="2" s="1"/>
  <c r="Z14" i="7" s="1"/>
  <c r="BM6" i="7" l="1"/>
  <c r="D6" i="7" s="1"/>
  <c r="D7" i="7"/>
  <c r="Z8" i="2"/>
  <c r="Z11" i="7" s="1"/>
  <c r="AA6" i="2"/>
  <c r="AA9" i="7" s="1"/>
  <c r="AA20" i="2"/>
  <c r="AA16" i="7" s="1"/>
  <c r="AA14" i="2"/>
  <c r="AA16" i="2"/>
  <c r="AA15" i="2"/>
  <c r="AA19" i="2"/>
  <c r="AA15" i="7" s="1"/>
  <c r="AA7" i="2"/>
  <c r="AA10" i="7" s="1"/>
  <c r="AA13" i="7"/>
  <c r="Z11" i="2"/>
  <c r="Z12" i="7" s="1"/>
  <c r="Z25" i="7"/>
  <c r="AA2" i="7"/>
  <c r="AA22" i="7" s="1"/>
  <c r="AA20" i="7" s="1"/>
  <c r="AA19" i="7" s="1"/>
  <c r="Z3" i="7"/>
  <c r="AA2" i="6"/>
  <c r="Z3" i="6"/>
  <c r="AA3" i="3"/>
  <c r="Z4" i="3"/>
  <c r="AA3" i="2"/>
  <c r="AA18" i="2" s="1"/>
  <c r="AA14" i="7" s="1"/>
  <c r="AB2" i="2"/>
  <c r="AA11" i="2" l="1"/>
  <c r="AA12" i="7" s="1"/>
  <c r="AA8" i="2"/>
  <c r="AA11" i="7" s="1"/>
  <c r="AB7" i="2"/>
  <c r="AB10" i="7" s="1"/>
  <c r="AB6" i="2"/>
  <c r="AB9" i="7" s="1"/>
  <c r="AB20" i="2"/>
  <c r="AB16" i="7" s="1"/>
  <c r="AB15" i="2"/>
  <c r="AB16" i="2"/>
  <c r="AB19" i="2"/>
  <c r="AB15" i="7" s="1"/>
  <c r="AB14" i="2"/>
  <c r="AB13" i="7"/>
  <c r="AA25" i="7"/>
  <c r="AA3" i="7"/>
  <c r="AB2" i="7"/>
  <c r="AB22" i="7" s="1"/>
  <c r="AB20" i="7" s="1"/>
  <c r="AB19" i="7" s="1"/>
  <c r="AA3" i="6"/>
  <c r="AB2" i="6"/>
  <c r="AB3" i="3"/>
  <c r="AA4" i="3"/>
  <c r="AB3" i="2"/>
  <c r="AB18" i="2" s="1"/>
  <c r="AB14" i="7" s="1"/>
  <c r="AC2" i="2"/>
  <c r="AB11" i="2" l="1"/>
  <c r="AB12" i="7" s="1"/>
  <c r="AB8" i="2"/>
  <c r="AB11" i="7" s="1"/>
  <c r="AC7" i="2"/>
  <c r="AC10" i="7" s="1"/>
  <c r="AC6" i="2"/>
  <c r="AC9" i="7" s="1"/>
  <c r="AC16" i="2"/>
  <c r="AC20" i="2"/>
  <c r="AC16" i="7" s="1"/>
  <c r="AC15" i="2"/>
  <c r="AC19" i="2"/>
  <c r="AC15" i="7" s="1"/>
  <c r="AC14" i="2"/>
  <c r="AC13" i="7"/>
  <c r="AC2" i="7"/>
  <c r="AC22" i="7" s="1"/>
  <c r="AC20" i="7" s="1"/>
  <c r="AC19" i="7" s="1"/>
  <c r="AB25" i="7"/>
  <c r="AB3" i="7"/>
  <c r="AB3" i="6"/>
  <c r="AC2" i="6"/>
  <c r="AC3" i="3"/>
  <c r="AB4" i="3"/>
  <c r="AC3" i="2"/>
  <c r="AC18" i="2" s="1"/>
  <c r="AC14" i="7" s="1"/>
  <c r="AD2" i="2"/>
  <c r="AC8" i="2" l="1"/>
  <c r="AC11" i="7" s="1"/>
  <c r="AD19" i="2"/>
  <c r="AD15" i="7" s="1"/>
  <c r="AD14" i="2"/>
  <c r="AD7" i="2"/>
  <c r="AD10" i="7" s="1"/>
  <c r="AD6" i="2"/>
  <c r="AD9" i="7" s="1"/>
  <c r="AD20" i="2"/>
  <c r="AD16" i="7" s="1"/>
  <c r="AD16" i="2"/>
  <c r="AD15" i="2"/>
  <c r="AD13" i="7"/>
  <c r="AC11" i="2"/>
  <c r="AC12" i="7" s="1"/>
  <c r="AD2" i="7"/>
  <c r="AD22" i="7" s="1"/>
  <c r="AD20" i="7" s="1"/>
  <c r="AD19" i="7" s="1"/>
  <c r="AC3" i="7"/>
  <c r="AC25" i="7"/>
  <c r="AC3" i="6"/>
  <c r="AD2" i="6"/>
  <c r="AC4" i="3"/>
  <c r="AD3" i="3"/>
  <c r="AE2" i="2"/>
  <c r="AD3" i="2"/>
  <c r="AD18" i="2" s="1"/>
  <c r="AD14" i="7" s="1"/>
  <c r="AD8" i="2" l="1"/>
  <c r="AD11" i="7" s="1"/>
  <c r="AD11" i="2"/>
  <c r="AD12" i="7" s="1"/>
  <c r="AE15" i="2"/>
  <c r="AE19" i="2"/>
  <c r="AE15" i="7" s="1"/>
  <c r="AE14" i="2"/>
  <c r="AE11" i="2"/>
  <c r="AE12" i="7" s="1"/>
  <c r="AE7" i="2"/>
  <c r="AE10" i="7" s="1"/>
  <c r="AE6" i="2"/>
  <c r="AE9" i="7" s="1"/>
  <c r="AE20" i="2"/>
  <c r="AE16" i="7" s="1"/>
  <c r="AE16" i="2"/>
  <c r="AE13" i="7"/>
  <c r="AD3" i="7"/>
  <c r="AD25" i="7"/>
  <c r="AE2" i="7"/>
  <c r="AE22" i="7" s="1"/>
  <c r="AE20" i="7" s="1"/>
  <c r="AE19" i="7" s="1"/>
  <c r="AD3" i="6"/>
  <c r="AE2" i="6"/>
  <c r="AE3" i="3"/>
  <c r="AD4" i="3"/>
  <c r="AE3" i="2"/>
  <c r="AE18" i="2" s="1"/>
  <c r="AE14" i="7" s="1"/>
  <c r="AF2" i="2"/>
  <c r="AE8" i="2" l="1"/>
  <c r="AE11" i="7" s="1"/>
  <c r="AF16" i="2"/>
  <c r="AF15" i="2"/>
  <c r="AF19" i="2"/>
  <c r="AF15" i="7" s="1"/>
  <c r="AF14" i="2"/>
  <c r="AF7" i="2"/>
  <c r="AF10" i="7" s="1"/>
  <c r="AF6" i="2"/>
  <c r="AF9" i="7" s="1"/>
  <c r="AF20" i="2"/>
  <c r="AF16" i="7" s="1"/>
  <c r="AF13" i="7"/>
  <c r="AF2" i="7"/>
  <c r="AF22" i="7" s="1"/>
  <c r="AF20" i="7" s="1"/>
  <c r="AF19" i="7" s="1"/>
  <c r="AE25" i="7"/>
  <c r="AE3" i="7"/>
  <c r="AF2" i="6"/>
  <c r="AE3" i="6"/>
  <c r="AE4" i="3"/>
  <c r="AF3" i="3"/>
  <c r="AG2" i="2"/>
  <c r="AF3" i="2"/>
  <c r="AF18" i="2" s="1"/>
  <c r="AF14" i="7" s="1"/>
  <c r="AF11" i="2" l="1"/>
  <c r="AF12" i="7" s="1"/>
  <c r="AF8" i="2"/>
  <c r="AF11" i="7" s="1"/>
  <c r="AG16" i="2"/>
  <c r="AG15" i="2"/>
  <c r="AG19" i="2"/>
  <c r="AG15" i="7" s="1"/>
  <c r="AG14" i="2"/>
  <c r="AG7" i="2"/>
  <c r="AG10" i="7" s="1"/>
  <c r="AG6" i="2"/>
  <c r="AG9" i="7" s="1"/>
  <c r="AG20" i="2"/>
  <c r="AG16" i="7" s="1"/>
  <c r="AG13" i="7"/>
  <c r="AF3" i="7"/>
  <c r="AF25" i="7"/>
  <c r="AG2" i="7"/>
  <c r="AG22" i="7" s="1"/>
  <c r="AG20" i="7" s="1"/>
  <c r="AG19" i="7" s="1"/>
  <c r="AG2" i="6"/>
  <c r="AF3" i="6"/>
  <c r="AG3" i="3"/>
  <c r="AF4" i="3"/>
  <c r="AG3" i="2"/>
  <c r="AG18" i="2" s="1"/>
  <c r="AG14" i="7" s="1"/>
  <c r="AH2" i="2"/>
  <c r="AG8" i="2" l="1"/>
  <c r="AG11" i="7" s="1"/>
  <c r="AH20" i="2"/>
  <c r="AH16" i="7" s="1"/>
  <c r="AH16" i="2"/>
  <c r="AH15" i="2"/>
  <c r="AH19" i="2"/>
  <c r="AH15" i="7" s="1"/>
  <c r="AH14" i="2"/>
  <c r="AH11" i="2"/>
  <c r="AH12" i="7" s="1"/>
  <c r="AH7" i="2"/>
  <c r="AH10" i="7" s="1"/>
  <c r="AH6" i="2"/>
  <c r="AH9" i="7" s="1"/>
  <c r="AH13" i="7"/>
  <c r="AG11" i="2"/>
  <c r="AG12" i="7" s="1"/>
  <c r="AG3" i="7"/>
  <c r="AG25" i="7"/>
  <c r="AH2" i="7"/>
  <c r="AH22" i="7" s="1"/>
  <c r="AH20" i="7" s="1"/>
  <c r="AH19" i="7" s="1"/>
  <c r="AH2" i="6"/>
  <c r="AG3" i="6"/>
  <c r="AH3" i="3"/>
  <c r="AG4" i="3"/>
  <c r="AI2" i="2"/>
  <c r="AH3" i="2"/>
  <c r="AH18" i="2" s="1"/>
  <c r="AH14" i="7" s="1"/>
  <c r="AH8" i="2" l="1"/>
  <c r="AH11" i="7" s="1"/>
  <c r="AI6" i="2"/>
  <c r="AI9" i="7" s="1"/>
  <c r="AI20" i="2"/>
  <c r="AI16" i="7" s="1"/>
  <c r="AI16" i="2"/>
  <c r="AI15" i="2"/>
  <c r="AI19" i="2"/>
  <c r="AI15" i="7" s="1"/>
  <c r="AI14" i="2"/>
  <c r="AI7" i="2"/>
  <c r="AI10" i="7" s="1"/>
  <c r="AI13" i="7"/>
  <c r="AH25" i="7"/>
  <c r="AH3" i="7"/>
  <c r="AI2" i="7"/>
  <c r="AI22" i="7" s="1"/>
  <c r="AI20" i="7" s="1"/>
  <c r="AI19" i="7" s="1"/>
  <c r="AI2" i="6"/>
  <c r="AH3" i="6"/>
  <c r="AI3" i="3"/>
  <c r="AH4" i="3"/>
  <c r="AI3" i="2"/>
  <c r="AI18" i="2" s="1"/>
  <c r="AI14" i="7" s="1"/>
  <c r="AJ2" i="2"/>
  <c r="AI8" i="2" l="1"/>
  <c r="AI11" i="7" s="1"/>
  <c r="AJ7" i="2"/>
  <c r="AJ10" i="7" s="1"/>
  <c r="AJ6" i="2"/>
  <c r="AJ9" i="7" s="1"/>
  <c r="AJ20" i="2"/>
  <c r="AJ16" i="7" s="1"/>
  <c r="AJ15" i="2"/>
  <c r="AJ16" i="2"/>
  <c r="AJ19" i="2"/>
  <c r="AJ15" i="7" s="1"/>
  <c r="AJ14" i="2"/>
  <c r="AJ13" i="7"/>
  <c r="AI11" i="2"/>
  <c r="AI12" i="7" s="1"/>
  <c r="AJ2" i="7"/>
  <c r="AJ22" i="7" s="1"/>
  <c r="AJ20" i="7" s="1"/>
  <c r="AJ19" i="7" s="1"/>
  <c r="AI3" i="7"/>
  <c r="AI25" i="7"/>
  <c r="AJ2" i="6"/>
  <c r="AI3" i="6"/>
  <c r="AI4" i="3"/>
  <c r="AJ3" i="3"/>
  <c r="AK2" i="2"/>
  <c r="AJ3" i="2"/>
  <c r="AJ18" i="2" s="1"/>
  <c r="AJ14" i="7" s="1"/>
  <c r="AJ11" i="2" l="1"/>
  <c r="AJ12" i="7" s="1"/>
  <c r="AJ8" i="2"/>
  <c r="AJ11" i="7" s="1"/>
  <c r="AK7" i="2"/>
  <c r="AK10" i="7" s="1"/>
  <c r="AK6" i="2"/>
  <c r="AK9" i="7" s="1"/>
  <c r="AK20" i="2"/>
  <c r="AK16" i="7" s="1"/>
  <c r="AK16" i="2"/>
  <c r="AK15" i="2"/>
  <c r="AK19" i="2"/>
  <c r="AK15" i="7" s="1"/>
  <c r="AK14" i="2"/>
  <c r="AK13" i="7"/>
  <c r="AK2" i="7"/>
  <c r="AK22" i="7" s="1"/>
  <c r="AK20" i="7" s="1"/>
  <c r="AK19" i="7" s="1"/>
  <c r="AJ3" i="7"/>
  <c r="AJ25" i="7"/>
  <c r="AJ3" i="6"/>
  <c r="AK2" i="6"/>
  <c r="AJ4" i="3"/>
  <c r="AK3" i="3"/>
  <c r="AL2" i="2"/>
  <c r="AK3" i="2"/>
  <c r="AK18" i="2" s="1"/>
  <c r="AK14" i="7" s="1"/>
  <c r="AK8" i="2" l="1"/>
  <c r="AK11" i="7" s="1"/>
  <c r="AL19" i="2"/>
  <c r="AL15" i="7" s="1"/>
  <c r="AL14" i="2"/>
  <c r="AL7" i="2"/>
  <c r="AL10" i="7" s="1"/>
  <c r="AL6" i="2"/>
  <c r="AL9" i="7" s="1"/>
  <c r="AL20" i="2"/>
  <c r="AL16" i="7" s="1"/>
  <c r="AL16" i="2"/>
  <c r="AL15" i="2"/>
  <c r="AL13" i="7"/>
  <c r="AL8" i="2"/>
  <c r="AL11" i="7" s="1"/>
  <c r="AK11" i="2"/>
  <c r="AK12" i="7" s="1"/>
  <c r="AL2" i="7"/>
  <c r="AL22" i="7" s="1"/>
  <c r="AL20" i="7" s="1"/>
  <c r="AL19" i="7" s="1"/>
  <c r="AK3" i="7"/>
  <c r="AK25" i="7"/>
  <c r="AK3" i="6"/>
  <c r="AL2" i="6"/>
  <c r="AL3" i="3"/>
  <c r="AK4" i="3"/>
  <c r="AL3" i="2"/>
  <c r="AL18" i="2" s="1"/>
  <c r="AL14" i="7" s="1"/>
  <c r="AM2" i="2"/>
  <c r="AL11" i="2" l="1"/>
  <c r="AL12" i="7" s="1"/>
  <c r="AM15" i="2"/>
  <c r="AM19" i="2"/>
  <c r="AM15" i="7" s="1"/>
  <c r="AM14" i="2"/>
  <c r="AM11" i="2"/>
  <c r="AM12" i="7" s="1"/>
  <c r="AM7" i="2"/>
  <c r="AM10" i="7" s="1"/>
  <c r="AM6" i="2"/>
  <c r="AM9" i="7" s="1"/>
  <c r="AM20" i="2"/>
  <c r="AM16" i="7" s="1"/>
  <c r="AM16" i="2"/>
  <c r="AM13" i="7"/>
  <c r="AM2" i="7"/>
  <c r="AM22" i="7" s="1"/>
  <c r="AM20" i="7" s="1"/>
  <c r="AM19" i="7" s="1"/>
  <c r="AL3" i="7"/>
  <c r="AL25" i="7"/>
  <c r="AL3" i="6"/>
  <c r="AM2" i="6"/>
  <c r="AM3" i="3"/>
  <c r="AL4" i="3"/>
  <c r="AN2" i="2"/>
  <c r="AM3" i="2"/>
  <c r="AM18" i="2" s="1"/>
  <c r="AM14" i="7" s="1"/>
  <c r="AM8" i="2" l="1"/>
  <c r="AM11" i="7" s="1"/>
  <c r="AN16" i="2"/>
  <c r="AN15" i="2"/>
  <c r="AN19" i="2"/>
  <c r="AN15" i="7" s="1"/>
  <c r="AN14" i="2"/>
  <c r="AN11" i="2"/>
  <c r="AN12" i="7" s="1"/>
  <c r="AN7" i="2"/>
  <c r="AN10" i="7" s="1"/>
  <c r="AN6" i="2"/>
  <c r="AN9" i="7" s="1"/>
  <c r="AN20" i="2"/>
  <c r="AN16" i="7" s="1"/>
  <c r="AN13" i="7"/>
  <c r="AM3" i="7"/>
  <c r="AM25" i="7"/>
  <c r="AN2" i="7"/>
  <c r="AN22" i="7" s="1"/>
  <c r="AN20" i="7" s="1"/>
  <c r="AN19" i="7" s="1"/>
  <c r="AN2" i="6"/>
  <c r="AM3" i="6"/>
  <c r="AN3" i="3"/>
  <c r="AM4" i="3"/>
  <c r="AO2" i="2"/>
  <c r="E17" i="2" s="1"/>
  <c r="AN3" i="2"/>
  <c r="AN18" i="2" s="1"/>
  <c r="AN14" i="7" s="1"/>
  <c r="AN8" i="2" l="1"/>
  <c r="AN11" i="7" s="1"/>
  <c r="AO3" i="2"/>
  <c r="AO18" i="2" s="1"/>
  <c r="AP2" i="2"/>
  <c r="AO16" i="2"/>
  <c r="E16" i="2" s="1"/>
  <c r="AO15" i="2"/>
  <c r="E15" i="2" s="1"/>
  <c r="AO19" i="2"/>
  <c r="AO14" i="2"/>
  <c r="E14" i="2" s="1"/>
  <c r="AO7" i="2"/>
  <c r="AO6" i="2"/>
  <c r="AO20" i="2"/>
  <c r="E10" i="2"/>
  <c r="AO2" i="7"/>
  <c r="AN25" i="7"/>
  <c r="AN3" i="7"/>
  <c r="AO2" i="6"/>
  <c r="AP2" i="6" s="1"/>
  <c r="AN3" i="6"/>
  <c r="AO3" i="3"/>
  <c r="AN4" i="3"/>
  <c r="AP3" i="6" l="1"/>
  <c r="AQ2" i="6"/>
  <c r="AO4" i="3"/>
  <c r="AP3" i="3"/>
  <c r="E12" i="2"/>
  <c r="AO11" i="2"/>
  <c r="AO15" i="7"/>
  <c r="E19" i="2"/>
  <c r="AO13" i="7"/>
  <c r="AO16" i="7"/>
  <c r="E20" i="2"/>
  <c r="AP3" i="2"/>
  <c r="AP18" i="2" s="1"/>
  <c r="AP14" i="7" s="1"/>
  <c r="AP7" i="2"/>
  <c r="AP10" i="7" s="1"/>
  <c r="AP13" i="7"/>
  <c r="AP14" i="2"/>
  <c r="AP19" i="2"/>
  <c r="AP15" i="7" s="1"/>
  <c r="AP16" i="2"/>
  <c r="AP15" i="2"/>
  <c r="AP20" i="2"/>
  <c r="AP16" i="7" s="1"/>
  <c r="AQ2" i="2"/>
  <c r="AP6" i="2"/>
  <c r="AO10" i="7"/>
  <c r="E7" i="2"/>
  <c r="AO8" i="2"/>
  <c r="E9" i="2"/>
  <c r="AO9" i="7"/>
  <c r="E6" i="2"/>
  <c r="AO14" i="7"/>
  <c r="E18" i="2"/>
  <c r="AO22" i="7"/>
  <c r="AO20" i="7" s="1"/>
  <c r="AO19" i="7" s="1"/>
  <c r="AP2" i="7"/>
  <c r="AO25" i="7"/>
  <c r="AO3" i="7"/>
  <c r="AO3" i="6"/>
  <c r="AR2" i="6" l="1"/>
  <c r="AQ3" i="6"/>
  <c r="AQ3" i="3"/>
  <c r="AP4" i="3"/>
  <c r="AP8" i="2"/>
  <c r="AP11" i="7" s="1"/>
  <c r="AP9" i="7"/>
  <c r="AP11" i="2"/>
  <c r="AP12" i="7" s="1"/>
  <c r="AR2" i="2"/>
  <c r="AQ16" i="2"/>
  <c r="AQ7" i="2"/>
  <c r="AQ10" i="7" s="1"/>
  <c r="AQ13" i="7"/>
  <c r="AQ20" i="2"/>
  <c r="AQ16" i="7" s="1"/>
  <c r="AQ14" i="2"/>
  <c r="AQ19" i="2"/>
  <c r="AQ15" i="7" s="1"/>
  <c r="AQ15" i="2"/>
  <c r="AQ11" i="2"/>
  <c r="AQ12" i="7" s="1"/>
  <c r="AQ6" i="2"/>
  <c r="AQ3" i="2"/>
  <c r="AQ18" i="2" s="1"/>
  <c r="AQ14" i="7" s="1"/>
  <c r="AO12" i="7"/>
  <c r="E11" i="2"/>
  <c r="AO11" i="7"/>
  <c r="E8" i="2"/>
  <c r="AQ2" i="7"/>
  <c r="AP22" i="7"/>
  <c r="AP20" i="7" s="1"/>
  <c r="AP19" i="7" s="1"/>
  <c r="AP25" i="7"/>
  <c r="AP3" i="7"/>
  <c r="AS2" i="6" l="1"/>
  <c r="AR3" i="6"/>
  <c r="AR3" i="3"/>
  <c r="AQ4" i="3"/>
  <c r="AS2" i="2"/>
  <c r="AR3" i="2"/>
  <c r="AR18" i="2" s="1"/>
  <c r="AR14" i="7" s="1"/>
  <c r="AR6" i="2"/>
  <c r="AR19" i="2"/>
  <c r="AR15" i="7" s="1"/>
  <c r="AR7" i="2"/>
  <c r="AR10" i="7" s="1"/>
  <c r="AR14" i="2"/>
  <c r="AR15" i="2"/>
  <c r="AR16" i="2"/>
  <c r="AR13" i="7"/>
  <c r="AR20" i="2"/>
  <c r="AR16" i="7" s="1"/>
  <c r="AQ8" i="2"/>
  <c r="AQ11" i="7" s="1"/>
  <c r="AQ9" i="7"/>
  <c r="AQ22" i="7"/>
  <c r="AQ20" i="7" s="1"/>
  <c r="AQ19" i="7" s="1"/>
  <c r="AQ25" i="7"/>
  <c r="AR2" i="7"/>
  <c r="AQ3" i="7"/>
  <c r="AS3" i="6" l="1"/>
  <c r="AT2" i="6"/>
  <c r="AS3" i="3"/>
  <c r="AR4" i="3"/>
  <c r="AR8" i="2"/>
  <c r="AR11" i="7" s="1"/>
  <c r="AR11" i="2"/>
  <c r="AR12" i="7" s="1"/>
  <c r="AR9" i="7"/>
  <c r="AT2" i="2"/>
  <c r="AS3" i="2"/>
  <c r="AS18" i="2" s="1"/>
  <c r="AS14" i="7" s="1"/>
  <c r="AS6" i="2"/>
  <c r="AS7" i="2"/>
  <c r="AS10" i="7" s="1"/>
  <c r="AS14" i="2"/>
  <c r="AS15" i="2"/>
  <c r="AS16" i="2"/>
  <c r="AS13" i="7"/>
  <c r="AS20" i="2"/>
  <c r="AS16" i="7" s="1"/>
  <c r="AS19" i="2"/>
  <c r="AS15" i="7" s="1"/>
  <c r="AR25" i="7"/>
  <c r="AR22" i="7"/>
  <c r="AR20" i="7" s="1"/>
  <c r="AR19" i="7" s="1"/>
  <c r="AS2" i="7"/>
  <c r="AR3" i="7"/>
  <c r="F26" i="7"/>
  <c r="F24" i="7" s="1"/>
  <c r="AT3" i="6" l="1"/>
  <c r="AU2" i="6"/>
  <c r="AS4" i="3"/>
  <c r="AT3" i="3"/>
  <c r="AS8" i="2"/>
  <c r="AS11" i="7" s="1"/>
  <c r="AU2" i="2"/>
  <c r="AT20" i="2"/>
  <c r="AT16" i="7" s="1"/>
  <c r="AT3" i="2"/>
  <c r="AT18" i="2" s="1"/>
  <c r="AT14" i="7" s="1"/>
  <c r="AT16" i="2"/>
  <c r="AT7" i="2"/>
  <c r="AT10" i="7" s="1"/>
  <c r="AT15" i="2"/>
  <c r="AT6" i="2"/>
  <c r="AT13" i="7"/>
  <c r="AT19" i="2"/>
  <c r="AT15" i="7" s="1"/>
  <c r="AT14" i="2"/>
  <c r="AS11" i="2"/>
  <c r="AS12" i="7" s="1"/>
  <c r="AS9" i="7"/>
  <c r="AS25" i="7"/>
  <c r="AS22" i="7"/>
  <c r="AS20" i="7" s="1"/>
  <c r="AS19" i="7" s="1"/>
  <c r="AT2" i="7"/>
  <c r="AS3" i="7"/>
  <c r="AU3" i="6" l="1"/>
  <c r="AV2" i="6"/>
  <c r="F23" i="7"/>
  <c r="F30" i="7" s="1"/>
  <c r="F31" i="7" s="1"/>
  <c r="AU3" i="3"/>
  <c r="AT4" i="3"/>
  <c r="AT8" i="2"/>
  <c r="AT11" i="7" s="1"/>
  <c r="AT9" i="7"/>
  <c r="AT11" i="2"/>
  <c r="AT12" i="7" s="1"/>
  <c r="AU20" i="2"/>
  <c r="AU16" i="7" s="1"/>
  <c r="AV2" i="2"/>
  <c r="AU7" i="2"/>
  <c r="AU10" i="7" s="1"/>
  <c r="AU3" i="2"/>
  <c r="AU18" i="2" s="1"/>
  <c r="AU14" i="7" s="1"/>
  <c r="AU16" i="2"/>
  <c r="AU6" i="2"/>
  <c r="AU15" i="2"/>
  <c r="AU13" i="7"/>
  <c r="AU19" i="2"/>
  <c r="AU15" i="7" s="1"/>
  <c r="AU14" i="2"/>
  <c r="AT22" i="7"/>
  <c r="AT20" i="7" s="1"/>
  <c r="AT19" i="7" s="1"/>
  <c r="AT25" i="7"/>
  <c r="AT3" i="7"/>
  <c r="AU2" i="7"/>
  <c r="AV3" i="6" l="1"/>
  <c r="AW2" i="6"/>
  <c r="AU4" i="3"/>
  <c r="AV3" i="3"/>
  <c r="AU8" i="2"/>
  <c r="AU11" i="7" s="1"/>
  <c r="AU9" i="7"/>
  <c r="AV3" i="2"/>
  <c r="AV18" i="2" s="1"/>
  <c r="AV14" i="7" s="1"/>
  <c r="AV7" i="2"/>
  <c r="AV10" i="7" s="1"/>
  <c r="AV6" i="2"/>
  <c r="AV15" i="2"/>
  <c r="AV13" i="7"/>
  <c r="AV19" i="2"/>
  <c r="AV15" i="7" s="1"/>
  <c r="AV14" i="2"/>
  <c r="AW2" i="2"/>
  <c r="AV20" i="2"/>
  <c r="AV16" i="7" s="1"/>
  <c r="AV16" i="2"/>
  <c r="AU11" i="2"/>
  <c r="AU12" i="7" s="1"/>
  <c r="AU3" i="7"/>
  <c r="AU22" i="7"/>
  <c r="AU20" i="7" s="1"/>
  <c r="AU19" i="7" s="1"/>
  <c r="AV2" i="7"/>
  <c r="AU25" i="7"/>
  <c r="G27" i="7" l="1"/>
  <c r="AX2" i="6"/>
  <c r="AW3" i="6"/>
  <c r="G14" i="6"/>
  <c r="H22" i="7"/>
  <c r="AV4" i="3"/>
  <c r="AW3" i="3"/>
  <c r="AV8" i="2"/>
  <c r="AV11" i="7" s="1"/>
  <c r="AV9" i="7"/>
  <c r="AX2" i="2"/>
  <c r="AW7" i="2"/>
  <c r="AW10" i="7" s="1"/>
  <c r="AW6" i="2"/>
  <c r="AW15" i="2"/>
  <c r="AW14" i="2"/>
  <c r="AW19" i="2"/>
  <c r="AW15" i="7" s="1"/>
  <c r="AW13" i="7"/>
  <c r="AW20" i="2"/>
  <c r="AW16" i="7" s="1"/>
  <c r="AW3" i="2"/>
  <c r="AW18" i="2" s="1"/>
  <c r="AW14" i="7" s="1"/>
  <c r="AW16" i="2"/>
  <c r="AV11" i="2"/>
  <c r="AV12" i="7" s="1"/>
  <c r="AV3" i="7"/>
  <c r="AV25" i="7"/>
  <c r="AV22" i="7"/>
  <c r="AV20" i="7" s="1"/>
  <c r="AV19" i="7" s="1"/>
  <c r="AW2" i="7"/>
  <c r="G8" i="6" l="1"/>
  <c r="G11" i="6" s="1"/>
  <c r="AY2" i="6"/>
  <c r="AX3" i="6"/>
  <c r="AW4" i="3"/>
  <c r="AX3" i="3"/>
  <c r="AW8" i="2"/>
  <c r="AW11" i="7" s="1"/>
  <c r="AW9" i="7"/>
  <c r="AX6" i="2"/>
  <c r="AX7" i="2"/>
  <c r="AX10" i="7" s="1"/>
  <c r="AX19" i="2"/>
  <c r="AX15" i="7" s="1"/>
  <c r="AX15" i="2"/>
  <c r="AX14" i="2"/>
  <c r="AX13" i="7"/>
  <c r="AX16" i="2"/>
  <c r="AX20" i="2"/>
  <c r="AX16" i="7" s="1"/>
  <c r="AY2" i="2"/>
  <c r="AX3" i="2"/>
  <c r="AX18" i="2" s="1"/>
  <c r="AX14" i="7" s="1"/>
  <c r="AW11" i="2"/>
  <c r="AW12" i="7" s="1"/>
  <c r="AX2" i="7"/>
  <c r="AW3" i="7"/>
  <c r="AW25" i="7"/>
  <c r="AW22" i="7"/>
  <c r="AW20" i="7" s="1"/>
  <c r="AW19" i="7" s="1"/>
  <c r="H20" i="7"/>
  <c r="H19" i="7" s="1"/>
  <c r="G26" i="7" l="1"/>
  <c r="H9" i="6"/>
  <c r="H22" i="2" s="1"/>
  <c r="H23" i="2" s="1"/>
  <c r="AZ2" i="6"/>
  <c r="AY3" i="6"/>
  <c r="AY3" i="3"/>
  <c r="AX4" i="3"/>
  <c r="AX8" i="2"/>
  <c r="AX11" i="7" s="1"/>
  <c r="AX11" i="2"/>
  <c r="AX12" i="7" s="1"/>
  <c r="AY7" i="2"/>
  <c r="AY10" i="7" s="1"/>
  <c r="AY15" i="2"/>
  <c r="AY14" i="2"/>
  <c r="AY19" i="2"/>
  <c r="AY15" i="7" s="1"/>
  <c r="AY13" i="7"/>
  <c r="AY16" i="2"/>
  <c r="AY20" i="2"/>
  <c r="AY16" i="7" s="1"/>
  <c r="AZ2" i="2"/>
  <c r="AY6" i="2"/>
  <c r="AY3" i="2"/>
  <c r="AY18" i="2" s="1"/>
  <c r="AY14" i="7" s="1"/>
  <c r="AX9" i="7"/>
  <c r="AY2" i="7"/>
  <c r="AX3" i="7"/>
  <c r="AX25" i="7"/>
  <c r="AX22" i="7"/>
  <c r="AX20" i="7" s="1"/>
  <c r="AX19" i="7" s="1"/>
  <c r="G24" i="7" l="1"/>
  <c r="G23" i="7" s="1"/>
  <c r="G30" i="7" s="1"/>
  <c r="G31" i="7" s="1"/>
  <c r="H18" i="7"/>
  <c r="H8" i="7" s="1"/>
  <c r="H5" i="7" s="1"/>
  <c r="H29" i="7" s="1"/>
  <c r="AZ3" i="6"/>
  <c r="BA2" i="6"/>
  <c r="AY8" i="2"/>
  <c r="AY11" i="7" s="1"/>
  <c r="AY4" i="3"/>
  <c r="AZ3" i="3"/>
  <c r="AY9" i="7"/>
  <c r="AZ15" i="2"/>
  <c r="AZ14" i="2"/>
  <c r="AZ13" i="7"/>
  <c r="AZ16" i="2"/>
  <c r="AZ19" i="2"/>
  <c r="AZ15" i="7" s="1"/>
  <c r="AZ20" i="2"/>
  <c r="AZ16" i="7" s="1"/>
  <c r="AZ3" i="2"/>
  <c r="AZ18" i="2" s="1"/>
  <c r="AZ14" i="7" s="1"/>
  <c r="BA2" i="2"/>
  <c r="AZ6" i="2"/>
  <c r="AZ7" i="2"/>
  <c r="AZ10" i="7" s="1"/>
  <c r="AY11" i="2"/>
  <c r="AY12" i="7" s="1"/>
  <c r="AY22" i="7"/>
  <c r="AY20" i="7" s="1"/>
  <c r="AY19" i="7" s="1"/>
  <c r="AY3" i="7"/>
  <c r="AZ2" i="7"/>
  <c r="AY25" i="7"/>
  <c r="H27" i="7" l="1"/>
  <c r="H14" i="6"/>
  <c r="H15" i="6"/>
  <c r="H32" i="7"/>
  <c r="H33" i="7" s="1"/>
  <c r="H34" i="7" s="1"/>
  <c r="BB2" i="6"/>
  <c r="BA3" i="6"/>
  <c r="AZ11" i="2"/>
  <c r="AZ12" i="7" s="1"/>
  <c r="AZ4" i="3"/>
  <c r="BA3" i="3"/>
  <c r="AZ8" i="2"/>
  <c r="AZ11" i="7" s="1"/>
  <c r="AZ9" i="7"/>
  <c r="BA7" i="2"/>
  <c r="BA10" i="7" s="1"/>
  <c r="BA15" i="2"/>
  <c r="BA20" i="2"/>
  <c r="BA16" i="7" s="1"/>
  <c r="BA13" i="7"/>
  <c r="BA6" i="2"/>
  <c r="BA19" i="2"/>
  <c r="BA15" i="7" s="1"/>
  <c r="BA14" i="2"/>
  <c r="BA3" i="2"/>
  <c r="BA18" i="2" s="1"/>
  <c r="BA14" i="7" s="1"/>
  <c r="BB2" i="2"/>
  <c r="BA16" i="2"/>
  <c r="AZ25" i="7"/>
  <c r="AZ22" i="7"/>
  <c r="AZ20" i="7" s="1"/>
  <c r="AZ19" i="7" s="1"/>
  <c r="BA2" i="7"/>
  <c r="AZ3" i="7"/>
  <c r="J12" i="7"/>
  <c r="BB3" i="6" l="1"/>
  <c r="BC2" i="6"/>
  <c r="BA4" i="3"/>
  <c r="BB3" i="3"/>
  <c r="BA8" i="2"/>
  <c r="BA11" i="7" s="1"/>
  <c r="BB15" i="2"/>
  <c r="BB13" i="7"/>
  <c r="BB14" i="2"/>
  <c r="BB19" i="2"/>
  <c r="BB15" i="7" s="1"/>
  <c r="BC2" i="2"/>
  <c r="BB16" i="2"/>
  <c r="BB20" i="2"/>
  <c r="BB16" i="7" s="1"/>
  <c r="BB6" i="2"/>
  <c r="BB3" i="2"/>
  <c r="BB18" i="2" s="1"/>
  <c r="BB14" i="7" s="1"/>
  <c r="BB7" i="2"/>
  <c r="BB10" i="7" s="1"/>
  <c r="BA9" i="7"/>
  <c r="BA11" i="2"/>
  <c r="BA12" i="7" s="1"/>
  <c r="BA25" i="7"/>
  <c r="BB2" i="7"/>
  <c r="BA22" i="7"/>
  <c r="BA20" i="7" s="1"/>
  <c r="BA19" i="7" s="1"/>
  <c r="BA3" i="7"/>
  <c r="H16" i="6"/>
  <c r="BC3" i="6" l="1"/>
  <c r="BD2" i="6"/>
  <c r="BB4" i="3"/>
  <c r="BC3" i="3"/>
  <c r="BB8" i="2"/>
  <c r="BB11" i="7" s="1"/>
  <c r="BC15" i="2"/>
  <c r="BC3" i="2"/>
  <c r="BC18" i="2" s="1"/>
  <c r="BC14" i="7" s="1"/>
  <c r="BC13" i="7"/>
  <c r="BC19" i="2"/>
  <c r="BC15" i="7" s="1"/>
  <c r="BD2" i="2"/>
  <c r="BC7" i="2"/>
  <c r="BC10" i="7" s="1"/>
  <c r="BC6" i="2"/>
  <c r="BC14" i="2"/>
  <c r="BC16" i="2"/>
  <c r="BC20" i="2"/>
  <c r="BC16" i="7" s="1"/>
  <c r="BB9" i="7"/>
  <c r="BB11" i="2"/>
  <c r="BB12" i="7" s="1"/>
  <c r="BB25" i="7"/>
  <c r="BB3" i="7"/>
  <c r="BB22" i="7"/>
  <c r="BB20" i="7" s="1"/>
  <c r="BB19" i="7" s="1"/>
  <c r="BC2" i="7"/>
  <c r="BD3" i="6" l="1"/>
  <c r="BE2" i="6"/>
  <c r="H8" i="6"/>
  <c r="H11" i="6" s="1"/>
  <c r="BC11" i="2"/>
  <c r="BC12" i="7" s="1"/>
  <c r="BC4" i="3"/>
  <c r="BD3" i="3"/>
  <c r="BC8" i="2"/>
  <c r="BC11" i="7" s="1"/>
  <c r="BD16" i="2"/>
  <c r="BE2" i="2"/>
  <c r="BD20" i="2"/>
  <c r="BD16" i="7" s="1"/>
  <c r="BD3" i="2"/>
  <c r="BD18" i="2" s="1"/>
  <c r="BD14" i="7" s="1"/>
  <c r="BD7" i="2"/>
  <c r="BD10" i="7" s="1"/>
  <c r="BD13" i="7"/>
  <c r="BD19" i="2"/>
  <c r="BD15" i="7" s="1"/>
  <c r="BD6" i="2"/>
  <c r="BD15" i="2"/>
  <c r="BD14" i="2"/>
  <c r="BC9" i="7"/>
  <c r="BC3" i="7"/>
  <c r="BC25" i="7"/>
  <c r="BC22" i="7"/>
  <c r="BC20" i="7" s="1"/>
  <c r="BC19" i="7" s="1"/>
  <c r="BD2" i="7"/>
  <c r="BE3" i="6" l="1"/>
  <c r="BF2" i="6"/>
  <c r="I9" i="6"/>
  <c r="H26" i="7"/>
  <c r="H24" i="7" s="1"/>
  <c r="BD4" i="3"/>
  <c r="BE3" i="3"/>
  <c r="BD8" i="2"/>
  <c r="BD11" i="7" s="1"/>
  <c r="BD9" i="7"/>
  <c r="BD11" i="2"/>
  <c r="BD12" i="7" s="1"/>
  <c r="BE6" i="2"/>
  <c r="BE15" i="2"/>
  <c r="BE20" i="2"/>
  <c r="BE16" i="7" s="1"/>
  <c r="BE19" i="2"/>
  <c r="BE15" i="7" s="1"/>
  <c r="BE16" i="2"/>
  <c r="BE13" i="7"/>
  <c r="BE14" i="2"/>
  <c r="BF2" i="2"/>
  <c r="BE7" i="2"/>
  <c r="BE10" i="7" s="1"/>
  <c r="BE3" i="2"/>
  <c r="BE18" i="2" s="1"/>
  <c r="BE14" i="7" s="1"/>
  <c r="BD3" i="7"/>
  <c r="BD25" i="7"/>
  <c r="BD22" i="7"/>
  <c r="BD20" i="7" s="1"/>
  <c r="BD19" i="7" s="1"/>
  <c r="BE2" i="7"/>
  <c r="I22" i="7"/>
  <c r="I22" i="2" l="1"/>
  <c r="I18" i="7" s="1"/>
  <c r="I8" i="7" s="1"/>
  <c r="I5" i="7" s="1"/>
  <c r="I29" i="7" s="1"/>
  <c r="BG2" i="6"/>
  <c r="BF3" i="6"/>
  <c r="BE11" i="2"/>
  <c r="BE12" i="7" s="1"/>
  <c r="BE4" i="3"/>
  <c r="BF3" i="3"/>
  <c r="BE8" i="2"/>
  <c r="BE11" i="7" s="1"/>
  <c r="BF15" i="2"/>
  <c r="BF14" i="2"/>
  <c r="BF20" i="2"/>
  <c r="BF16" i="7" s="1"/>
  <c r="BG2" i="2"/>
  <c r="BF3" i="2"/>
  <c r="BF18" i="2" s="1"/>
  <c r="BF14" i="7" s="1"/>
  <c r="BF13" i="7"/>
  <c r="BF16" i="2"/>
  <c r="BF19" i="2"/>
  <c r="BF15" i="7" s="1"/>
  <c r="BF6" i="2"/>
  <c r="BF7" i="2"/>
  <c r="BF10" i="7" s="1"/>
  <c r="BE9" i="7"/>
  <c r="BF2" i="7"/>
  <c r="BE3" i="7"/>
  <c r="BE25" i="7"/>
  <c r="BE22" i="7"/>
  <c r="BE20" i="7" s="1"/>
  <c r="BE19" i="7" s="1"/>
  <c r="I20" i="7"/>
  <c r="I19" i="7" s="1"/>
  <c r="I23" i="2" l="1"/>
  <c r="I15" i="6"/>
  <c r="I32" i="7"/>
  <c r="BG3" i="6"/>
  <c r="BH2" i="6"/>
  <c r="H23" i="7"/>
  <c r="H30" i="7" s="1"/>
  <c r="H31" i="7" s="1"/>
  <c r="BF4" i="3"/>
  <c r="BG3" i="3"/>
  <c r="BG3" i="2"/>
  <c r="BG18" i="2" s="1"/>
  <c r="BG14" i="7" s="1"/>
  <c r="BG16" i="2"/>
  <c r="BH2" i="2"/>
  <c r="BG6" i="2"/>
  <c r="BG13" i="7"/>
  <c r="BG20" i="2"/>
  <c r="BG16" i="7" s="1"/>
  <c r="BG7" i="2"/>
  <c r="BG10" i="7" s="1"/>
  <c r="BG15" i="2"/>
  <c r="BG14" i="2"/>
  <c r="BG19" i="2"/>
  <c r="BG15" i="7" s="1"/>
  <c r="BF9" i="7"/>
  <c r="BF11" i="2"/>
  <c r="BF12" i="7" s="1"/>
  <c r="BF8" i="2"/>
  <c r="BF11" i="7" s="1"/>
  <c r="BF22" i="7"/>
  <c r="BF20" i="7" s="1"/>
  <c r="BF19" i="7" s="1"/>
  <c r="BG2" i="7"/>
  <c r="BF25" i="7"/>
  <c r="BF3" i="7"/>
  <c r="I14" i="6" l="1"/>
  <c r="I27" i="7"/>
  <c r="I8" i="6" s="1"/>
  <c r="I11" i="6" s="1"/>
  <c r="I17" i="6"/>
  <c r="I16" i="6"/>
  <c r="BH3" i="6"/>
  <c r="BI2" i="6"/>
  <c r="BG4" i="3"/>
  <c r="BH3" i="3"/>
  <c r="BG9" i="7"/>
  <c r="BH15" i="2"/>
  <c r="BH14" i="2"/>
  <c r="BH16" i="2"/>
  <c r="BI2" i="2"/>
  <c r="BH3" i="2"/>
  <c r="BH18" i="2" s="1"/>
  <c r="BH14" i="7" s="1"/>
  <c r="BH13" i="7"/>
  <c r="BH19" i="2"/>
  <c r="BH15" i="7" s="1"/>
  <c r="BH20" i="2"/>
  <c r="BH16" i="7" s="1"/>
  <c r="BH7" i="2"/>
  <c r="BH10" i="7" s="1"/>
  <c r="BH6" i="2"/>
  <c r="BG11" i="2"/>
  <c r="BG12" i="7" s="1"/>
  <c r="BG8" i="2"/>
  <c r="BG11" i="7" s="1"/>
  <c r="BG22" i="7"/>
  <c r="BG20" i="7" s="1"/>
  <c r="BG19" i="7" s="1"/>
  <c r="BH2" i="7"/>
  <c r="BG25" i="7"/>
  <c r="BG3" i="7"/>
  <c r="I33" i="7"/>
  <c r="I34" i="7" s="1"/>
  <c r="BI3" i="6" l="1"/>
  <c r="BJ2" i="6"/>
  <c r="BI3" i="3"/>
  <c r="BH4" i="3"/>
  <c r="BH8" i="2"/>
  <c r="BH11" i="7" s="1"/>
  <c r="BH9" i="7"/>
  <c r="BJ2" i="2"/>
  <c r="BI15" i="2"/>
  <c r="BI20" i="2"/>
  <c r="BI16" i="7" s="1"/>
  <c r="BI19" i="2"/>
  <c r="BI15" i="7" s="1"/>
  <c r="BI13" i="7"/>
  <c r="BI6" i="2"/>
  <c r="BI14" i="2"/>
  <c r="BI3" i="2"/>
  <c r="BI18" i="2" s="1"/>
  <c r="BI14" i="7" s="1"/>
  <c r="BI16" i="2"/>
  <c r="BI7" i="2"/>
  <c r="BI10" i="7" s="1"/>
  <c r="BH11" i="2"/>
  <c r="BH12" i="7" s="1"/>
  <c r="BI2" i="7"/>
  <c r="BH25" i="7"/>
  <c r="BH3" i="7"/>
  <c r="BH22" i="7"/>
  <c r="BH20" i="7" s="1"/>
  <c r="BH19" i="7" s="1"/>
  <c r="I26" i="7"/>
  <c r="I24" i="7" s="1"/>
  <c r="BJ3" i="6" l="1"/>
  <c r="BK2" i="6"/>
  <c r="BJ3" i="3"/>
  <c r="BI4" i="3"/>
  <c r="BK2" i="2"/>
  <c r="BJ6" i="2"/>
  <c r="BJ3" i="2"/>
  <c r="BJ18" i="2" s="1"/>
  <c r="BJ14" i="7" s="1"/>
  <c r="BJ13" i="7"/>
  <c r="BJ15" i="2"/>
  <c r="BJ7" i="2"/>
  <c r="BJ10" i="7" s="1"/>
  <c r="BJ14" i="2"/>
  <c r="BJ20" i="2"/>
  <c r="BJ16" i="7" s="1"/>
  <c r="BJ16" i="2"/>
  <c r="BJ19" i="2"/>
  <c r="BJ15" i="7" s="1"/>
  <c r="BI8" i="2"/>
  <c r="BI11" i="7" s="1"/>
  <c r="BI9" i="7"/>
  <c r="BI11" i="2"/>
  <c r="BI12" i="7" s="1"/>
  <c r="BJ2" i="7"/>
  <c r="BI22" i="7"/>
  <c r="BI20" i="7" s="1"/>
  <c r="BI19" i="7" s="1"/>
  <c r="BI25" i="7"/>
  <c r="BI3" i="7"/>
  <c r="J9" i="6"/>
  <c r="J22" i="2" l="1"/>
  <c r="BK3" i="6"/>
  <c r="BL2" i="6"/>
  <c r="BK3" i="3"/>
  <c r="BJ4" i="3"/>
  <c r="BJ8" i="2"/>
  <c r="BJ11" i="7" s="1"/>
  <c r="BJ9" i="7"/>
  <c r="BJ11" i="2"/>
  <c r="BJ12" i="7" s="1"/>
  <c r="BK3" i="2"/>
  <c r="BK18" i="2" s="1"/>
  <c r="BK14" i="7" s="1"/>
  <c r="BK16" i="2"/>
  <c r="BL2" i="2"/>
  <c r="BK20" i="2"/>
  <c r="BK16" i="7" s="1"/>
  <c r="BK13" i="7"/>
  <c r="BK15" i="2"/>
  <c r="BK6" i="2"/>
  <c r="BK19" i="2"/>
  <c r="BK15" i="7" s="1"/>
  <c r="BK14" i="2"/>
  <c r="BK7" i="2"/>
  <c r="BK10" i="7" s="1"/>
  <c r="BK2" i="7"/>
  <c r="BJ22" i="7"/>
  <c r="BJ20" i="7" s="1"/>
  <c r="BJ19" i="7" s="1"/>
  <c r="BJ25" i="7"/>
  <c r="BJ3" i="7"/>
  <c r="I23" i="7"/>
  <c r="BL3" i="6" l="1"/>
  <c r="BM2" i="6"/>
  <c r="BM3" i="6" s="1"/>
  <c r="BK11" i="2"/>
  <c r="BK12" i="7" s="1"/>
  <c r="BK8" i="2"/>
  <c r="BK11" i="7" s="1"/>
  <c r="BK4" i="3"/>
  <c r="BL3" i="3"/>
  <c r="BL3" i="2"/>
  <c r="BL18" i="2" s="1"/>
  <c r="BL14" i="7" s="1"/>
  <c r="BM2" i="2"/>
  <c r="BL6" i="2"/>
  <c r="BL19" i="2"/>
  <c r="BL15" i="7" s="1"/>
  <c r="BL15" i="2"/>
  <c r="BL7" i="2"/>
  <c r="BL10" i="7" s="1"/>
  <c r="BL13" i="7"/>
  <c r="BL14" i="2"/>
  <c r="BL20" i="2"/>
  <c r="BL16" i="7" s="1"/>
  <c r="BL16" i="2"/>
  <c r="BK9" i="7"/>
  <c r="BL2" i="7"/>
  <c r="BK3" i="7"/>
  <c r="BK22" i="7"/>
  <c r="BK20" i="7" s="1"/>
  <c r="BK19" i="7" s="1"/>
  <c r="BK25" i="7"/>
  <c r="J18" i="7"/>
  <c r="J8" i="7" s="1"/>
  <c r="J23" i="2"/>
  <c r="I30" i="7"/>
  <c r="BM3" i="3" l="1"/>
  <c r="BM4" i="3" s="1"/>
  <c r="BL4" i="3"/>
  <c r="BL8" i="2"/>
  <c r="BL11" i="7" s="1"/>
  <c r="BL11" i="2"/>
  <c r="BL12" i="7" s="1"/>
  <c r="BL9" i="7"/>
  <c r="BM19" i="2"/>
  <c r="BM15" i="7" s="1"/>
  <c r="D15" i="7" s="1"/>
  <c r="BM6" i="2"/>
  <c r="BM7" i="2"/>
  <c r="BM10" i="7" s="1"/>
  <c r="D10" i="7" s="1"/>
  <c r="BM14" i="2"/>
  <c r="BM15" i="2"/>
  <c r="BM16" i="2"/>
  <c r="BM3" i="2"/>
  <c r="BM18" i="2" s="1"/>
  <c r="BM14" i="7" s="1"/>
  <c r="D14" i="7" s="1"/>
  <c r="BM20" i="2"/>
  <c r="BM16" i="7" s="1"/>
  <c r="D16" i="7" s="1"/>
  <c r="BM13" i="7"/>
  <c r="D13" i="7" s="1"/>
  <c r="BL3" i="7"/>
  <c r="BL22" i="7"/>
  <c r="BL20" i="7" s="1"/>
  <c r="BL19" i="7" s="1"/>
  <c r="BL25" i="7"/>
  <c r="BM2" i="7"/>
  <c r="I31" i="7"/>
  <c r="J14" i="6" l="1"/>
  <c r="BM11" i="2"/>
  <c r="BM12" i="7" s="1"/>
  <c r="D12" i="7" s="1"/>
  <c r="BM8" i="2"/>
  <c r="BM11" i="7" s="1"/>
  <c r="BM9" i="7"/>
  <c r="D9" i="7" s="1"/>
  <c r="BM22" i="7"/>
  <c r="BM25" i="7"/>
  <c r="BM3" i="7"/>
  <c r="J5" i="7"/>
  <c r="J29" i="7" s="1"/>
  <c r="J27" i="7" l="1"/>
  <c r="BM20" i="7"/>
  <c r="D22" i="7"/>
  <c r="D25" i="7"/>
  <c r="D11" i="7"/>
  <c r="J32" i="7"/>
  <c r="J15" i="6"/>
  <c r="D20" i="7" l="1"/>
  <c r="BM19" i="7"/>
  <c r="D19" i="7"/>
  <c r="J33" i="7"/>
  <c r="J34" i="7" s="1"/>
  <c r="J8" i="6" l="1"/>
  <c r="J11" i="6" s="1"/>
  <c r="J16" i="6"/>
  <c r="J26" i="7" l="1"/>
  <c r="J24" i="7" l="1"/>
  <c r="J23" i="7" s="1"/>
  <c r="J30" i="7" s="1"/>
  <c r="K9" i="6"/>
  <c r="K22" i="2" s="1"/>
  <c r="K23" i="2" s="1"/>
  <c r="K18" i="7" l="1"/>
  <c r="K8" i="7" s="1"/>
  <c r="J31" i="7"/>
  <c r="K14" i="6" l="1"/>
  <c r="K5" i="7"/>
  <c r="K29" i="7" s="1"/>
  <c r="K27" i="7" l="1"/>
  <c r="K32" i="7"/>
  <c r="K15" i="6"/>
  <c r="K8" i="6" l="1"/>
  <c r="K11" i="6" s="1"/>
  <c r="K16" i="6"/>
  <c r="K33" i="7"/>
  <c r="K34" i="7" s="1"/>
  <c r="K26" i="7" l="1"/>
  <c r="L9" i="6"/>
  <c r="L22" i="2" s="1"/>
  <c r="K24" i="7" l="1"/>
  <c r="K23" i="7" s="1"/>
  <c r="K30" i="7" s="1"/>
  <c r="L23" i="2"/>
  <c r="L18" i="7"/>
  <c r="L8" i="7" s="1"/>
  <c r="K31" i="7" l="1"/>
  <c r="L14" i="6" l="1"/>
  <c r="L5" i="7"/>
  <c r="L29" i="7" s="1"/>
  <c r="L27" i="7" l="1"/>
  <c r="L32" i="7"/>
  <c r="L15" i="6"/>
  <c r="L8" i="6" l="1"/>
  <c r="L11" i="6" s="1"/>
  <c r="L33" i="7"/>
  <c r="L34" i="7" s="1"/>
  <c r="L26" i="7" l="1"/>
  <c r="L24" i="7" s="1"/>
  <c r="L16" i="6"/>
  <c r="L17" i="6"/>
  <c r="M9" i="6" l="1"/>
  <c r="M22" i="2" s="1"/>
  <c r="M10" i="6"/>
  <c r="M28" i="7" s="1"/>
  <c r="L23" i="7"/>
  <c r="M18" i="7" l="1"/>
  <c r="M8" i="7" s="1"/>
  <c r="M23" i="2"/>
  <c r="L30" i="7"/>
  <c r="L31" i="7" l="1"/>
  <c r="M14" i="6" l="1"/>
  <c r="M5" i="7"/>
  <c r="M29" i="7" s="1"/>
  <c r="M32" i="7" l="1"/>
  <c r="M27" i="7"/>
  <c r="M15" i="6"/>
  <c r="M8" i="6" l="1"/>
  <c r="M11" i="6" s="1"/>
  <c r="M33" i="7"/>
  <c r="M34" i="7" s="1"/>
  <c r="M26" i="7" l="1"/>
  <c r="N9" i="6"/>
  <c r="N22" i="2" s="1"/>
  <c r="M16" i="6"/>
  <c r="M24" i="7" l="1"/>
  <c r="M23" i="7" s="1"/>
  <c r="M30" i="7" s="1"/>
  <c r="M31" i="7" s="1"/>
  <c r="N10" i="6"/>
  <c r="N28" i="7" s="1"/>
  <c r="N23" i="2"/>
  <c r="N14" i="6" l="1"/>
  <c r="N18" i="7"/>
  <c r="N8" i="7" s="1"/>
  <c r="N5" i="7" l="1"/>
  <c r="N29" i="7" s="1"/>
  <c r="N32" i="7" l="1"/>
  <c r="N33" i="7" s="1"/>
  <c r="N34" i="7" s="1"/>
  <c r="N27" i="7"/>
  <c r="N15" i="6"/>
  <c r="N8" i="6" l="1"/>
  <c r="N11" i="6" s="1"/>
  <c r="N26" i="7" l="1"/>
  <c r="N24" i="7" s="1"/>
  <c r="N16" i="6"/>
  <c r="O9" i="6" l="1"/>
  <c r="O22" i="2" s="1"/>
  <c r="O23" i="2" s="1"/>
  <c r="N23" i="7"/>
  <c r="N30" i="7" s="1"/>
  <c r="N31" i="7" s="1"/>
  <c r="O10" i="6"/>
  <c r="O28" i="7" s="1"/>
  <c r="O14" i="6" l="1"/>
  <c r="O18" i="7"/>
  <c r="O8" i="7" l="1"/>
  <c r="O5" i="7" s="1"/>
  <c r="O29" i="7" s="1"/>
  <c r="O27" i="7" l="1"/>
  <c r="O8" i="6" s="1"/>
  <c r="O11" i="6" s="1"/>
  <c r="O15" i="6"/>
  <c r="O18" i="6" s="1"/>
  <c r="O32" i="7"/>
  <c r="O33" i="7" s="1"/>
  <c r="O34" i="7" s="1"/>
  <c r="O17" i="6" l="1"/>
  <c r="O16" i="6"/>
  <c r="O26" i="7"/>
  <c r="P10" i="6"/>
  <c r="P28" i="7" s="1"/>
  <c r="O24" i="7" l="1"/>
  <c r="O23" i="7" s="1"/>
  <c r="O30" i="7" s="1"/>
  <c r="O31" i="7" s="1"/>
  <c r="P9" i="6"/>
  <c r="P22" i="2" s="1"/>
  <c r="P18" i="7" s="1"/>
  <c r="P14" i="6" l="1"/>
  <c r="P23" i="2"/>
  <c r="P8" i="7"/>
  <c r="P5" i="7" s="1"/>
  <c r="P29" i="7" s="1"/>
  <c r="P27" i="7" l="1"/>
  <c r="P32" i="7"/>
  <c r="P33" i="7" s="1"/>
  <c r="P34" i="7" s="1"/>
  <c r="P15" i="6"/>
  <c r="P16" i="6" s="1"/>
  <c r="P8" i="6" l="1"/>
  <c r="P11" i="6" s="1"/>
  <c r="Q9" i="6" l="1"/>
  <c r="Q22" i="2" s="1"/>
  <c r="Q23" i="2" s="1"/>
  <c r="P26" i="7"/>
  <c r="P24" i="7" l="1"/>
  <c r="P23" i="7" s="1"/>
  <c r="P30" i="7" s="1"/>
  <c r="P31" i="7" s="1"/>
  <c r="Q10" i="6"/>
  <c r="Q28" i="7" s="1"/>
  <c r="Q18" i="7"/>
  <c r="Q14" i="6" l="1"/>
  <c r="Q8" i="7"/>
  <c r="Q5" i="7" s="1"/>
  <c r="Q29" i="7" s="1"/>
  <c r="Q27" i="7" l="1"/>
  <c r="Q15" i="6"/>
  <c r="Q32" i="7"/>
  <c r="Q33" i="7" s="1"/>
  <c r="Q34" i="7" s="1"/>
  <c r="Q8" i="6" l="1"/>
  <c r="Q11" i="6" s="1"/>
  <c r="R9" i="6" s="1"/>
  <c r="R22" i="2" s="1"/>
  <c r="R18" i="7" s="1"/>
  <c r="Q16" i="6"/>
  <c r="Q26" i="7" l="1"/>
  <c r="Q24" i="7" s="1"/>
  <c r="R8" i="7"/>
  <c r="R5" i="7" s="1"/>
  <c r="R10" i="6"/>
  <c r="R28" i="7" s="1"/>
  <c r="R23" i="2"/>
  <c r="R29" i="7" l="1"/>
  <c r="R15" i="6"/>
  <c r="R16" i="6" s="1"/>
  <c r="R32" i="7"/>
  <c r="R33" i="7" s="1"/>
  <c r="R34" i="7" s="1"/>
  <c r="Q23" i="7"/>
  <c r="Q30" i="7" s="1"/>
  <c r="Q31" i="7" s="1"/>
  <c r="R14" i="6" l="1"/>
  <c r="R27" i="7"/>
  <c r="R8" i="6" s="1"/>
  <c r="R11" i="6" s="1"/>
  <c r="R17" i="6"/>
  <c r="S9" i="6" l="1"/>
  <c r="R26" i="7"/>
  <c r="R24" i="7" s="1"/>
  <c r="S22" i="2" l="1"/>
  <c r="S10" i="6"/>
  <c r="S28" i="7" s="1"/>
  <c r="S23" i="2" l="1"/>
  <c r="S18" i="7"/>
  <c r="R23" i="7"/>
  <c r="R30" i="7" s="1"/>
  <c r="R31" i="7" s="1"/>
  <c r="S8" i="7" l="1"/>
  <c r="S5" i="7" s="1"/>
  <c r="S29" i="7" s="1"/>
  <c r="S14" i="6"/>
  <c r="S27" i="7" l="1"/>
  <c r="S8" i="6" s="1"/>
  <c r="S11" i="6" s="1"/>
  <c r="S32" i="7"/>
  <c r="S33" i="7" s="1"/>
  <c r="S34" i="7" s="1"/>
  <c r="S15" i="6"/>
  <c r="S16" i="6" s="1"/>
  <c r="S26" i="7" l="1"/>
  <c r="S24" i="7" s="1"/>
  <c r="T9" i="6" l="1"/>
  <c r="S23" i="7"/>
  <c r="S30" i="7" s="1"/>
  <c r="S31" i="7" s="1"/>
  <c r="T22" i="2" l="1"/>
  <c r="T10" i="6"/>
  <c r="T28" i="7" s="1"/>
  <c r="T14" i="6"/>
  <c r="T23" i="2" l="1"/>
  <c r="T18" i="7"/>
  <c r="T8" i="7" s="1"/>
  <c r="T5" i="7" s="1"/>
  <c r="T29" i="7" s="1"/>
  <c r="T32" i="7" l="1"/>
  <c r="T33" i="7" s="1"/>
  <c r="T34" i="7" s="1"/>
  <c r="T27" i="7"/>
  <c r="T8" i="6" s="1"/>
  <c r="T15" i="6"/>
  <c r="T16" i="6" s="1"/>
  <c r="T26" i="7" l="1"/>
  <c r="T11" i="6"/>
  <c r="T24" i="7" l="1"/>
  <c r="T23" i="7" s="1"/>
  <c r="T30" i="7" s="1"/>
  <c r="T31" i="7" s="1"/>
  <c r="U9" i="6"/>
  <c r="U14" i="6" l="1"/>
  <c r="U22" i="2"/>
  <c r="U10" i="6"/>
  <c r="U28" i="7" l="1"/>
  <c r="U18" i="7"/>
  <c r="U8" i="7" s="1"/>
  <c r="U5" i="7" s="1"/>
  <c r="U29" i="7" s="1"/>
  <c r="U23" i="2"/>
  <c r="U27" i="7" l="1"/>
  <c r="U8" i="6" s="1"/>
  <c r="U32" i="7"/>
  <c r="U33" i="7" s="1"/>
  <c r="U34" i="7" s="1"/>
  <c r="U15" i="6"/>
  <c r="U16" i="6" l="1"/>
  <c r="U17" i="6"/>
  <c r="U11" i="6"/>
  <c r="U26" i="7"/>
  <c r="U24" i="7" l="1"/>
  <c r="U23" i="7" s="1"/>
  <c r="U30" i="7" s="1"/>
  <c r="U31" i="7" s="1"/>
  <c r="V9" i="6"/>
  <c r="V14" i="6" l="1"/>
  <c r="V10" i="6"/>
  <c r="V22" i="2"/>
  <c r="V28" i="7" l="1"/>
  <c r="V18" i="7"/>
  <c r="V8" i="7" s="1"/>
  <c r="V5" i="7" s="1"/>
  <c r="V29" i="7" s="1"/>
  <c r="V23" i="2"/>
  <c r="V27" i="7" l="1"/>
  <c r="V8" i="6" s="1"/>
  <c r="V32" i="7"/>
  <c r="V33" i="7" s="1"/>
  <c r="V34" i="7" s="1"/>
  <c r="V15" i="6"/>
  <c r="V16" i="6" s="1"/>
  <c r="V11" i="6" l="1"/>
  <c r="V26" i="7"/>
  <c r="V24" i="7" l="1"/>
  <c r="V23" i="7" s="1"/>
  <c r="V30" i="7" s="1"/>
  <c r="V31" i="7" s="1"/>
  <c r="W9" i="6"/>
  <c r="W14" i="6" l="1"/>
  <c r="W22" i="2"/>
  <c r="W10" i="6"/>
  <c r="W28" i="7" l="1"/>
  <c r="W18" i="7"/>
  <c r="W8" i="7" s="1"/>
  <c r="W5" i="7" s="1"/>
  <c r="W29" i="7" s="1"/>
  <c r="W23" i="2"/>
  <c r="W27" i="7" l="1"/>
  <c r="W8" i="6" s="1"/>
  <c r="W15" i="6"/>
  <c r="W16" i="6" s="1"/>
  <c r="W32" i="7"/>
  <c r="W33" i="7" s="1"/>
  <c r="W34" i="7" s="1"/>
  <c r="W11" i="6" l="1"/>
  <c r="W26" i="7"/>
  <c r="W24" i="7" l="1"/>
  <c r="W23" i="7" s="1"/>
  <c r="W30" i="7" s="1"/>
  <c r="W31" i="7" s="1"/>
  <c r="X9" i="6"/>
  <c r="X14" i="6" l="1"/>
  <c r="X10" i="6"/>
  <c r="X22" i="2"/>
  <c r="X28" i="7" l="1"/>
  <c r="X18" i="7"/>
  <c r="X8" i="7" s="1"/>
  <c r="X5" i="7" s="1"/>
  <c r="X23" i="2"/>
  <c r="X29" i="7" l="1"/>
  <c r="X27" i="7"/>
  <c r="X8" i="6" s="1"/>
  <c r="X32" i="7"/>
  <c r="X33" i="7" s="1"/>
  <c r="X34" i="7" s="1"/>
  <c r="X15" i="6"/>
  <c r="X16" i="6" l="1"/>
  <c r="X17" i="6"/>
  <c r="X11" i="6"/>
  <c r="X26" i="7"/>
  <c r="X24" i="7" l="1"/>
  <c r="X23" i="7" s="1"/>
  <c r="X30" i="7" s="1"/>
  <c r="X31" i="7" s="1"/>
  <c r="Y9" i="6"/>
  <c r="Y14" i="6" l="1"/>
  <c r="Y10" i="6"/>
  <c r="Y22" i="2"/>
  <c r="Y28" i="7" l="1"/>
  <c r="Y18" i="7"/>
  <c r="Y8" i="7" s="1"/>
  <c r="Y5" i="7" s="1"/>
  <c r="Y29" i="7" s="1"/>
  <c r="Y23" i="2"/>
  <c r="Y27" i="7" l="1"/>
  <c r="Y8" i="6" s="1"/>
  <c r="Y32" i="7"/>
  <c r="Y33" i="7" s="1"/>
  <c r="Y34" i="7" s="1"/>
  <c r="Y15" i="6"/>
  <c r="Y16" i="6" s="1"/>
  <c r="Y26" i="7" l="1"/>
  <c r="Y11" i="6"/>
  <c r="Y24" i="7" l="1"/>
  <c r="Y23" i="7" s="1"/>
  <c r="Y30" i="7" s="1"/>
  <c r="Y31" i="7" s="1"/>
  <c r="Z9" i="6"/>
  <c r="Z14" i="6" l="1"/>
  <c r="Z10" i="6"/>
  <c r="Z22" i="2"/>
  <c r="Z28" i="7" l="1"/>
  <c r="Z23" i="2"/>
  <c r="Z18" i="7"/>
  <c r="Z8" i="7" s="1"/>
  <c r="Z5" i="7" s="1"/>
  <c r="Z29" i="7" s="1"/>
  <c r="Z27" i="7" l="1"/>
  <c r="Z8" i="6" s="1"/>
  <c r="Z15" i="6"/>
  <c r="Z32" i="7"/>
  <c r="Z33" i="7" s="1"/>
  <c r="Z34" i="7" s="1"/>
  <c r="Z16" i="6" l="1"/>
  <c r="Z26" i="7"/>
  <c r="Z11" i="6"/>
  <c r="Z24" i="7" l="1"/>
  <c r="Z23" i="7" s="1"/>
  <c r="Z30" i="7" s="1"/>
  <c r="Z31" i="7" s="1"/>
  <c r="AA9" i="6"/>
  <c r="AA14" i="6" l="1"/>
  <c r="AA10" i="6"/>
  <c r="AA22" i="2"/>
  <c r="AA28" i="7" l="1"/>
  <c r="AA18" i="7"/>
  <c r="AA8" i="7" s="1"/>
  <c r="AA5" i="7" s="1"/>
  <c r="AA29" i="7" s="1"/>
  <c r="AA23" i="2"/>
  <c r="AA27" i="7" l="1"/>
  <c r="AA8" i="6" s="1"/>
  <c r="AA32" i="7"/>
  <c r="AA33" i="7" s="1"/>
  <c r="AA34" i="7" s="1"/>
  <c r="AA15" i="6"/>
  <c r="AA17" i="6" s="1"/>
  <c r="AA26" i="7" l="1"/>
  <c r="AA11" i="6"/>
  <c r="AA18" i="6"/>
  <c r="AA16" i="6"/>
  <c r="AA24" i="7" l="1"/>
  <c r="AA23" i="7" s="1"/>
  <c r="AA30" i="7" s="1"/>
  <c r="AA31" i="7" s="1"/>
  <c r="AB9" i="6"/>
  <c r="AB14" i="6" l="1"/>
  <c r="AB10" i="6"/>
  <c r="AB22" i="2"/>
  <c r="AB28" i="7" l="1"/>
  <c r="AB23" i="2"/>
  <c r="AB18" i="7"/>
  <c r="AB8" i="7" s="1"/>
  <c r="AB5" i="7" s="1"/>
  <c r="AB29" i="7" s="1"/>
  <c r="AB27" i="7" l="1"/>
  <c r="AB8" i="6" s="1"/>
  <c r="AB32" i="7"/>
  <c r="AB33" i="7" s="1"/>
  <c r="AB34" i="7" s="1"/>
  <c r="AB15" i="6"/>
  <c r="AB16" i="6" s="1"/>
  <c r="AB26" i="7" l="1"/>
  <c r="AB11" i="6"/>
  <c r="AB24" i="7" l="1"/>
  <c r="AB23" i="7" s="1"/>
  <c r="AB30" i="7" s="1"/>
  <c r="AB31" i="7" s="1"/>
  <c r="AC9" i="6"/>
  <c r="AC14" i="6" l="1"/>
  <c r="AC10" i="6"/>
  <c r="AC22" i="2"/>
  <c r="AC28" i="7" l="1"/>
  <c r="AC18" i="7"/>
  <c r="AC8" i="7" s="1"/>
  <c r="AC5" i="7" s="1"/>
  <c r="AC29" i="7" s="1"/>
  <c r="AC23" i="2"/>
  <c r="AC27" i="7" l="1"/>
  <c r="AC32" i="7"/>
  <c r="AC33" i="7" s="1"/>
  <c r="AC34" i="7" s="1"/>
  <c r="AC15" i="6"/>
  <c r="AC16" i="6" s="1"/>
  <c r="AC8" i="6"/>
  <c r="AC26" i="7" l="1"/>
  <c r="AC11" i="6"/>
  <c r="AC24" i="7" l="1"/>
  <c r="AC23" i="7" s="1"/>
  <c r="AC30" i="7" s="1"/>
  <c r="AC31" i="7" s="1"/>
  <c r="AD9" i="6"/>
  <c r="AD14" i="6" l="1"/>
  <c r="AD22" i="2"/>
  <c r="AD10" i="6"/>
  <c r="AD28" i="7" l="1"/>
  <c r="AD23" i="2"/>
  <c r="AD18" i="7"/>
  <c r="AD8" i="7" s="1"/>
  <c r="AD5" i="7" s="1"/>
  <c r="AD29" i="7" s="1"/>
  <c r="AD27" i="7" l="1"/>
  <c r="AD8" i="6" s="1"/>
  <c r="AD32" i="7"/>
  <c r="AD33" i="7" s="1"/>
  <c r="AD34" i="7" s="1"/>
  <c r="AD15" i="6"/>
  <c r="AD26" i="7" l="1"/>
  <c r="AD11" i="6"/>
  <c r="AD17" i="6"/>
  <c r="AD16" i="6"/>
  <c r="AD24" i="7" l="1"/>
  <c r="AD23" i="7" s="1"/>
  <c r="AD30" i="7" s="1"/>
  <c r="AD31" i="7" s="1"/>
  <c r="AE9" i="6"/>
  <c r="AE14" i="6" l="1"/>
  <c r="AE22" i="2"/>
  <c r="AE10" i="6"/>
  <c r="AE28" i="7" l="1"/>
  <c r="AE23" i="2"/>
  <c r="AE18" i="7"/>
  <c r="AE8" i="7" s="1"/>
  <c r="AE5" i="7" s="1"/>
  <c r="AE29" i="7" s="1"/>
  <c r="AE27" i="7" l="1"/>
  <c r="AE8" i="6" s="1"/>
  <c r="AE32" i="7"/>
  <c r="AE33" i="7" s="1"/>
  <c r="AE34" i="7" s="1"/>
  <c r="AE15" i="6"/>
  <c r="AE26" i="7" l="1"/>
  <c r="AE11" i="6"/>
  <c r="AE16" i="6"/>
  <c r="AE24" i="7" l="1"/>
  <c r="AE23" i="7" s="1"/>
  <c r="AE30" i="7" s="1"/>
  <c r="AE31" i="7" s="1"/>
  <c r="AF9" i="6"/>
  <c r="AF14" i="6" l="1"/>
  <c r="AF10" i="6"/>
  <c r="AF22" i="2"/>
  <c r="AF28" i="7" l="1"/>
  <c r="AF23" i="2"/>
  <c r="AF18" i="7"/>
  <c r="AF8" i="7" s="1"/>
  <c r="AF5" i="7" s="1"/>
  <c r="AF29" i="7" s="1"/>
  <c r="AF27" i="7" l="1"/>
  <c r="AF32" i="7"/>
  <c r="AF33" i="7" s="1"/>
  <c r="AF34" i="7" s="1"/>
  <c r="AF15" i="6"/>
  <c r="AF8" i="6"/>
  <c r="AF16" i="6" l="1"/>
  <c r="AF26" i="7"/>
  <c r="AF11" i="6"/>
  <c r="AF24" i="7" l="1"/>
  <c r="AF23" i="7" s="1"/>
  <c r="AF30" i="7" s="1"/>
  <c r="AF31" i="7" s="1"/>
  <c r="AG9" i="6"/>
  <c r="AG14" i="6" l="1"/>
  <c r="AG22" i="2"/>
  <c r="AG10" i="6"/>
  <c r="AG28" i="7" l="1"/>
  <c r="AG18" i="7"/>
  <c r="AG8" i="7" s="1"/>
  <c r="AG5" i="7" s="1"/>
  <c r="AG29" i="7" s="1"/>
  <c r="AG23" i="2"/>
  <c r="AG27" i="7" l="1"/>
  <c r="AG8" i="6" s="1"/>
  <c r="AG15" i="6"/>
  <c r="AG32" i="7"/>
  <c r="AG33" i="7" s="1"/>
  <c r="AG34" i="7" s="1"/>
  <c r="AG16" i="6" l="1"/>
  <c r="AG17" i="6"/>
  <c r="AG26" i="7"/>
  <c r="AG11" i="6"/>
  <c r="AG24" i="7" l="1"/>
  <c r="AG23" i="7" s="1"/>
  <c r="AG30" i="7" s="1"/>
  <c r="AG31" i="7" s="1"/>
  <c r="AH9" i="6"/>
  <c r="AH14" i="6" l="1"/>
  <c r="AH22" i="2"/>
  <c r="AH10" i="6"/>
  <c r="AH28" i="7" l="1"/>
  <c r="AH23" i="2"/>
  <c r="AH18" i="7"/>
  <c r="AH8" i="7" s="1"/>
  <c r="AH5" i="7" s="1"/>
  <c r="AH29" i="7" s="1"/>
  <c r="AH27" i="7" l="1"/>
  <c r="AH8" i="6" s="1"/>
  <c r="AH32" i="7"/>
  <c r="AH33" i="7" s="1"/>
  <c r="AH34" i="7" s="1"/>
  <c r="AH15" i="6"/>
  <c r="AH26" i="7" l="1"/>
  <c r="AH11" i="6"/>
  <c r="AH16" i="6"/>
  <c r="AH24" i="7" l="1"/>
  <c r="AH23" i="7" s="1"/>
  <c r="AH30" i="7" s="1"/>
  <c r="AH31" i="7" s="1"/>
  <c r="AI9" i="6"/>
  <c r="AI14" i="6" l="1"/>
  <c r="AI10" i="6"/>
  <c r="AI22" i="2"/>
  <c r="AI28" i="7" l="1"/>
  <c r="AI18" i="7"/>
  <c r="AI8" i="7" s="1"/>
  <c r="AI5" i="7" s="1"/>
  <c r="AI29" i="7" s="1"/>
  <c r="AI23" i="2"/>
  <c r="AI27" i="7" l="1"/>
  <c r="AI8" i="6" s="1"/>
  <c r="AI32" i="7"/>
  <c r="AI33" i="7" s="1"/>
  <c r="AI34" i="7" s="1"/>
  <c r="AI15" i="6"/>
  <c r="AI16" i="6" l="1"/>
  <c r="AI26" i="7"/>
  <c r="AI11" i="6"/>
  <c r="AI24" i="7" l="1"/>
  <c r="AI23" i="7" s="1"/>
  <c r="AI30" i="7" s="1"/>
  <c r="AI31" i="7" s="1"/>
  <c r="AJ9" i="6"/>
  <c r="AJ14" i="6" l="1"/>
  <c r="AJ22" i="2"/>
  <c r="AJ10" i="6"/>
  <c r="AJ28" i="7" l="1"/>
  <c r="AJ18" i="7"/>
  <c r="AJ8" i="7" s="1"/>
  <c r="AJ5" i="7" s="1"/>
  <c r="AJ29" i="7" s="1"/>
  <c r="AJ23" i="2"/>
  <c r="AJ27" i="7" l="1"/>
  <c r="AJ8" i="6" s="1"/>
  <c r="AJ15" i="6"/>
  <c r="AJ32" i="7"/>
  <c r="AJ33" i="7" s="1"/>
  <c r="AJ34" i="7" s="1"/>
  <c r="AJ16" i="6" l="1"/>
  <c r="AJ17" i="6"/>
  <c r="AJ26" i="7"/>
  <c r="AJ11" i="6"/>
  <c r="AJ24" i="7" l="1"/>
  <c r="AJ23" i="7" s="1"/>
  <c r="AJ30" i="7" s="1"/>
  <c r="AJ31" i="7" s="1"/>
  <c r="AK9" i="6"/>
  <c r="AK14" i="6" l="1"/>
  <c r="AK22" i="2"/>
  <c r="AK10" i="6"/>
  <c r="AK28" i="7" l="1"/>
  <c r="AK23" i="2"/>
  <c r="AK18" i="7"/>
  <c r="AK8" i="7" s="1"/>
  <c r="AK5" i="7" s="1"/>
  <c r="AK29" i="7" s="1"/>
  <c r="AK27" i="7" l="1"/>
  <c r="AK8" i="6" s="1"/>
  <c r="AK32" i="7"/>
  <c r="AK33" i="7" s="1"/>
  <c r="AK34" i="7" s="1"/>
  <c r="AK15" i="6"/>
  <c r="AK26" i="7" l="1"/>
  <c r="AK11" i="6"/>
  <c r="AK16" i="6"/>
  <c r="AK24" i="7" l="1"/>
  <c r="AK23" i="7" s="1"/>
  <c r="AK30" i="7" s="1"/>
  <c r="AK31" i="7" s="1"/>
  <c r="AL9" i="6"/>
  <c r="AL14" i="6" l="1"/>
  <c r="AL22" i="2"/>
  <c r="AL10" i="6"/>
  <c r="AL28" i="7" l="1"/>
  <c r="AL23" i="2"/>
  <c r="AL18" i="7"/>
  <c r="AL8" i="7" s="1"/>
  <c r="AL5" i="7" s="1"/>
  <c r="AL29" i="7" s="1"/>
  <c r="AL27" i="7" l="1"/>
  <c r="AL8" i="6" s="1"/>
  <c r="AL32" i="7"/>
  <c r="AL33" i="7" s="1"/>
  <c r="AL34" i="7" s="1"/>
  <c r="AL15" i="6"/>
  <c r="AL16" i="6" l="1"/>
  <c r="AL26" i="7"/>
  <c r="AL11" i="6"/>
  <c r="AL24" i="7" l="1"/>
  <c r="AL23" i="7" s="1"/>
  <c r="AL30" i="7" s="1"/>
  <c r="AL31" i="7" s="1"/>
  <c r="AM9" i="6"/>
  <c r="AM14" i="6" l="1"/>
  <c r="AM22" i="2"/>
  <c r="AM10" i="6"/>
  <c r="AM28" i="7" l="1"/>
  <c r="AM18" i="7"/>
  <c r="AM8" i="7" s="1"/>
  <c r="AM5" i="7" s="1"/>
  <c r="AM29" i="7" s="1"/>
  <c r="AM23" i="2"/>
  <c r="AM27" i="7" l="1"/>
  <c r="AM8" i="6" s="1"/>
  <c r="AM15" i="6"/>
  <c r="AM32" i="7"/>
  <c r="AM33" i="7" s="1"/>
  <c r="AM34" i="7" s="1"/>
  <c r="AM16" i="6" l="1"/>
  <c r="AM18" i="6"/>
  <c r="AM17" i="6"/>
  <c r="AM26" i="7"/>
  <c r="AM11" i="6"/>
  <c r="AM24" i="7" l="1"/>
  <c r="AM23" i="7" s="1"/>
  <c r="AM30" i="7" s="1"/>
  <c r="AM31" i="7" s="1"/>
  <c r="AN9" i="6"/>
  <c r="AN14" i="6" l="1"/>
  <c r="AN22" i="2"/>
  <c r="AN10" i="6"/>
  <c r="AN28" i="7" l="1"/>
  <c r="AN23" i="2"/>
  <c r="AN18" i="7"/>
  <c r="AN8" i="7" s="1"/>
  <c r="AN5" i="7" s="1"/>
  <c r="AN29" i="7" s="1"/>
  <c r="AN27" i="7" l="1"/>
  <c r="AN8" i="6" s="1"/>
  <c r="AN32" i="7"/>
  <c r="AN33" i="7" s="1"/>
  <c r="AN34" i="7" s="1"/>
  <c r="AN15" i="6"/>
  <c r="AN16" i="6" s="1"/>
  <c r="AN26" i="7" l="1"/>
  <c r="AN11" i="6"/>
  <c r="AN24" i="7" l="1"/>
  <c r="AN23" i="7" s="1"/>
  <c r="AN30" i="7" s="1"/>
  <c r="AN31" i="7" s="1"/>
  <c r="AO9" i="6"/>
  <c r="AO14" i="6" l="1"/>
  <c r="AO22" i="2"/>
  <c r="E22" i="2" s="1"/>
  <c r="E23" i="2" s="1"/>
  <c r="AO10" i="6"/>
  <c r="AO28" i="7" l="1"/>
  <c r="AO23" i="2"/>
  <c r="AO18" i="7"/>
  <c r="AO8" i="7" s="1"/>
  <c r="AO5" i="7" s="1"/>
  <c r="AO29" i="7" s="1"/>
  <c r="AO27" i="7" l="1"/>
  <c r="AO32" i="7"/>
  <c r="AO33" i="7" s="1"/>
  <c r="AO34" i="7" s="1"/>
  <c r="AO15" i="6"/>
  <c r="AO16" i="6" s="1"/>
  <c r="AO8" i="6"/>
  <c r="AO26" i="7" l="1"/>
  <c r="AO11" i="6"/>
  <c r="AO24" i="7" l="1"/>
  <c r="AO23" i="7" s="1"/>
  <c r="AO30" i="7" s="1"/>
  <c r="AO31" i="7" s="1"/>
  <c r="AP9" i="6"/>
  <c r="AP14" i="6" l="1"/>
  <c r="AP10" i="6"/>
  <c r="AP22" i="2"/>
  <c r="AP28" i="7" l="1"/>
  <c r="AP18" i="7"/>
  <c r="AP8" i="7" s="1"/>
  <c r="AP5" i="7" s="1"/>
  <c r="AP29" i="7" s="1"/>
  <c r="AP23" i="2"/>
  <c r="AP27" i="7" l="1"/>
  <c r="AP8" i="6" s="1"/>
  <c r="AP15" i="6"/>
  <c r="AP16" i="6" s="1"/>
  <c r="AP32" i="7"/>
  <c r="AP33" i="7" s="1"/>
  <c r="AP34" i="7" s="1"/>
  <c r="AP26" i="7" l="1"/>
  <c r="AP11" i="6"/>
  <c r="AP24" i="7" l="1"/>
  <c r="AP23" i="7" s="1"/>
  <c r="AP30" i="7" s="1"/>
  <c r="AP31" i="7" s="1"/>
  <c r="AQ9" i="6"/>
  <c r="AQ14" i="6" l="1"/>
  <c r="AQ10" i="6"/>
  <c r="AQ22" i="2"/>
  <c r="AQ28" i="7" l="1"/>
  <c r="AQ18" i="7"/>
  <c r="AQ8" i="7" s="1"/>
  <c r="AQ5" i="7" s="1"/>
  <c r="AQ29" i="7" s="1"/>
  <c r="AQ23" i="2"/>
  <c r="AQ27" i="7" l="1"/>
  <c r="AQ8" i="6" s="1"/>
  <c r="AQ15" i="6"/>
  <c r="AQ16" i="6" s="1"/>
  <c r="AQ32" i="7"/>
  <c r="AQ33" i="7" s="1"/>
  <c r="AQ34" i="7" s="1"/>
  <c r="AQ26" i="7" l="1"/>
  <c r="AQ11" i="6"/>
  <c r="AQ24" i="7" l="1"/>
  <c r="AQ23" i="7" s="1"/>
  <c r="AQ30" i="7" s="1"/>
  <c r="AQ31" i="7" s="1"/>
  <c r="AR9" i="6"/>
  <c r="AR14" i="6" l="1"/>
  <c r="AR10" i="6"/>
  <c r="AR22" i="2"/>
  <c r="AR28" i="7" l="1"/>
  <c r="AR18" i="7"/>
  <c r="AR8" i="7" s="1"/>
  <c r="AR5" i="7" s="1"/>
  <c r="AR29" i="7" s="1"/>
  <c r="AR23" i="2"/>
  <c r="AR27" i="7" l="1"/>
  <c r="AR8" i="6" s="1"/>
  <c r="AR15" i="6"/>
  <c r="AR16" i="6" s="1"/>
  <c r="AR32" i="7"/>
  <c r="AR33" i="7" s="1"/>
  <c r="AR34" i="7" s="1"/>
  <c r="AR26" i="7" l="1"/>
  <c r="AR11" i="6"/>
  <c r="AR24" i="7" l="1"/>
  <c r="AR23" i="7" s="1"/>
  <c r="AR30" i="7" s="1"/>
  <c r="AR31" i="7" s="1"/>
  <c r="AS9" i="6"/>
  <c r="AS14" i="6" l="1"/>
  <c r="AS22" i="2"/>
  <c r="AS10" i="6"/>
  <c r="AS28" i="7" l="1"/>
  <c r="AS18" i="7"/>
  <c r="AS8" i="7" s="1"/>
  <c r="AS5" i="7" s="1"/>
  <c r="AS29" i="7" s="1"/>
  <c r="AS23" i="2"/>
  <c r="AS27" i="7" l="1"/>
  <c r="AS8" i="6" s="1"/>
  <c r="AS15" i="6"/>
  <c r="AS16" i="6" s="1"/>
  <c r="AS32" i="7"/>
  <c r="AS33" i="7" s="1"/>
  <c r="AS34" i="7" s="1"/>
  <c r="AS26" i="7" l="1"/>
  <c r="AS11" i="6"/>
  <c r="AS24" i="7" l="1"/>
  <c r="AS23" i="7" s="1"/>
  <c r="AS30" i="7" s="1"/>
  <c r="AS31" i="7" s="1"/>
  <c r="AT9" i="6"/>
  <c r="AT14" i="6" l="1"/>
  <c r="AT10" i="6"/>
  <c r="AT22" i="2"/>
  <c r="AT28" i="7" l="1"/>
  <c r="AT18" i="7"/>
  <c r="AT8" i="7" s="1"/>
  <c r="AT5" i="7" s="1"/>
  <c r="AT29" i="7" s="1"/>
  <c r="AT23" i="2"/>
  <c r="AT27" i="7" l="1"/>
  <c r="AT8" i="6" s="1"/>
  <c r="AT15" i="6"/>
  <c r="AT16" i="6" s="1"/>
  <c r="AT32" i="7"/>
  <c r="AT33" i="7" s="1"/>
  <c r="AT34" i="7" s="1"/>
  <c r="AT26" i="7" l="1"/>
  <c r="AT11" i="6"/>
  <c r="AT24" i="7" l="1"/>
  <c r="AT23" i="7" s="1"/>
  <c r="AT30" i="7" s="1"/>
  <c r="AT31" i="7" s="1"/>
  <c r="AU9" i="6"/>
  <c r="AU14" i="6" l="1"/>
  <c r="AU10" i="6"/>
  <c r="AU22" i="2"/>
  <c r="AU28" i="7" l="1"/>
  <c r="AU18" i="7"/>
  <c r="AU8" i="7" s="1"/>
  <c r="AU5" i="7" s="1"/>
  <c r="AU29" i="7" s="1"/>
  <c r="AU23" i="2"/>
  <c r="AU27" i="7" l="1"/>
  <c r="AU8" i="6" s="1"/>
  <c r="AU32" i="7"/>
  <c r="AU33" i="7" s="1"/>
  <c r="AU34" i="7" s="1"/>
  <c r="AU15" i="6"/>
  <c r="AU16" i="6" s="1"/>
  <c r="AU26" i="7" l="1"/>
  <c r="AU11" i="6"/>
  <c r="AU24" i="7" l="1"/>
  <c r="AU23" i="7" s="1"/>
  <c r="AU30" i="7" s="1"/>
  <c r="AU31" i="7" s="1"/>
  <c r="AV9" i="6"/>
  <c r="AV14" i="6" l="1"/>
  <c r="AV10" i="6"/>
  <c r="AV22" i="2"/>
  <c r="AV28" i="7" l="1"/>
  <c r="AV18" i="7"/>
  <c r="AV8" i="7" s="1"/>
  <c r="AV5" i="7" s="1"/>
  <c r="AV29" i="7" s="1"/>
  <c r="AV23" i="2"/>
  <c r="AV27" i="7" l="1"/>
  <c r="AV8" i="6" s="1"/>
  <c r="AV32" i="7"/>
  <c r="AV33" i="7" s="1"/>
  <c r="AV34" i="7" s="1"/>
  <c r="AV15" i="6"/>
  <c r="AV16" i="6" s="1"/>
  <c r="AV26" i="7" l="1"/>
  <c r="AV11" i="6"/>
  <c r="AV24" i="7" l="1"/>
  <c r="AV23" i="7" s="1"/>
  <c r="AV30" i="7" s="1"/>
  <c r="AV31" i="7" s="1"/>
  <c r="AW9" i="6"/>
  <c r="AW14" i="6" l="1"/>
  <c r="AW10" i="6"/>
  <c r="AW22" i="2"/>
  <c r="AW28" i="7" l="1"/>
  <c r="AW23" i="2"/>
  <c r="AW18" i="7"/>
  <c r="AW8" i="7" s="1"/>
  <c r="AW5" i="7" s="1"/>
  <c r="AW29" i="7" s="1"/>
  <c r="AW27" i="7" l="1"/>
  <c r="AW8" i="6" s="1"/>
  <c r="AW32" i="7"/>
  <c r="AW33" i="7" s="1"/>
  <c r="AW34" i="7" s="1"/>
  <c r="AW15" i="6"/>
  <c r="AW16" i="6" s="1"/>
  <c r="AW26" i="7" l="1"/>
  <c r="AW11" i="6"/>
  <c r="AW24" i="7" l="1"/>
  <c r="AW23" i="7" s="1"/>
  <c r="AW30" i="7" s="1"/>
  <c r="AW31" i="7" s="1"/>
  <c r="AX9" i="6"/>
  <c r="AX14" i="6" l="1"/>
  <c r="AX10" i="6"/>
  <c r="AX22" i="2"/>
  <c r="AX28" i="7" l="1"/>
  <c r="AX23" i="2"/>
  <c r="AX18" i="7"/>
  <c r="AX8" i="7" s="1"/>
  <c r="AX5" i="7" s="1"/>
  <c r="AX29" i="7" s="1"/>
  <c r="AX27" i="7" l="1"/>
  <c r="AX8" i="6" s="1"/>
  <c r="AX32" i="7"/>
  <c r="AX33" i="7" s="1"/>
  <c r="AX34" i="7" s="1"/>
  <c r="AX15" i="6"/>
  <c r="AX16" i="6" s="1"/>
  <c r="AX26" i="7" l="1"/>
  <c r="AX11" i="6"/>
  <c r="AX24" i="7" l="1"/>
  <c r="AX23" i="7" s="1"/>
  <c r="AX30" i="7" s="1"/>
  <c r="AX31" i="7" s="1"/>
  <c r="AY9" i="6"/>
  <c r="AY14" i="6" l="1"/>
  <c r="AY22" i="2"/>
  <c r="AY10" i="6"/>
  <c r="AY28" i="7" l="1"/>
  <c r="AY18" i="7"/>
  <c r="AY8" i="7" s="1"/>
  <c r="AY5" i="7" s="1"/>
  <c r="AY29" i="7" s="1"/>
  <c r="AY23" i="2"/>
  <c r="AY27" i="7" l="1"/>
  <c r="AY8" i="6" s="1"/>
  <c r="AY32" i="7"/>
  <c r="AY33" i="7" s="1"/>
  <c r="AY34" i="7" s="1"/>
  <c r="AY15" i="6"/>
  <c r="AY16" i="6" s="1"/>
  <c r="AY26" i="7" l="1"/>
  <c r="AY11" i="6"/>
  <c r="AY24" i="7" l="1"/>
  <c r="AY23" i="7" s="1"/>
  <c r="AY30" i="7" s="1"/>
  <c r="AY31" i="7" s="1"/>
  <c r="AZ9" i="6"/>
  <c r="AZ14" i="6" l="1"/>
  <c r="AZ10" i="6"/>
  <c r="AZ22" i="2"/>
  <c r="AZ28" i="7" l="1"/>
  <c r="AZ23" i="2"/>
  <c r="AZ18" i="7"/>
  <c r="AZ8" i="7" s="1"/>
  <c r="AZ5" i="7" s="1"/>
  <c r="AZ29" i="7" s="1"/>
  <c r="AZ27" i="7" l="1"/>
  <c r="AZ8" i="6" s="1"/>
  <c r="AZ32" i="7"/>
  <c r="AZ33" i="7" s="1"/>
  <c r="AZ34" i="7" s="1"/>
  <c r="AZ15" i="6"/>
  <c r="AZ16" i="6" s="1"/>
  <c r="AZ26" i="7" l="1"/>
  <c r="AZ11" i="6"/>
  <c r="AZ24" i="7" l="1"/>
  <c r="AZ23" i="7" s="1"/>
  <c r="AZ30" i="7" s="1"/>
  <c r="AZ31" i="7" s="1"/>
  <c r="BA9" i="6"/>
  <c r="BA14" i="6" l="1"/>
  <c r="BA22" i="2"/>
  <c r="BA10" i="6"/>
  <c r="BA28" i="7" l="1"/>
  <c r="BA23" i="2"/>
  <c r="BA18" i="7"/>
  <c r="BA8" i="7" s="1"/>
  <c r="BA5" i="7" s="1"/>
  <c r="BA29" i="7" s="1"/>
  <c r="BA27" i="7" l="1"/>
  <c r="BA8" i="6" s="1"/>
  <c r="BA32" i="7"/>
  <c r="BA33" i="7" s="1"/>
  <c r="BA34" i="7" s="1"/>
  <c r="BA15" i="6"/>
  <c r="BA16" i="6" s="1"/>
  <c r="BA26" i="7" l="1"/>
  <c r="BA11" i="6"/>
  <c r="BA24" i="7" l="1"/>
  <c r="BA23" i="7" s="1"/>
  <c r="BA30" i="7" s="1"/>
  <c r="BA31" i="7" s="1"/>
  <c r="BB9" i="6"/>
  <c r="BB14" i="6" l="1"/>
  <c r="BB22" i="2"/>
  <c r="BB10" i="6"/>
  <c r="BB28" i="7" l="1"/>
  <c r="BB18" i="7"/>
  <c r="BB8" i="7" s="1"/>
  <c r="BB5" i="7" s="1"/>
  <c r="BB29" i="7" s="1"/>
  <c r="BB23" i="2"/>
  <c r="BB27" i="7" l="1"/>
  <c r="BB32" i="7"/>
  <c r="BB33" i="7" s="1"/>
  <c r="BB34" i="7" s="1"/>
  <c r="BB15" i="6"/>
  <c r="BB16" i="6" s="1"/>
  <c r="BB8" i="6"/>
  <c r="BB26" i="7" l="1"/>
  <c r="BB11" i="6"/>
  <c r="BB24" i="7" l="1"/>
  <c r="BB23" i="7" s="1"/>
  <c r="BB30" i="7" s="1"/>
  <c r="BB31" i="7" s="1"/>
  <c r="BC9" i="6"/>
  <c r="BC14" i="6" l="1"/>
  <c r="BC22" i="2"/>
  <c r="BC10" i="6"/>
  <c r="BC28" i="7" l="1"/>
  <c r="BC23" i="2"/>
  <c r="BC18" i="7"/>
  <c r="BC8" i="7" s="1"/>
  <c r="BC5" i="7" s="1"/>
  <c r="BC29" i="7" s="1"/>
  <c r="BC27" i="7" l="1"/>
  <c r="BC8" i="6" s="1"/>
  <c r="BC32" i="7"/>
  <c r="BC33" i="7" s="1"/>
  <c r="BC34" i="7" s="1"/>
  <c r="BC15" i="6"/>
  <c r="BC16" i="6" s="1"/>
  <c r="BC26" i="7" l="1"/>
  <c r="BC11" i="6"/>
  <c r="BC24" i="7" l="1"/>
  <c r="BC23" i="7" s="1"/>
  <c r="BC30" i="7" s="1"/>
  <c r="BC31" i="7" s="1"/>
  <c r="BD9" i="6"/>
  <c r="BD14" i="6" l="1"/>
  <c r="BD10" i="6"/>
  <c r="BD22" i="2"/>
  <c r="BD28" i="7" l="1"/>
  <c r="BD23" i="2"/>
  <c r="BD18" i="7"/>
  <c r="BD8" i="7" s="1"/>
  <c r="BD5" i="7" s="1"/>
  <c r="BD29" i="7" s="1"/>
  <c r="BD27" i="7" l="1"/>
  <c r="BD15" i="6"/>
  <c r="BD16" i="6" s="1"/>
  <c r="BD32" i="7"/>
  <c r="BD33" i="7" s="1"/>
  <c r="BD34" i="7" s="1"/>
  <c r="BD8" i="6"/>
  <c r="BD26" i="7" l="1"/>
  <c r="BD11" i="6"/>
  <c r="BD24" i="7" l="1"/>
  <c r="BD23" i="7" s="1"/>
  <c r="BD30" i="7" s="1"/>
  <c r="BD31" i="7" s="1"/>
  <c r="BE9" i="6"/>
  <c r="BE14" i="6" l="1"/>
  <c r="BE22" i="2"/>
  <c r="BE10" i="6"/>
  <c r="BE28" i="7" l="1"/>
  <c r="BE18" i="7"/>
  <c r="BE8" i="7" s="1"/>
  <c r="BE5" i="7" s="1"/>
  <c r="BE23" i="2"/>
  <c r="BE29" i="7" l="1"/>
  <c r="BE27" i="7" s="1"/>
  <c r="BE8" i="6" s="1"/>
  <c r="BE15" i="6"/>
  <c r="BE16" i="6" s="1"/>
  <c r="BE32" i="7"/>
  <c r="BE33" i="7" s="1"/>
  <c r="BE34" i="7" s="1"/>
  <c r="BE26" i="7" l="1"/>
  <c r="BE11" i="6"/>
  <c r="BE24" i="7" l="1"/>
  <c r="BE23" i="7" s="1"/>
  <c r="BE30" i="7" s="1"/>
  <c r="BE31" i="7" s="1"/>
  <c r="BF9" i="6"/>
  <c r="BF14" i="6" l="1"/>
  <c r="BF10" i="6"/>
  <c r="BF22" i="2"/>
  <c r="BF28" i="7" l="1"/>
  <c r="BF23" i="2"/>
  <c r="BF18" i="7"/>
  <c r="BF8" i="7" s="1"/>
  <c r="BF5" i="7" s="1"/>
  <c r="BF29" i="7" s="1"/>
  <c r="BF27" i="7" l="1"/>
  <c r="BF32" i="7"/>
  <c r="BF33" i="7" s="1"/>
  <c r="BF34" i="7" s="1"/>
  <c r="BF15" i="6"/>
  <c r="BF16" i="6" s="1"/>
  <c r="BF8" i="6"/>
  <c r="BF26" i="7" l="1"/>
  <c r="BF11" i="6"/>
  <c r="BF24" i="7" l="1"/>
  <c r="BF23" i="7" s="1"/>
  <c r="BF30" i="7" s="1"/>
  <c r="BF31" i="7" s="1"/>
  <c r="BG9" i="6"/>
  <c r="BG14" i="6" l="1"/>
  <c r="BG22" i="2"/>
  <c r="BG10" i="6"/>
  <c r="BG28" i="7" l="1"/>
  <c r="BG18" i="7"/>
  <c r="BG8" i="7" s="1"/>
  <c r="BG5" i="7" s="1"/>
  <c r="BG23" i="2"/>
  <c r="BG29" i="7" l="1"/>
  <c r="BG27" i="7" s="1"/>
  <c r="BG8" i="6" s="1"/>
  <c r="BG32" i="7"/>
  <c r="BG33" i="7" s="1"/>
  <c r="BG34" i="7" s="1"/>
  <c r="BG15" i="6"/>
  <c r="BG16" i="6" s="1"/>
  <c r="BG26" i="7" l="1"/>
  <c r="BG11" i="6"/>
  <c r="BG24" i="7" l="1"/>
  <c r="BG23" i="7" s="1"/>
  <c r="BG30" i="7" s="1"/>
  <c r="BG31" i="7" s="1"/>
  <c r="BH9" i="6"/>
  <c r="BH14" i="6" l="1"/>
  <c r="BH10" i="6"/>
  <c r="BH22" i="2"/>
  <c r="BH28" i="7" l="1"/>
  <c r="BH18" i="7"/>
  <c r="BH8" i="7" s="1"/>
  <c r="BH5" i="7" s="1"/>
  <c r="BH29" i="7" s="1"/>
  <c r="BH23" i="2"/>
  <c r="BH27" i="7" l="1"/>
  <c r="BH8" i="6" s="1"/>
  <c r="BH15" i="6"/>
  <c r="BH16" i="6" s="1"/>
  <c r="BH32" i="7"/>
  <c r="BH33" i="7" s="1"/>
  <c r="BH34" i="7" s="1"/>
  <c r="BH26" i="7" l="1"/>
  <c r="BH11" i="6"/>
  <c r="BH24" i="7" l="1"/>
  <c r="BH23" i="7" s="1"/>
  <c r="BH30" i="7" s="1"/>
  <c r="BH31" i="7" s="1"/>
  <c r="BI9" i="6"/>
  <c r="BI14" i="6" l="1"/>
  <c r="BI10" i="6"/>
  <c r="BI22" i="2"/>
  <c r="BI28" i="7" l="1"/>
  <c r="BI23" i="2"/>
  <c r="BI18" i="7"/>
  <c r="BI8" i="7" s="1"/>
  <c r="BI5" i="7" s="1"/>
  <c r="BI29" i="7" s="1"/>
  <c r="BI27" i="7" l="1"/>
  <c r="BI32" i="7"/>
  <c r="BI33" i="7" s="1"/>
  <c r="BI34" i="7" s="1"/>
  <c r="BI15" i="6"/>
  <c r="BI16" i="6" s="1"/>
  <c r="BI8" i="6"/>
  <c r="BI26" i="7" l="1"/>
  <c r="BI11" i="6"/>
  <c r="BI24" i="7" l="1"/>
  <c r="BI23" i="7" s="1"/>
  <c r="BI30" i="7" s="1"/>
  <c r="BI31" i="7" s="1"/>
  <c r="BJ9" i="6"/>
  <c r="BJ14" i="6" l="1"/>
  <c r="BJ22" i="2"/>
  <c r="BJ10" i="6"/>
  <c r="BJ28" i="7" l="1"/>
  <c r="BJ18" i="7"/>
  <c r="BJ8" i="7" s="1"/>
  <c r="BJ5" i="7" s="1"/>
  <c r="BJ29" i="7" s="1"/>
  <c r="BJ23" i="2"/>
  <c r="BJ27" i="7" l="1"/>
  <c r="BJ8" i="6" s="1"/>
  <c r="BJ32" i="7"/>
  <c r="BJ33" i="7" s="1"/>
  <c r="BJ34" i="7" s="1"/>
  <c r="BJ15" i="6"/>
  <c r="BJ16" i="6" s="1"/>
  <c r="BJ26" i="7" l="1"/>
  <c r="BJ11" i="6"/>
  <c r="BJ24" i="7" l="1"/>
  <c r="BJ23" i="7" s="1"/>
  <c r="BJ30" i="7" s="1"/>
  <c r="BJ31" i="7" s="1"/>
  <c r="BK9" i="6"/>
  <c r="BK14" i="6" l="1"/>
  <c r="BK10" i="6"/>
  <c r="BK22" i="2"/>
  <c r="BK28" i="7" l="1"/>
  <c r="BK18" i="7"/>
  <c r="BK23" i="2"/>
  <c r="BK8" i="7" l="1"/>
  <c r="BK5" i="7" l="1"/>
  <c r="BK29" i="7" s="1"/>
  <c r="BK27" i="7" l="1"/>
  <c r="BK8" i="6" s="1"/>
  <c r="BK32" i="7"/>
  <c r="BK15" i="6"/>
  <c r="BK16" i="6" s="1"/>
  <c r="BK33" i="7" l="1"/>
  <c r="BK34" i="7" s="1"/>
  <c r="BK26" i="7"/>
  <c r="BK24" i="7" s="1"/>
  <c r="BK11" i="6"/>
  <c r="BL9" i="6" s="1"/>
  <c r="BL10" i="6" s="1"/>
  <c r="BL28" i="7" l="1"/>
  <c r="BL22" i="2"/>
  <c r="BL18" i="7" s="1"/>
  <c r="BL8" i="7" l="1"/>
  <c r="BK23" i="7"/>
  <c r="BL23" i="2"/>
  <c r="BK30" i="7" l="1"/>
  <c r="BL5" i="7"/>
  <c r="BL29" i="7" s="1"/>
  <c r="BL32" i="7" l="1"/>
  <c r="BL15" i="6"/>
  <c r="BL16" i="6" s="1"/>
  <c r="BK31" i="7"/>
  <c r="BL27" i="7" l="1"/>
  <c r="BL8" i="6" s="1"/>
  <c r="BL14" i="6"/>
  <c r="BL33" i="7"/>
  <c r="BL34" i="7" s="1"/>
  <c r="BL26" i="7" l="1"/>
  <c r="BL24" i="7" s="1"/>
  <c r="BL11" i="6"/>
  <c r="BM9" i="6" s="1"/>
  <c r="E9" i="6" l="1"/>
  <c r="BM10" i="6"/>
  <c r="BM22" i="2"/>
  <c r="BM28" i="7" l="1"/>
  <c r="E10" i="6"/>
  <c r="BM18" i="7"/>
  <c r="BM23" i="2"/>
  <c r="BL23" i="7"/>
  <c r="D28" i="7" l="1"/>
  <c r="BM8" i="7"/>
  <c r="D18" i="7"/>
  <c r="BL30" i="7"/>
  <c r="BL31" i="7" l="1"/>
  <c r="BM5" i="7"/>
  <c r="BM29" i="7" s="1"/>
  <c r="D8" i="7"/>
  <c r="D5" i="7" l="1"/>
  <c r="BM32" i="7"/>
  <c r="BM15" i="6"/>
  <c r="BM16" i="6" s="1"/>
  <c r="BM14" i="6"/>
  <c r="D44" i="7" l="1"/>
  <c r="Q12" i="8" s="1"/>
  <c r="BM27" i="7"/>
  <c r="D27" i="7" s="1"/>
  <c r="D29" i="7"/>
  <c r="BM8" i="6"/>
  <c r="E8" i="6" s="1"/>
  <c r="BM33" i="7"/>
  <c r="BM34" i="7" s="1"/>
  <c r="D34" i="7" s="1"/>
  <c r="D40" i="7" s="1"/>
  <c r="Q10" i="8" s="1"/>
  <c r="D38" i="7"/>
  <c r="Q9" i="8" s="1"/>
  <c r="D36" i="7"/>
  <c r="Q8" i="8" s="1"/>
  <c r="D32" i="7"/>
  <c r="Q7" i="8" s="1"/>
  <c r="F33" i="8" l="1"/>
  <c r="F40" i="8"/>
  <c r="G48" i="8"/>
  <c r="BM26" i="7"/>
  <c r="BM11" i="6"/>
  <c r="F31" i="8"/>
  <c r="F38" i="8"/>
  <c r="G46" i="8"/>
  <c r="F39" i="8"/>
  <c r="G47" i="8"/>
  <c r="F32" i="8"/>
  <c r="F36" i="8"/>
  <c r="G44" i="8"/>
  <c r="F29" i="8"/>
  <c r="G45" i="8"/>
  <c r="F37" i="8"/>
  <c r="F30" i="8"/>
  <c r="J9" i="8"/>
  <c r="J7" i="8" s="1"/>
  <c r="D19" i="6"/>
  <c r="D26" i="7" l="1"/>
  <c r="BM24" i="7"/>
  <c r="BM23" i="7" s="1"/>
  <c r="D24" i="7" l="1"/>
  <c r="BM30" i="7"/>
  <c r="D23" i="7"/>
  <c r="BM31" i="7" l="1"/>
  <c r="D30" i="7"/>
  <c r="D31" i="7" s="1"/>
</calcChain>
</file>

<file path=xl/sharedStrings.xml><?xml version="1.0" encoding="utf-8"?>
<sst xmlns="http://schemas.openxmlformats.org/spreadsheetml/2006/main" count="255" uniqueCount="189">
  <si>
    <t>Дата начала проекта</t>
  </si>
  <si>
    <t>Дата начала деятельности</t>
  </si>
  <si>
    <t>С какого момента начинаем тратиться</t>
  </si>
  <si>
    <t>С какого момента начинаем зарабатывать</t>
  </si>
  <si>
    <t>Что это?</t>
  </si>
  <si>
    <t>Оборудование</t>
  </si>
  <si>
    <t>Аренда за первый и последний месяц</t>
  </si>
  <si>
    <t>Аренда за период ремонта</t>
  </si>
  <si>
    <t>Расходы на регистрацию</t>
  </si>
  <si>
    <t>Кол-во</t>
  </si>
  <si>
    <t>Цена</t>
  </si>
  <si>
    <t>Ед.изм.</t>
  </si>
  <si>
    <t>Покраска стен (работа)</t>
  </si>
  <si>
    <t>кв м</t>
  </si>
  <si>
    <t>Краска для стен</t>
  </si>
  <si>
    <t>кг</t>
  </si>
  <si>
    <t>Парикмахерское кресло</t>
  </si>
  <si>
    <t>шт.</t>
  </si>
  <si>
    <t>Стартовая закупка краски для волос</t>
  </si>
  <si>
    <t>тюб.</t>
  </si>
  <si>
    <t>мес.</t>
  </si>
  <si>
    <t>Аренда</t>
  </si>
  <si>
    <t>Покупка материалов</t>
  </si>
  <si>
    <t>Зарплата</t>
  </si>
  <si>
    <t>Налоги с зарплаты</t>
  </si>
  <si>
    <t>Платеж за патент</t>
  </si>
  <si>
    <t>Расходы на связь</t>
  </si>
  <si>
    <t>Реклама</t>
  </si>
  <si>
    <t>Коммунальные услуги</t>
  </si>
  <si>
    <t>бухгалтер</t>
  </si>
  <si>
    <t>уборщица</t>
  </si>
  <si>
    <t>Выручка</t>
  </si>
  <si>
    <t>Процент загрузки</t>
  </si>
  <si>
    <t>Зарплата в процентах от выручки</t>
  </si>
  <si>
    <t>Отчисления в фонды</t>
  </si>
  <si>
    <t>Официальная зарплата сотрудников</t>
  </si>
  <si>
    <t>Всего</t>
  </si>
  <si>
    <t xml:space="preserve">Банковский процент за эквайринг </t>
  </si>
  <si>
    <t>Банк взимает процент за расчеты картами</t>
  </si>
  <si>
    <t>расходники (пеньюары, воротнички, перчатки)</t>
  </si>
  <si>
    <t>Банковские расходы</t>
  </si>
  <si>
    <t>Ставка кредита</t>
  </si>
  <si>
    <t>Ежемесячный платеж</t>
  </si>
  <si>
    <t>Проценты</t>
  </si>
  <si>
    <t>Погашение кредита</t>
  </si>
  <si>
    <t>Остаток долга</t>
  </si>
  <si>
    <t>Проценты по кредиту</t>
  </si>
  <si>
    <t>Поступления</t>
  </si>
  <si>
    <t>Вклад собственников</t>
  </si>
  <si>
    <t>Получение кредита</t>
  </si>
  <si>
    <t>Платежи</t>
  </si>
  <si>
    <t>Остаток денежных средств на конец периода</t>
  </si>
  <si>
    <t>парикмахеры</t>
  </si>
  <si>
    <t>Сколько собственных денег вкладывается в бизнес</t>
  </si>
  <si>
    <t>Затраты на старте</t>
  </si>
  <si>
    <t>Парикмахерская мойка</t>
  </si>
  <si>
    <t>Ставка дисконтирования</t>
  </si>
  <si>
    <t>Стрижка женская</t>
  </si>
  <si>
    <t>Стрижка мужская</t>
  </si>
  <si>
    <t>Стрижка детская</t>
  </si>
  <si>
    <t>Окрашивание корни</t>
  </si>
  <si>
    <t>Окрашивание короткие волосы</t>
  </si>
  <si>
    <t>Окрашивание средние волосы</t>
  </si>
  <si>
    <t>Окрашивание длинные волосы</t>
  </si>
  <si>
    <t>Восстановление качества волос</t>
  </si>
  <si>
    <t>Сложное окрашивание короткие волосы</t>
  </si>
  <si>
    <t>Сложное окрашивание средние волосы</t>
  </si>
  <si>
    <t>Сложное окрашивание длинные волосы</t>
  </si>
  <si>
    <t>Коррекция и окрашивание бровей</t>
  </si>
  <si>
    <t>Стрижка челки</t>
  </si>
  <si>
    <t>Расчет среднего чека</t>
  </si>
  <si>
    <t>Время оказания услуги</t>
  </si>
  <si>
    <t>Топ-стилист</t>
  </si>
  <si>
    <t>Стилист</t>
  </si>
  <si>
    <t>Время начала</t>
  </si>
  <si>
    <t>Время окончания</t>
  </si>
  <si>
    <t>Зеркала</t>
  </si>
  <si>
    <t>Проценты по кредиту на этапе инвестирования</t>
  </si>
  <si>
    <t>Полотенца</t>
  </si>
  <si>
    <t>Расходники (перчатки, пеньюары…)</t>
  </si>
  <si>
    <t>Стартовая закупка средств для волос (оксиды, шампуни, кондиционеры, укладочные средства)</t>
  </si>
  <si>
    <t>Ремонт</t>
  </si>
  <si>
    <t>Материалы</t>
  </si>
  <si>
    <t>Общие</t>
  </si>
  <si>
    <t>Коммуналка за период ремонта</t>
  </si>
  <si>
    <t>Установка парикмахерской мойки</t>
  </si>
  <si>
    <t>Рост цен в год</t>
  </si>
  <si>
    <t>Индекс роста цен</t>
  </si>
  <si>
    <t>Коэффициент инфляции</t>
  </si>
  <si>
    <t>Стойка администратора</t>
  </si>
  <si>
    <t>администратор</t>
  </si>
  <si>
    <t>директор-второй администратор</t>
  </si>
  <si>
    <t>Зарплата топ-стилиста</t>
  </si>
  <si>
    <t>Зарплата стилиста</t>
  </si>
  <si>
    <t>Операционный денежный поток (CFO)</t>
  </si>
  <si>
    <t>Инвестиционный денежный поток (CFI)</t>
  </si>
  <si>
    <t>Денежный поток от финансовых операций (CFF)</t>
  </si>
  <si>
    <t>Общий денежный поток (NCF)</t>
  </si>
  <si>
    <t>Чистый денежный поток (FCF)</t>
  </si>
  <si>
    <t>Внутренняя ставка доходности (IRR)</t>
  </si>
  <si>
    <t>Движение денежных средств (Cash Flow)</t>
  </si>
  <si>
    <t>MAX выручка в день топ-стилиста</t>
  </si>
  <si>
    <t>MAX выручка в день стилиста</t>
  </si>
  <si>
    <t>MAX выручка в месяц топ-стилиста</t>
  </si>
  <si>
    <t>MAX выручка в месяц стилиста</t>
  </si>
  <si>
    <t>Стул администратора</t>
  </si>
  <si>
    <t>Диван для посетителей</t>
  </si>
  <si>
    <t>Процент клиентов</t>
  </si>
  <si>
    <t>MAX кол-во клиентов в день на 1 кресло</t>
  </si>
  <si>
    <t>Расчет максимальной выручки</t>
  </si>
  <si>
    <t>МАХ</t>
  </si>
  <si>
    <t>Время на 100 клиентов</t>
  </si>
  <si>
    <t>Среднее время услуги, минут</t>
  </si>
  <si>
    <t>Текущие затраты</t>
  </si>
  <si>
    <t>Кредит</t>
  </si>
  <si>
    <t>Цены на услуги</t>
  </si>
  <si>
    <t>Перерыв мастера - 2 раза по 30 минут</t>
  </si>
  <si>
    <t>Парикмахерская</t>
  </si>
  <si>
    <t>Технико-экономические показатели</t>
  </si>
  <si>
    <t>Количество кресел</t>
  </si>
  <si>
    <t>Количество парикмахеров</t>
  </si>
  <si>
    <t>Уровень цен</t>
  </si>
  <si>
    <t>Средний</t>
  </si>
  <si>
    <t>Финансовые показатели проекта</t>
  </si>
  <si>
    <t>Финансирование</t>
  </si>
  <si>
    <t>Собственные средства</t>
  </si>
  <si>
    <t>Ставка по кредиту</t>
  </si>
  <si>
    <t>Прогнозный период</t>
  </si>
  <si>
    <t>Дисконтированный чистый денежный поток (NPV)</t>
  </si>
  <si>
    <t>Чистый денежный поток накопительно</t>
  </si>
  <si>
    <t>Дата окупаемости</t>
  </si>
  <si>
    <t>Срок окупаемости (PP), месяцев</t>
  </si>
  <si>
    <t>Срок окупаемости (РР), месяцев</t>
  </si>
  <si>
    <t>Анализ чувствительности</t>
  </si>
  <si>
    <t>Изменение посещаемости</t>
  </si>
  <si>
    <t>Изменение цен на услуги</t>
  </si>
  <si>
    <t>Режим работы парикмахерской</t>
  </si>
  <si>
    <t>Парикмахерские тележки</t>
  </si>
  <si>
    <t>Кассовый аппарат</t>
  </si>
  <si>
    <t>Телефон</t>
  </si>
  <si>
    <t>Шкаф для одежды</t>
  </si>
  <si>
    <t>Дата начала погашения кредита</t>
  </si>
  <si>
    <t>Дата начала погашения</t>
  </si>
  <si>
    <t>DSCR ежемесячный</t>
  </si>
  <si>
    <t>DSCR квартальный</t>
  </si>
  <si>
    <t>DSCR годовой</t>
  </si>
  <si>
    <t>Остаток денежных средств на начало периода</t>
  </si>
  <si>
    <t>Операционный денежный поток без учета процентов</t>
  </si>
  <si>
    <t>Для банка</t>
  </si>
  <si>
    <t>Стеллаж-лаборатория</t>
  </si>
  <si>
    <t>Стол и стулья в кабинет персонала</t>
  </si>
  <si>
    <t>набор</t>
  </si>
  <si>
    <t>Топ-стилисты</t>
  </si>
  <si>
    <t>Стилисты</t>
  </si>
  <si>
    <t>Вывеска</t>
  </si>
  <si>
    <t>Изменение количества парикмахеров</t>
  </si>
  <si>
    <t>-4 чел.</t>
  </si>
  <si>
    <t>-3 чел.</t>
  </si>
  <si>
    <t>-2 чел.</t>
  </si>
  <si>
    <t>+2 чел.</t>
  </si>
  <si>
    <t>-1 чел.</t>
  </si>
  <si>
    <t>+1 чел.</t>
  </si>
  <si>
    <t>Минимально приемлемая доходность салонного бизнеса</t>
  </si>
  <si>
    <t>затраты</t>
  </si>
  <si>
    <t>за 3 года</t>
  </si>
  <si>
    <t>Точка безубыточности</t>
  </si>
  <si>
    <t>Чистая приведенная стоимость (NPV)</t>
  </si>
  <si>
    <t>Платеж по кредиту</t>
  </si>
  <si>
    <t>Размер кредитной линии</t>
  </si>
  <si>
    <t>краска и средства для волос</t>
  </si>
  <si>
    <t>Переменные затраты в % от выручки</t>
  </si>
  <si>
    <t>5 лет</t>
  </si>
  <si>
    <t>количество топ-стилистов</t>
  </si>
  <si>
    <t>количество стилистов</t>
  </si>
  <si>
    <t>Численность сотрудников без парикмахеров</t>
  </si>
  <si>
    <r>
      <t xml:space="preserve">Точка безубыточности (выручка=платежам)
</t>
    </r>
    <r>
      <rPr>
        <sz val="10"/>
        <color theme="1"/>
        <rFont val="Calibri Light"/>
        <family val="2"/>
        <charset val="204"/>
        <scheme val="major"/>
      </rPr>
      <t>при какой выручке прибыль равна 0 (в ценах 2022)</t>
    </r>
  </si>
  <si>
    <t>Постоянные</t>
  </si>
  <si>
    <t>1 директор-администратор, 1 администратор, 0.5 ставки уборщица и 0.1 бухгалтер</t>
  </si>
  <si>
    <t>42% зарплата парикмахеров (средний процент)+5% расходы на краску и средства для волос+2% эквайринг</t>
  </si>
  <si>
    <t>Площадь, кв м</t>
  </si>
  <si>
    <t>Месторасположение</t>
  </si>
  <si>
    <t>Спальный 
район</t>
  </si>
  <si>
    <t>Дивиденды</t>
  </si>
  <si>
    <t>Среднемесячный доход владельца</t>
  </si>
  <si>
    <t>Переменные</t>
  </si>
  <si>
    <t>% от выручки</t>
  </si>
  <si>
    <t>40-45%</t>
  </si>
  <si>
    <t>Спец.расчет</t>
  </si>
  <si>
    <t>с 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</si>
</sst>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)_ ;_ * \(#,##0.00\)_ ;_ * &quot;-&quot;??_)_ ;_ @_ "/>
    <numFmt numFmtId="164" formatCode="dd/mm/yy;@"/>
    <numFmt numFmtId="165" formatCode="0.0%"/>
    <numFmt numFmtId="166" formatCode="#,##0.000_);\(#,##0.000\)"/>
    <numFmt numFmtId="167" formatCode="_ * #,##0.000_)_ ;_ * \(#,##0.000\)_ ;_ * &quot;-&quot;??_)_ ;_ @_ "/>
    <numFmt numFmtId="168" formatCode="_ * #,##0.00_)\ _₽_ ;_ * \(#,##0.00\)\ _₽_ ;_ * &quot;-&quot;??_)\ _₽_ ;_ @_ "/>
    <numFmt numFmtId="169" formatCode="dd/mm/yy;;&quot;&quot;"/>
    <numFmt numFmtId="170" formatCode="#,##0.0_);\(#,##0.0\)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0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4"/>
      <color rgb="FFFF0000"/>
      <name val="Calibri Light"/>
      <family val="2"/>
      <charset val="204"/>
    </font>
    <font>
      <b/>
      <sz val="12"/>
      <color rgb="FFFF0000"/>
      <name val="Calibri Light"/>
      <family val="2"/>
      <charset val="204"/>
    </font>
    <font>
      <b/>
      <sz val="16"/>
      <color rgb="FFFF0000"/>
      <name val="Calibri Light"/>
      <family val="2"/>
      <charset val="204"/>
    </font>
    <font>
      <sz val="11"/>
      <color theme="0"/>
      <name val="Calibri Light"/>
      <family val="2"/>
      <charset val="204"/>
      <scheme val="major"/>
    </font>
    <font>
      <b/>
      <sz val="11"/>
      <color theme="1" tint="0.34998626667073579"/>
      <name val="Calibri Light"/>
      <family val="2"/>
      <charset val="204"/>
      <scheme val="major"/>
    </font>
    <font>
      <b/>
      <sz val="12"/>
      <color theme="1" tint="0.34998626667073579"/>
      <name val="Calibri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rgb="FFC800FE"/>
      </bottom>
      <diagonal/>
    </border>
    <border>
      <left/>
      <right style="thin">
        <color rgb="FFC800FE"/>
      </right>
      <top/>
      <bottom/>
      <diagonal/>
    </border>
    <border>
      <left style="thin">
        <color rgb="FFC800FE"/>
      </left>
      <right/>
      <top/>
      <bottom style="thin">
        <color rgb="FFC800FE"/>
      </bottom>
      <diagonal/>
    </border>
    <border>
      <left/>
      <right style="thin">
        <color rgb="FFC800FE"/>
      </right>
      <top/>
      <bottom style="thin">
        <color rgb="FFC800FE"/>
      </bottom>
      <diagonal/>
    </border>
    <border>
      <left style="thin">
        <color rgb="FFC800FE"/>
      </left>
      <right style="thin">
        <color rgb="FFC800FE"/>
      </right>
      <top/>
      <bottom/>
      <diagonal/>
    </border>
    <border>
      <left style="thin">
        <color rgb="FFC800FE"/>
      </left>
      <right/>
      <top/>
      <bottom/>
      <diagonal/>
    </border>
    <border>
      <left/>
      <right style="thin">
        <color rgb="FFC800FE"/>
      </right>
      <top style="thin">
        <color rgb="FFC800FE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/>
    <xf numFmtId="9" fontId="2" fillId="0" borderId="0" xfId="2" applyFont="1"/>
    <xf numFmtId="0" fontId="2" fillId="0" borderId="0" xfId="0" applyFont="1" applyAlignment="1">
      <alignment wrapText="1"/>
    </xf>
    <xf numFmtId="9" fontId="2" fillId="0" borderId="0" xfId="0" applyNumberFormat="1" applyFont="1"/>
    <xf numFmtId="0" fontId="2" fillId="0" borderId="0" xfId="0" applyFont="1" applyAlignment="1">
      <alignment horizontal="right"/>
    </xf>
    <xf numFmtId="43" fontId="2" fillId="0" borderId="0" xfId="1" applyFont="1" applyAlignment="1">
      <alignment horizontal="right"/>
    </xf>
    <xf numFmtId="14" fontId="2" fillId="0" borderId="0" xfId="0" applyNumberFormat="1" applyFont="1"/>
    <xf numFmtId="10" fontId="2" fillId="0" borderId="0" xfId="0" applyNumberFormat="1" applyFont="1"/>
    <xf numFmtId="37" fontId="2" fillId="0" borderId="0" xfId="0" applyNumberFormat="1" applyFont="1"/>
    <xf numFmtId="0" fontId="2" fillId="2" borderId="1" xfId="0" applyFont="1" applyFill="1" applyBorder="1"/>
    <xf numFmtId="37" fontId="2" fillId="2" borderId="1" xfId="0" applyNumberFormat="1" applyFont="1" applyFill="1" applyBorder="1"/>
    <xf numFmtId="0" fontId="2" fillId="0" borderId="0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37" fontId="2" fillId="2" borderId="2" xfId="0" applyNumberFormat="1" applyFont="1" applyFill="1" applyBorder="1"/>
    <xf numFmtId="37" fontId="2" fillId="2" borderId="3" xfId="0" applyNumberFormat="1" applyFont="1" applyFill="1" applyBorder="1"/>
    <xf numFmtId="9" fontId="2" fillId="2" borderId="3" xfId="2" applyFont="1" applyFill="1" applyBorder="1"/>
    <xf numFmtId="0" fontId="2" fillId="0" borderId="0" xfId="0" applyFont="1" applyAlignment="1">
      <alignment horizontal="center"/>
    </xf>
    <xf numFmtId="37" fontId="4" fillId="2" borderId="2" xfId="0" applyNumberFormat="1" applyFont="1" applyFill="1" applyBorder="1"/>
    <xf numFmtId="0" fontId="2" fillId="0" borderId="0" xfId="0" applyFont="1" applyAlignment="1">
      <alignment horizontal="center" wrapText="1"/>
    </xf>
    <xf numFmtId="43" fontId="2" fillId="0" borderId="0" xfId="1" applyFont="1"/>
    <xf numFmtId="3" fontId="2" fillId="0" borderId="0" xfId="0" applyNumberFormat="1" applyFont="1"/>
    <xf numFmtId="0" fontId="4" fillId="2" borderId="2" xfId="0" applyFont="1" applyFill="1" applyBorder="1"/>
    <xf numFmtId="0" fontId="2" fillId="0" borderId="0" xfId="0" applyFont="1" applyAlignment="1">
      <alignment horizontal="left" wrapText="1" indent="1"/>
    </xf>
    <xf numFmtId="166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167" fontId="2" fillId="0" borderId="0" xfId="1" applyNumberFormat="1" applyFont="1"/>
    <xf numFmtId="168" fontId="2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9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37" fontId="8" fillId="0" borderId="0" xfId="0" applyNumberFormat="1" applyFont="1"/>
    <xf numFmtId="9" fontId="8" fillId="0" borderId="0" xfId="2" applyFont="1"/>
    <xf numFmtId="0" fontId="8" fillId="0" borderId="0" xfId="0" applyFont="1"/>
    <xf numFmtId="0" fontId="9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37" fontId="2" fillId="0" borderId="5" xfId="0" applyNumberFormat="1" applyFont="1" applyBorder="1"/>
    <xf numFmtId="9" fontId="2" fillId="0" borderId="5" xfId="0" applyNumberFormat="1" applyFont="1" applyBorder="1"/>
    <xf numFmtId="0" fontId="2" fillId="0" borderId="0" xfId="0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9" fontId="2" fillId="0" borderId="5" xfId="2" applyFont="1" applyBorder="1"/>
    <xf numFmtId="0" fontId="2" fillId="0" borderId="5" xfId="0" applyFont="1" applyBorder="1" applyAlignment="1"/>
    <xf numFmtId="37" fontId="8" fillId="0" borderId="0" xfId="0" applyNumberFormat="1" applyFont="1" applyAlignment="1"/>
    <xf numFmtId="37" fontId="2" fillId="0" borderId="0" xfId="0" applyNumberFormat="1" applyFont="1" applyAlignment="1"/>
    <xf numFmtId="37" fontId="2" fillId="0" borderId="5" xfId="0" applyNumberFormat="1" applyFont="1" applyBorder="1" applyAlignment="1"/>
    <xf numFmtId="0" fontId="2" fillId="0" borderId="0" xfId="0" quotePrefix="1" applyFont="1"/>
    <xf numFmtId="0" fontId="2" fillId="0" borderId="0" xfId="0" quotePrefix="1" applyFont="1" applyAlignment="1">
      <alignment horizontal="center"/>
    </xf>
    <xf numFmtId="0" fontId="10" fillId="0" borderId="0" xfId="0" applyFont="1" applyBorder="1" applyAlignment="1">
      <alignment vertical="center"/>
    </xf>
    <xf numFmtId="0" fontId="2" fillId="0" borderId="10" xfId="0" applyFont="1" applyBorder="1"/>
    <xf numFmtId="170" fontId="2" fillId="0" borderId="0" xfId="0" applyNumberFormat="1" applyFont="1"/>
    <xf numFmtId="0" fontId="2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37" fontId="4" fillId="0" borderId="0" xfId="0" applyNumberFormat="1" applyFont="1"/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right" wrapText="1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9" fontId="2" fillId="2" borderId="0" xfId="0" applyNumberFormat="1" applyFont="1" applyFill="1"/>
    <xf numFmtId="37" fontId="2" fillId="2" borderId="0" xfId="0" applyNumberFormat="1" applyFont="1" applyFill="1"/>
    <xf numFmtId="9" fontId="2" fillId="2" borderId="0" xfId="2" applyFont="1" applyFill="1"/>
    <xf numFmtId="37" fontId="2" fillId="2" borderId="0" xfId="0" applyNumberFormat="1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40"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C800FE"/>
      <color rgb="FF70029C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ru-RU" sz="1200">
                <a:solidFill>
                  <a:srgbClr val="FF0000"/>
                </a:solidFill>
              </a:rPr>
              <a:t>Финансирование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spPr>
            <a:ln w="12700"/>
          </c:spPr>
          <c:dPt>
            <c:idx val="0"/>
            <c:bubble3D val="0"/>
            <c:spPr>
              <a:solidFill>
                <a:srgbClr val="C800FE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F4-4D55-9887-136EB2B931B8}"/>
              </c:ext>
            </c:extLst>
          </c:dPt>
          <c:dPt>
            <c:idx val="1"/>
            <c:bubble3D val="0"/>
            <c:spPr>
              <a:solidFill>
                <a:srgbClr val="FFFF6D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F4-4D55-9887-136EB2B931B8}"/>
              </c:ext>
            </c:extLst>
          </c:dPt>
          <c:dLbls>
            <c:dLbl>
              <c:idx val="0"/>
              <c:layout>
                <c:manualLayout>
                  <c:x val="-0.11326981917315591"/>
                  <c:y val="9.5450448004344282E-2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8DF4-4D55-9887-136EB2B931B8}"/>
                </c:ext>
              </c:extLst>
            </c:dLbl>
            <c:dLbl>
              <c:idx val="1"/>
              <c:layout>
                <c:manualLayout>
                  <c:x val="0.11603167007438987"/>
                  <c:y val="-0.1051713277219658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DF4-4D55-9887-136EB2B931B8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Dashboard!$I$8:$I$9</c:f>
              <c:strCache>
                <c:ptCount val="2"/>
                <c:pt idx="0">
                  <c:v>Собственные средства</c:v>
                </c:pt>
                <c:pt idx="1">
                  <c:v>Кредит</c:v>
                </c:pt>
              </c:strCache>
            </c:strRef>
          </c:cat>
          <c:val>
            <c:numRef>
              <c:f>Dashboard!$J$8:$J$9</c:f>
              <c:numCache>
                <c:formatCode>#,##0_);\(#,##0\)</c:formatCode>
                <c:ptCount val="2"/>
                <c:pt idx="0">
                  <c:v>500000</c:v>
                </c:pt>
                <c:pt idx="1">
                  <c:v>1425263.4760306289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4-4D55-9887-136EB2B931B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blipFill dpi="0" rotWithShape="1">
      <a:blip xmlns:r="http://schemas.openxmlformats.org/officeDocument/2006/relationships" r:embed="rId3"/>
      <a:srcRect/>
      <a:tile tx="0" ty="-12700" sx="58000" sy="58000" flip="none" algn="ctr"/>
    </a:blipFill>
    <a:ln w="3175" cap="flat" cmpd="sng" algn="ctr">
      <a:solidFill>
        <a:srgbClr val="C800FE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 sz="1200">
                <a:solidFill>
                  <a:srgbClr val="FF0000"/>
                </a:solidFill>
                <a:effectLst/>
              </a:rPr>
              <a:t>Чистый денежный поток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C800FE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CashFlow!$F$2:$BM$2</c:f>
              <c:numCache>
                <c:formatCode>dd/mm/yy;@</c:formatCode>
                <c:ptCount val="60"/>
                <c:pt idx="0">
                  <c:v>44621</c:v>
                </c:pt>
                <c:pt idx="1">
                  <c:v>44652</c:v>
                </c:pt>
                <c:pt idx="2">
                  <c:v>44682</c:v>
                </c:pt>
                <c:pt idx="3">
                  <c:v>44713</c:v>
                </c:pt>
                <c:pt idx="4">
                  <c:v>44743</c:v>
                </c:pt>
                <c:pt idx="5">
                  <c:v>44774</c:v>
                </c:pt>
                <c:pt idx="6">
                  <c:v>44805</c:v>
                </c:pt>
                <c:pt idx="7">
                  <c:v>44835</c:v>
                </c:pt>
                <c:pt idx="8">
                  <c:v>44866</c:v>
                </c:pt>
                <c:pt idx="9">
                  <c:v>44896</c:v>
                </c:pt>
                <c:pt idx="10">
                  <c:v>44927</c:v>
                </c:pt>
                <c:pt idx="11">
                  <c:v>44958</c:v>
                </c:pt>
                <c:pt idx="12">
                  <c:v>44986</c:v>
                </c:pt>
                <c:pt idx="13">
                  <c:v>45017</c:v>
                </c:pt>
                <c:pt idx="14">
                  <c:v>45047</c:v>
                </c:pt>
                <c:pt idx="15">
                  <c:v>45078</c:v>
                </c:pt>
                <c:pt idx="16">
                  <c:v>45108</c:v>
                </c:pt>
                <c:pt idx="17">
                  <c:v>45139</c:v>
                </c:pt>
                <c:pt idx="18">
                  <c:v>45170</c:v>
                </c:pt>
                <c:pt idx="19">
                  <c:v>45200</c:v>
                </c:pt>
                <c:pt idx="20">
                  <c:v>45231</c:v>
                </c:pt>
                <c:pt idx="21">
                  <c:v>45261</c:v>
                </c:pt>
                <c:pt idx="22">
                  <c:v>45292</c:v>
                </c:pt>
                <c:pt idx="23">
                  <c:v>45323</c:v>
                </c:pt>
                <c:pt idx="24">
                  <c:v>45352</c:v>
                </c:pt>
                <c:pt idx="25">
                  <c:v>45383</c:v>
                </c:pt>
                <c:pt idx="26">
                  <c:v>45413</c:v>
                </c:pt>
                <c:pt idx="27">
                  <c:v>45444</c:v>
                </c:pt>
                <c:pt idx="28">
                  <c:v>45474</c:v>
                </c:pt>
                <c:pt idx="29">
                  <c:v>45505</c:v>
                </c:pt>
                <c:pt idx="30">
                  <c:v>45536</c:v>
                </c:pt>
                <c:pt idx="31">
                  <c:v>45566</c:v>
                </c:pt>
                <c:pt idx="32">
                  <c:v>45597</c:v>
                </c:pt>
                <c:pt idx="33">
                  <c:v>45627</c:v>
                </c:pt>
                <c:pt idx="34">
                  <c:v>45658</c:v>
                </c:pt>
                <c:pt idx="35">
                  <c:v>45689</c:v>
                </c:pt>
                <c:pt idx="36">
                  <c:v>45717</c:v>
                </c:pt>
                <c:pt idx="37">
                  <c:v>45748</c:v>
                </c:pt>
                <c:pt idx="38">
                  <c:v>45778</c:v>
                </c:pt>
                <c:pt idx="39">
                  <c:v>45809</c:v>
                </c:pt>
                <c:pt idx="40">
                  <c:v>45839</c:v>
                </c:pt>
                <c:pt idx="41">
                  <c:v>45870</c:v>
                </c:pt>
                <c:pt idx="42">
                  <c:v>45901</c:v>
                </c:pt>
                <c:pt idx="43">
                  <c:v>45931</c:v>
                </c:pt>
                <c:pt idx="44">
                  <c:v>45962</c:v>
                </c:pt>
                <c:pt idx="45">
                  <c:v>45992</c:v>
                </c:pt>
                <c:pt idx="46">
                  <c:v>46023</c:v>
                </c:pt>
                <c:pt idx="47">
                  <c:v>46054</c:v>
                </c:pt>
                <c:pt idx="48">
                  <c:v>46082</c:v>
                </c:pt>
                <c:pt idx="49">
                  <c:v>46113</c:v>
                </c:pt>
                <c:pt idx="50">
                  <c:v>46143</c:v>
                </c:pt>
                <c:pt idx="51">
                  <c:v>46174</c:v>
                </c:pt>
                <c:pt idx="52">
                  <c:v>46204</c:v>
                </c:pt>
                <c:pt idx="53">
                  <c:v>46235</c:v>
                </c:pt>
                <c:pt idx="54">
                  <c:v>46266</c:v>
                </c:pt>
                <c:pt idx="55">
                  <c:v>46296</c:v>
                </c:pt>
                <c:pt idx="56">
                  <c:v>46327</c:v>
                </c:pt>
                <c:pt idx="57">
                  <c:v>46357</c:v>
                </c:pt>
                <c:pt idx="58">
                  <c:v>46388</c:v>
                </c:pt>
                <c:pt idx="59">
                  <c:v>46419</c:v>
                </c:pt>
              </c:numCache>
            </c:numRef>
          </c:cat>
          <c:val>
            <c:numRef>
              <c:f>CashFlow!$F$32:$BM$32</c:f>
              <c:numCache>
                <c:formatCode>#,##0_);\(#,##0\)</c:formatCode>
                <c:ptCount val="60"/>
                <c:pt idx="0">
                  <c:v>-687000</c:v>
                </c:pt>
                <c:pt idx="1">
                  <c:v>-141866.70521875002</c:v>
                </c:pt>
                <c:pt idx="2">
                  <c:v>-142303.57536257815</c:v>
                </c:pt>
                <c:pt idx="3">
                  <c:v>-101476.12465498384</c:v>
                </c:pt>
                <c:pt idx="4">
                  <c:v>-91382.307098470221</c:v>
                </c:pt>
                <c:pt idx="5">
                  <c:v>-91605.394187402504</c:v>
                </c:pt>
                <c:pt idx="6">
                  <c:v>-91828.960782875452</c:v>
                </c:pt>
                <c:pt idx="7">
                  <c:v>-46703.909373013659</c:v>
                </c:pt>
                <c:pt idx="8">
                  <c:v>-46731.427270273889</c:v>
                </c:pt>
                <c:pt idx="9">
                  <c:v>18264.689903144383</c:v>
                </c:pt>
                <c:pt idx="10">
                  <c:v>-25020.197534764819</c:v>
                </c:pt>
                <c:pt idx="11">
                  <c:v>-24955.486886727522</c:v>
                </c:pt>
                <c:pt idx="12">
                  <c:v>40953.324616268044</c:v>
                </c:pt>
                <c:pt idx="13">
                  <c:v>89954.627437274816</c:v>
                </c:pt>
                <c:pt idx="14">
                  <c:v>62966.058491378179</c:v>
                </c:pt>
                <c:pt idx="15">
                  <c:v>146368.42675959613</c:v>
                </c:pt>
                <c:pt idx="16">
                  <c:v>63845.385132614974</c:v>
                </c:pt>
                <c:pt idx="17">
                  <c:v>36402.12849339503</c:v>
                </c:pt>
                <c:pt idx="18">
                  <c:v>120740.25964517485</c:v>
                </c:pt>
                <c:pt idx="19">
                  <c:v>149542.61640836965</c:v>
                </c:pt>
                <c:pt idx="20">
                  <c:v>206821.36653536829</c:v>
                </c:pt>
                <c:pt idx="21">
                  <c:v>321288.21881084831</c:v>
                </c:pt>
                <c:pt idx="22">
                  <c:v>9591.1243863498294</c:v>
                </c:pt>
                <c:pt idx="23">
                  <c:v>38404.065179133911</c:v>
                </c:pt>
                <c:pt idx="24">
                  <c:v>88608.608887944196</c:v>
                </c:pt>
                <c:pt idx="25">
                  <c:v>146881.20657002373</c:v>
                </c:pt>
                <c:pt idx="26">
                  <c:v>89823.932229213737</c:v>
                </c:pt>
                <c:pt idx="27">
                  <c:v>148586.39779773276</c:v>
                </c:pt>
                <c:pt idx="28">
                  <c:v>32659.143066423116</c:v>
                </c:pt>
                <c:pt idx="29">
                  <c:v>-25603.33420266254</c:v>
                </c:pt>
                <c:pt idx="30">
                  <c:v>92293.766608153775</c:v>
                </c:pt>
                <c:pt idx="31">
                  <c:v>92919.482892242246</c:v>
                </c:pt>
                <c:pt idx="32">
                  <c:v>152924.68565572309</c:v>
                </c:pt>
                <c:pt idx="33">
                  <c:v>273054.37402678514</c:v>
                </c:pt>
                <c:pt idx="34">
                  <c:v>-54867.900122648272</c:v>
                </c:pt>
                <c:pt idx="35">
                  <c:v>-24792.636752256221</c:v>
                </c:pt>
                <c:pt idx="36">
                  <c:v>96098.423898393346</c:v>
                </c:pt>
                <c:pt idx="37">
                  <c:v>157372.60970386615</c:v>
                </c:pt>
                <c:pt idx="38">
                  <c:v>97393.809395105825</c:v>
                </c:pt>
                <c:pt idx="39">
                  <c:v>98046.670776183077</c:v>
                </c:pt>
                <c:pt idx="40">
                  <c:v>37310.926480236609</c:v>
                </c:pt>
                <c:pt idx="41">
                  <c:v>-23934.837233381768</c:v>
                </c:pt>
                <c:pt idx="42">
                  <c:v>100026.13207361019</c:v>
                </c:pt>
                <c:pt idx="43">
                  <c:v>100692.96830122554</c:v>
                </c:pt>
                <c:pt idx="44">
                  <c:v>163788.87983741827</c:v>
                </c:pt>
                <c:pt idx="45">
                  <c:v>290097.09739337314</c:v>
                </c:pt>
                <c:pt idx="46">
                  <c:v>-54657.165462683006</c:v>
                </c:pt>
                <c:pt idx="47">
                  <c:v>-23028.208856249355</c:v>
                </c:pt>
                <c:pt idx="48">
                  <c:v>104080.54290140404</c:v>
                </c:pt>
                <c:pt idx="49">
                  <c:v>168510.70884988733</c:v>
                </c:pt>
                <c:pt idx="50">
                  <c:v>105460.81530333568</c:v>
                </c:pt>
                <c:pt idx="51">
                  <c:v>106156.43113120159</c:v>
                </c:pt>
                <c:pt idx="52">
                  <c:v>42310.810904466402</c:v>
                </c:pt>
                <c:pt idx="53">
                  <c:v>-22070.970381179166</c:v>
                </c:pt>
                <c:pt idx="54">
                  <c:v>108265.41135624173</c:v>
                </c:pt>
                <c:pt idx="55">
                  <c:v>108975.84233948459</c:v>
                </c:pt>
                <c:pt idx="56">
                  <c:v>175321.43369489638</c:v>
                </c:pt>
                <c:pt idx="57">
                  <c:v>308125.60844357806</c:v>
                </c:pt>
                <c:pt idx="58">
                  <c:v>-54324.034801717062</c:v>
                </c:pt>
                <c:pt idx="59">
                  <c:v>-21061.284524724721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56-4964-B972-62C20ACC3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888384"/>
        <c:axId val="596891008"/>
      </c:lineChart>
      <c:dateAx>
        <c:axId val="596888384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j-lt"/>
                <a:ea typeface="+mn-ea"/>
                <a:cs typeface="+mn-cs"/>
              </a:defRPr>
            </a:pPr>
            <a:endParaRPr lang="ru-RU"/>
          </a:p>
        </c:txPr>
        <c:crossAx val="596891008"/>
        <c:crosses val="autoZero"/>
        <c:auto val="1"/>
        <c:lblOffset val="100"/>
        <c:baseTimeUnit val="months"/>
      </c:dateAx>
      <c:valAx>
        <c:axId val="59689100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  <a:latin typeface="+mj-lt"/>
                <a:ea typeface="+mn-ea"/>
                <a:cs typeface="+mn-cs"/>
              </a:defRPr>
            </a:pPr>
            <a:endParaRPr lang="ru-RU"/>
          </a:p>
        </c:txPr>
        <c:crossAx val="5968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 dpi="0" rotWithShape="1">
      <a:blip xmlns:r="http://schemas.openxmlformats.org/officeDocument/2006/relationships" r:embed="rId3"/>
      <a:srcRect/>
      <a:tile tx="0" ty="-127000" sx="60000" sy="60000" flip="none" algn="ctr"/>
    </a:blipFill>
    <a:ln w="3175" cap="flat" cmpd="sng" algn="ctr">
      <a:solidFill>
        <a:srgbClr val="C800FE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14</xdr:row>
      <xdr:rowOff>0</xdr:rowOff>
    </xdr:from>
    <xdr:to>
      <xdr:col>11</xdr:col>
      <xdr:colOff>1</xdr:colOff>
      <xdr:row>24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14</xdr:row>
      <xdr:rowOff>6350</xdr:rowOff>
    </xdr:from>
    <xdr:to>
      <xdr:col>17</xdr:col>
      <xdr:colOff>0</xdr:colOff>
      <xdr:row>24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14</xdr:row>
      <xdr:rowOff>0</xdr:rowOff>
    </xdr:from>
    <xdr:to>
      <xdr:col>4</xdr:col>
      <xdr:colOff>568081</xdr:colOff>
      <xdr:row>24</xdr:row>
      <xdr:rowOff>6349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06650"/>
          <a:ext cx="3171581" cy="184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showGridLines="0" zoomScaleNormal="100" workbookViewId="0">
      <selection activeCell="I44" sqref="I44"/>
    </sheetView>
  </sheetViews>
  <sheetFormatPr defaultRowHeight="14.5" x14ac:dyDescent="0.35"/>
  <cols>
    <col min="1" max="1" width="3.6328125" style="1" customWidth="1"/>
    <col min="2" max="2" width="8.7265625" style="1" customWidth="1"/>
    <col min="3" max="3" width="19.1796875" style="1" customWidth="1"/>
    <col min="4" max="4" width="9.36328125" style="1" customWidth="1"/>
    <col min="5" max="5" width="8.7265625" style="1" customWidth="1"/>
    <col min="6" max="6" width="9.36328125" style="1" bestFit="1" customWidth="1"/>
    <col min="7" max="7" width="10.1796875" style="1" customWidth="1"/>
    <col min="8" max="9" width="9.90625" style="1" customWidth="1"/>
    <col min="10" max="10" width="10" style="1" customWidth="1"/>
    <col min="11" max="13" width="9.36328125" style="1" bestFit="1" customWidth="1"/>
    <col min="14" max="14" width="9.453125" style="1" bestFit="1" customWidth="1"/>
    <col min="15" max="15" width="10.453125" style="1" customWidth="1"/>
    <col min="16" max="16" width="9.36328125" style="1" bestFit="1" customWidth="1"/>
    <col min="17" max="17" width="10.08984375" style="1" customWidth="1"/>
    <col min="18" max="19" width="9.36328125" style="1" bestFit="1" customWidth="1"/>
    <col min="20" max="16384" width="8.7265625" style="1"/>
  </cols>
  <sheetData>
    <row r="2" spans="1:17" ht="15.5" customHeight="1" x14ac:dyDescent="0.35">
      <c r="C2" s="42" t="s">
        <v>117</v>
      </c>
      <c r="D2" s="42"/>
    </row>
    <row r="4" spans="1:17" x14ac:dyDescent="0.35">
      <c r="B4" s="47"/>
      <c r="C4" s="77" t="s">
        <v>118</v>
      </c>
      <c r="D4" s="77"/>
      <c r="E4" s="47"/>
      <c r="G4" s="47"/>
      <c r="H4" s="76" t="s">
        <v>124</v>
      </c>
      <c r="I4" s="76"/>
      <c r="J4" s="76"/>
      <c r="K4" s="47"/>
      <c r="M4" s="47"/>
      <c r="N4" s="77" t="s">
        <v>123</v>
      </c>
      <c r="O4" s="77"/>
      <c r="P4" s="77"/>
      <c r="Q4" s="47"/>
    </row>
    <row r="5" spans="1:17" x14ac:dyDescent="0.35">
      <c r="A5" s="48"/>
      <c r="C5" s="77"/>
      <c r="D5" s="77"/>
      <c r="E5" s="48"/>
      <c r="F5" s="52"/>
      <c r="H5" s="76"/>
      <c r="I5" s="76"/>
      <c r="J5" s="76"/>
      <c r="K5" s="48"/>
      <c r="L5" s="52"/>
      <c r="N5" s="77"/>
      <c r="O5" s="77"/>
      <c r="P5" s="77"/>
      <c r="Q5" s="48"/>
    </row>
    <row r="6" spans="1:17" x14ac:dyDescent="0.35">
      <c r="A6" s="48"/>
      <c r="F6" s="52"/>
      <c r="L6" s="52"/>
      <c r="P6" s="7"/>
      <c r="Q6" s="50"/>
    </row>
    <row r="7" spans="1:17" x14ac:dyDescent="0.35">
      <c r="A7" s="48"/>
      <c r="C7" s="1" t="s">
        <v>127</v>
      </c>
      <c r="D7" s="20" t="s">
        <v>171</v>
      </c>
      <c r="F7" s="52"/>
      <c r="I7" s="7" t="s">
        <v>36</v>
      </c>
      <c r="J7" s="56">
        <f>J8+J9</f>
        <v>1925263.4760306289</v>
      </c>
      <c r="L7" s="52"/>
      <c r="P7" s="7" t="s">
        <v>98</v>
      </c>
      <c r="Q7" s="53">
        <f>CashFlow!D32</f>
        <v>2995714.5516097243</v>
      </c>
    </row>
    <row r="8" spans="1:17" x14ac:dyDescent="0.35">
      <c r="A8" s="48"/>
      <c r="C8" s="7" t="s">
        <v>119</v>
      </c>
      <c r="D8" s="55">
        <v>3</v>
      </c>
      <c r="F8" s="52"/>
      <c r="I8" s="7" t="s">
        <v>125</v>
      </c>
      <c r="J8" s="56">
        <f>'Входящие данные'!C11</f>
        <v>500000</v>
      </c>
      <c r="L8" s="52"/>
      <c r="M8" s="75" t="s">
        <v>166</v>
      </c>
      <c r="N8" s="75"/>
      <c r="O8" s="75"/>
      <c r="P8" s="75"/>
      <c r="Q8" s="53">
        <f>CashFlow!D36</f>
        <v>1004190.7155174469</v>
      </c>
    </row>
    <row r="9" spans="1:17" x14ac:dyDescent="0.35">
      <c r="A9" s="48"/>
      <c r="C9" s="7" t="s">
        <v>120</v>
      </c>
      <c r="D9" s="55">
        <v>5</v>
      </c>
      <c r="F9" s="52"/>
      <c r="I9" s="7" t="s">
        <v>114</v>
      </c>
      <c r="J9" s="56">
        <f>Кредит!E8</f>
        <v>1425263.4760306289</v>
      </c>
      <c r="L9" s="52"/>
      <c r="P9" s="7" t="s">
        <v>99</v>
      </c>
      <c r="Q9" s="54">
        <f>CashFlow!D38</f>
        <v>0.57722875475883484</v>
      </c>
    </row>
    <row r="10" spans="1:17" x14ac:dyDescent="0.35">
      <c r="A10" s="48"/>
      <c r="C10" s="7" t="s">
        <v>121</v>
      </c>
      <c r="D10" s="55" t="s">
        <v>122</v>
      </c>
      <c r="E10" s="48"/>
      <c r="F10" s="52"/>
      <c r="I10" s="7" t="s">
        <v>126</v>
      </c>
      <c r="J10" s="57">
        <f>Кредит!C4</f>
        <v>0.19</v>
      </c>
      <c r="K10" s="48"/>
      <c r="L10" s="52"/>
      <c r="P10" s="7" t="s">
        <v>132</v>
      </c>
      <c r="Q10" s="53">
        <f>CashFlow!D40</f>
        <v>26.019736842105264</v>
      </c>
    </row>
    <row r="11" spans="1:17" x14ac:dyDescent="0.35">
      <c r="A11" s="48"/>
      <c r="C11" s="7" t="s">
        <v>179</v>
      </c>
      <c r="D11" s="55">
        <v>30</v>
      </c>
      <c r="E11" s="48"/>
      <c r="F11" s="52"/>
      <c r="I11" s="7"/>
      <c r="J11" s="57"/>
      <c r="K11" s="48"/>
      <c r="L11" s="52"/>
      <c r="P11" s="7" t="s">
        <v>165</v>
      </c>
      <c r="Q11" s="53">
        <f>CashFlow!D42</f>
        <v>477332.84313725488</v>
      </c>
    </row>
    <row r="12" spans="1:17" ht="29" customHeight="1" x14ac:dyDescent="0.35">
      <c r="A12" s="48"/>
      <c r="C12" s="7" t="s">
        <v>180</v>
      </c>
      <c r="D12" s="68" t="s">
        <v>181</v>
      </c>
      <c r="E12" s="48"/>
      <c r="F12" s="52"/>
      <c r="I12" s="7"/>
      <c r="J12" s="57"/>
      <c r="K12" s="48"/>
      <c r="L12" s="52"/>
      <c r="M12" s="78" t="s">
        <v>183</v>
      </c>
      <c r="N12" s="75"/>
      <c r="O12" s="75"/>
      <c r="P12" s="75"/>
      <c r="Q12" s="53">
        <f>CashFlow!D44</f>
        <v>51558.564579929385</v>
      </c>
    </row>
    <row r="13" spans="1:17" x14ac:dyDescent="0.35">
      <c r="A13" s="48"/>
      <c r="B13" s="49"/>
      <c r="C13" s="47"/>
      <c r="D13" s="47"/>
      <c r="E13" s="51"/>
      <c r="F13" s="52"/>
      <c r="G13" s="49"/>
      <c r="H13" s="47"/>
      <c r="I13" s="47"/>
      <c r="J13" s="47"/>
      <c r="K13" s="51"/>
      <c r="L13" s="52"/>
      <c r="M13" s="49"/>
      <c r="N13" s="47"/>
      <c r="O13" s="47"/>
      <c r="P13" s="47"/>
      <c r="Q13" s="51"/>
    </row>
    <row r="26" spans="1:17" x14ac:dyDescent="0.35">
      <c r="B26" s="47"/>
      <c r="C26" s="76" t="s">
        <v>133</v>
      </c>
      <c r="D26" s="76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1:17" x14ac:dyDescent="0.35">
      <c r="A27" s="48"/>
      <c r="B27" s="43">
        <v>0</v>
      </c>
      <c r="C27" s="76"/>
      <c r="D27" s="76"/>
      <c r="Q27" s="66"/>
    </row>
    <row r="28" spans="1:17" x14ac:dyDescent="0.35">
      <c r="A28" s="48"/>
      <c r="C28" s="46" t="s">
        <v>134</v>
      </c>
      <c r="D28" s="46"/>
      <c r="G28" s="6">
        <v>-0.25</v>
      </c>
      <c r="H28" s="6">
        <v>-0.2</v>
      </c>
      <c r="I28" s="6">
        <v>-0.15</v>
      </c>
      <c r="J28" s="6">
        <v>-0.1</v>
      </c>
      <c r="K28" s="6">
        <v>-0.05</v>
      </c>
      <c r="L28" s="81">
        <v>0</v>
      </c>
      <c r="M28" s="6">
        <v>0.05</v>
      </c>
      <c r="N28" s="6">
        <v>0.1</v>
      </c>
      <c r="O28" s="6">
        <v>0.15</v>
      </c>
      <c r="P28" s="6">
        <v>0.2</v>
      </c>
      <c r="Q28" s="54">
        <v>0.25</v>
      </c>
    </row>
    <row r="29" spans="1:17" x14ac:dyDescent="0.35">
      <c r="A29" s="48"/>
      <c r="E29" s="7" t="s">
        <v>98</v>
      </c>
      <c r="F29" s="43">
        <f>Q7</f>
        <v>2995714.5516097243</v>
      </c>
      <c r="G29" s="11">
        <f t="dataTable" ref="G29:Q33" dt2D="0" dtr="1" r1="B27" ca="1"/>
        <v>-1391321.8771050062</v>
      </c>
      <c r="H29" s="11">
        <v>-513914.5913620597</v>
      </c>
      <c r="I29" s="11">
        <v>363492.69438088784</v>
      </c>
      <c r="J29" s="11">
        <v>1240899.9801238333</v>
      </c>
      <c r="K29" s="11">
        <v>2118307.2658667774</v>
      </c>
      <c r="L29" s="82">
        <v>2995714.5516097243</v>
      </c>
      <c r="M29" s="11">
        <v>3873121.8373526707</v>
      </c>
      <c r="N29" s="11">
        <v>4750529.1230956186</v>
      </c>
      <c r="O29" s="11">
        <v>5627936.4088385608</v>
      </c>
      <c r="P29" s="11">
        <v>6505343.6945815058</v>
      </c>
      <c r="Q29" s="53">
        <v>7382750.9803244527</v>
      </c>
    </row>
    <row r="30" spans="1:17" x14ac:dyDescent="0.35">
      <c r="A30" s="48"/>
      <c r="C30" s="3"/>
      <c r="D30" s="3"/>
      <c r="E30" s="7" t="s">
        <v>128</v>
      </c>
      <c r="F30" s="43">
        <f>Q8</f>
        <v>1004190.7155174469</v>
      </c>
      <c r="G30" s="11">
        <v>-1380036.1504050409</v>
      </c>
      <c r="H30" s="11">
        <v>-903190.77722054394</v>
      </c>
      <c r="I30" s="11">
        <v>-426345.40403604566</v>
      </c>
      <c r="J30" s="11">
        <v>50499.969148452772</v>
      </c>
      <c r="K30" s="11">
        <v>527345.34233294951</v>
      </c>
      <c r="L30" s="82">
        <v>1004190.7155174469</v>
      </c>
      <c r="M30" s="11">
        <v>1481036.088701946</v>
      </c>
      <c r="N30" s="11">
        <v>1957881.4618864444</v>
      </c>
      <c r="O30" s="11">
        <v>2434726.8350709411</v>
      </c>
      <c r="P30" s="11">
        <v>2911572.2082554386</v>
      </c>
      <c r="Q30" s="53">
        <v>3388417.581439937</v>
      </c>
    </row>
    <row r="31" spans="1:17" x14ac:dyDescent="0.35">
      <c r="A31" s="48"/>
      <c r="C31" s="3"/>
      <c r="D31" s="3"/>
      <c r="E31" s="7" t="s">
        <v>99</v>
      </c>
      <c r="F31" s="44">
        <f>Q9</f>
        <v>0.57722875475883484</v>
      </c>
      <c r="G31" s="4">
        <v>2.9802322387695314E-9</v>
      </c>
      <c r="H31" s="4">
        <v>-0.14678377695381639</v>
      </c>
      <c r="I31" s="4">
        <v>8.6704692244529744E-2</v>
      </c>
      <c r="J31" s="4">
        <v>0.26797351241111755</v>
      </c>
      <c r="K31" s="4">
        <v>0.42813239693641658</v>
      </c>
      <c r="L31" s="83">
        <v>0.57722875475883484</v>
      </c>
      <c r="M31" s="4">
        <v>0.71994758844375606</v>
      </c>
      <c r="N31" s="4">
        <v>0.85889972448349017</v>
      </c>
      <c r="O31" s="4">
        <v>0.99570814371109018</v>
      </c>
      <c r="P31" s="4">
        <v>1.1314603447914124</v>
      </c>
      <c r="Q31" s="58">
        <v>1.2669266819953922</v>
      </c>
    </row>
    <row r="32" spans="1:17" s="3" customFormat="1" x14ac:dyDescent="0.35">
      <c r="A32" s="59"/>
      <c r="E32" s="7" t="s">
        <v>132</v>
      </c>
      <c r="F32" s="60">
        <f>Q10</f>
        <v>26.019736842105264</v>
      </c>
      <c r="G32" s="61" t="str">
        <v>не окуп</v>
      </c>
      <c r="H32" s="61" t="str">
        <v>не окуп</v>
      </c>
      <c r="I32" s="61">
        <v>50.03289473684211</v>
      </c>
      <c r="J32" s="61">
        <v>37.039473684210527</v>
      </c>
      <c r="K32" s="61">
        <v>31.05263157894737</v>
      </c>
      <c r="L32" s="84">
        <v>26.019736842105264</v>
      </c>
      <c r="M32" s="61">
        <v>24.013157894736842</v>
      </c>
      <c r="N32" s="61">
        <v>22.039473684210527</v>
      </c>
      <c r="O32" s="61">
        <v>22.039473684210527</v>
      </c>
      <c r="P32" s="61">
        <v>21.019736842105264</v>
      </c>
      <c r="Q32" s="62">
        <v>20.032894736842106</v>
      </c>
    </row>
    <row r="33" spans="1:18" x14ac:dyDescent="0.35">
      <c r="A33" s="48"/>
      <c r="B33" s="75" t="s">
        <v>183</v>
      </c>
      <c r="C33" s="75"/>
      <c r="D33" s="75"/>
      <c r="E33" s="75"/>
      <c r="F33" s="43">
        <f>Q12</f>
        <v>51558.564579929385</v>
      </c>
      <c r="G33" s="11">
        <v>11427.517453398381</v>
      </c>
      <c r="H33" s="11">
        <v>16356.862972887688</v>
      </c>
      <c r="I33" s="11">
        <v>23335.73600953383</v>
      </c>
      <c r="J33" s="11">
        <v>32453.754405273397</v>
      </c>
      <c r="K33" s="11">
        <v>41839.623197294059</v>
      </c>
      <c r="L33" s="82">
        <v>51558.564579929385</v>
      </c>
      <c r="M33" s="11">
        <v>63171.602753240288</v>
      </c>
      <c r="N33" s="11">
        <v>75876.989870448524</v>
      </c>
      <c r="O33" s="11">
        <v>88380.07439207322</v>
      </c>
      <c r="P33" s="11">
        <v>100742.68916074076</v>
      </c>
      <c r="Q33" s="53">
        <v>112972.24262726317</v>
      </c>
    </row>
    <row r="34" spans="1:18" x14ac:dyDescent="0.35">
      <c r="A34" s="48"/>
      <c r="B34" s="43">
        <v>0</v>
      </c>
      <c r="C34" s="11"/>
      <c r="D34" s="11"/>
      <c r="E34" s="11"/>
      <c r="F34" s="45"/>
      <c r="L34" s="85"/>
      <c r="Q34" s="48"/>
    </row>
    <row r="35" spans="1:18" x14ac:dyDescent="0.35">
      <c r="A35" s="48"/>
      <c r="C35" s="46" t="s">
        <v>135</v>
      </c>
      <c r="D35" s="46"/>
      <c r="F35" s="45"/>
      <c r="G35" s="6">
        <v>-0.25</v>
      </c>
      <c r="H35" s="6">
        <v>-0.2</v>
      </c>
      <c r="I35" s="6">
        <v>-0.15</v>
      </c>
      <c r="J35" s="6">
        <v>-0.1</v>
      </c>
      <c r="K35" s="6">
        <v>-0.05</v>
      </c>
      <c r="L35" s="81">
        <v>0</v>
      </c>
      <c r="M35" s="6">
        <v>0.05</v>
      </c>
      <c r="N35" s="6">
        <v>0.1</v>
      </c>
      <c r="O35" s="6">
        <v>0.15</v>
      </c>
      <c r="P35" s="6">
        <v>0.2</v>
      </c>
      <c r="Q35" s="54">
        <v>0.25</v>
      </c>
    </row>
    <row r="36" spans="1:18" x14ac:dyDescent="0.35">
      <c r="A36" s="48"/>
      <c r="E36" s="7" t="s">
        <v>98</v>
      </c>
      <c r="F36" s="43">
        <f>Q7</f>
        <v>2995714.5516097243</v>
      </c>
      <c r="G36" s="11">
        <f t="dataTable" ref="G36:Q40" dt2D="0" dtr="1" r1="B34" ca="1"/>
        <v>-1476850.0587718755</v>
      </c>
      <c r="H36" s="11">
        <v>-582337.13669555262</v>
      </c>
      <c r="I36" s="11">
        <v>312175.78538076393</v>
      </c>
      <c r="J36" s="11">
        <v>1206688.7074570875</v>
      </c>
      <c r="K36" s="11">
        <v>2101201.6295334054</v>
      </c>
      <c r="L36" s="82">
        <v>2995714.5516097243</v>
      </c>
      <c r="M36" s="11">
        <v>3890227.473686046</v>
      </c>
      <c r="N36" s="11">
        <v>4784740.3957623616</v>
      </c>
      <c r="O36" s="11">
        <v>5679253.3178386828</v>
      </c>
      <c r="P36" s="11">
        <v>6573766.2399150021</v>
      </c>
      <c r="Q36" s="53">
        <v>7468279.1619913224</v>
      </c>
    </row>
    <row r="37" spans="1:18" x14ac:dyDescent="0.35">
      <c r="A37" s="48"/>
      <c r="C37" s="3"/>
      <c r="D37" s="3"/>
      <c r="E37" s="7" t="s">
        <v>128</v>
      </c>
      <c r="F37" s="43">
        <f>Q8</f>
        <v>1004190.7155174469</v>
      </c>
      <c r="G37" s="11">
        <v>-1427918.3627689376</v>
      </c>
      <c r="H37" s="11">
        <v>-941496.54711165815</v>
      </c>
      <c r="I37" s="11">
        <v>-455074.73145438358</v>
      </c>
      <c r="J37" s="11">
        <v>31347.084202895159</v>
      </c>
      <c r="K37" s="11">
        <v>517768.89986017119</v>
      </c>
      <c r="L37" s="82">
        <v>1004190.7155174469</v>
      </c>
      <c r="M37" s="11">
        <v>1490612.5311747261</v>
      </c>
      <c r="N37" s="11">
        <v>1977034.3468320004</v>
      </c>
      <c r="O37" s="11">
        <v>2463456.1624892792</v>
      </c>
      <c r="P37" s="11">
        <v>2949877.978146553</v>
      </c>
      <c r="Q37" s="53">
        <v>3436299.7938038306</v>
      </c>
    </row>
    <row r="38" spans="1:18" x14ac:dyDescent="0.35">
      <c r="A38" s="48"/>
      <c r="C38" s="3"/>
      <c r="D38" s="3"/>
      <c r="E38" s="7" t="s">
        <v>99</v>
      </c>
      <c r="F38" s="44">
        <f>Q9</f>
        <v>0.57722875475883484</v>
      </c>
      <c r="G38" s="4">
        <v>2.9802322387695314E-9</v>
      </c>
      <c r="H38" s="4">
        <v>-0.1695671107620001</v>
      </c>
      <c r="I38" s="4">
        <v>7.4920681118965174E-2</v>
      </c>
      <c r="J38" s="4">
        <v>0.26118996739387512</v>
      </c>
      <c r="K38" s="4">
        <v>0.42497984766960151</v>
      </c>
      <c r="L38" s="83">
        <v>0.57722875475883484</v>
      </c>
      <c r="M38" s="4">
        <v>0.72293127775192279</v>
      </c>
      <c r="N38" s="4">
        <v>0.86483908891677874</v>
      </c>
      <c r="O38" s="4">
        <v>1.0046507954597474</v>
      </c>
      <c r="P38" s="4">
        <v>1.1434995293617252</v>
      </c>
      <c r="Q38" s="58">
        <v>1.2821858763694769</v>
      </c>
    </row>
    <row r="39" spans="1:18" s="3" customFormat="1" x14ac:dyDescent="0.35">
      <c r="A39" s="59"/>
      <c r="E39" s="7" t="s">
        <v>132</v>
      </c>
      <c r="F39" s="60">
        <f>Q10</f>
        <v>26.019736842105264</v>
      </c>
      <c r="G39" s="61" t="str">
        <v>не окуп</v>
      </c>
      <c r="H39" s="61" t="str">
        <v>не окуп</v>
      </c>
      <c r="I39" s="61">
        <v>50.03289473684211</v>
      </c>
      <c r="J39" s="61">
        <v>38.026315789473685</v>
      </c>
      <c r="K39" s="61">
        <v>31.05263157894737</v>
      </c>
      <c r="L39" s="84">
        <v>26.019736842105264</v>
      </c>
      <c r="M39" s="61">
        <v>24.013157894736842</v>
      </c>
      <c r="N39" s="61">
        <v>22.039473684210527</v>
      </c>
      <c r="O39" s="61">
        <v>21.019736842105264</v>
      </c>
      <c r="P39" s="61">
        <v>21.019736842105264</v>
      </c>
      <c r="Q39" s="62">
        <v>20.032894736842106</v>
      </c>
    </row>
    <row r="40" spans="1:18" x14ac:dyDescent="0.35">
      <c r="A40" s="48"/>
      <c r="B40" s="75" t="s">
        <v>183</v>
      </c>
      <c r="C40" s="75"/>
      <c r="D40" s="75"/>
      <c r="E40" s="75"/>
      <c r="F40" s="43">
        <f>Q12</f>
        <v>51558.564579929385</v>
      </c>
      <c r="G40" s="11">
        <v>10967.030780565001</v>
      </c>
      <c r="H40" s="11">
        <v>15986.896294849952</v>
      </c>
      <c r="I40" s="11">
        <v>22831.310742732905</v>
      </c>
      <c r="J40" s="11">
        <v>32103.279835704183</v>
      </c>
      <c r="K40" s="11">
        <v>41664.385912509482</v>
      </c>
      <c r="L40" s="82">
        <v>51558.564579929385</v>
      </c>
      <c r="M40" s="11">
        <v>63464.711065935517</v>
      </c>
      <c r="N40" s="11">
        <v>76383.777142488543</v>
      </c>
      <c r="O40" s="11">
        <v>89144.03814389628</v>
      </c>
      <c r="P40" s="11">
        <v>101605.56849076194</v>
      </c>
      <c r="Q40" s="53">
        <v>114261.74880260957</v>
      </c>
    </row>
    <row r="41" spans="1:18" x14ac:dyDescent="0.35">
      <c r="A41" s="48"/>
      <c r="B41" s="41"/>
      <c r="C41" s="41"/>
      <c r="D41" s="41"/>
      <c r="E41" s="41"/>
      <c r="F41" s="43"/>
      <c r="G41" s="11"/>
      <c r="H41" s="11"/>
      <c r="I41" s="11"/>
      <c r="J41" s="11"/>
      <c r="K41" s="11"/>
      <c r="L41" s="82"/>
      <c r="M41" s="11"/>
      <c r="N41" s="11"/>
      <c r="O41" s="11"/>
      <c r="P41" s="11"/>
      <c r="Q41" s="53"/>
    </row>
    <row r="42" spans="1:18" x14ac:dyDescent="0.35">
      <c r="A42" s="48"/>
      <c r="B42" s="43">
        <v>0</v>
      </c>
      <c r="C42" s="11"/>
      <c r="D42" s="11"/>
      <c r="E42" s="11"/>
      <c r="F42" s="11"/>
      <c r="G42" s="45"/>
      <c r="H42" s="64" t="s">
        <v>156</v>
      </c>
      <c r="I42" s="64" t="s">
        <v>157</v>
      </c>
      <c r="J42" s="64" t="s">
        <v>158</v>
      </c>
      <c r="K42" s="64" t="s">
        <v>160</v>
      </c>
      <c r="L42" s="86"/>
      <c r="M42" s="64" t="s">
        <v>161</v>
      </c>
      <c r="N42" s="64" t="s">
        <v>159</v>
      </c>
      <c r="O42" s="63"/>
      <c r="P42" s="63"/>
      <c r="R42" s="48"/>
    </row>
    <row r="43" spans="1:18" x14ac:dyDescent="0.35">
      <c r="A43" s="48"/>
      <c r="C43" s="46" t="s">
        <v>155</v>
      </c>
      <c r="D43" s="46"/>
      <c r="G43" s="45"/>
      <c r="H43" s="4">
        <v>-0.66666666666666696</v>
      </c>
      <c r="I43" s="4">
        <v>-0.5</v>
      </c>
      <c r="J43" s="4">
        <v>-0.33333333333333331</v>
      </c>
      <c r="K43" s="4">
        <f>-1/6</f>
        <v>-0.16666666666666666</v>
      </c>
      <c r="L43" s="83">
        <v>0</v>
      </c>
      <c r="M43" s="4">
        <f>1/6</f>
        <v>0.16666666666666666</v>
      </c>
      <c r="N43" s="4">
        <v>0.33333333333333298</v>
      </c>
      <c r="O43" s="4"/>
      <c r="P43" s="4"/>
      <c r="R43" s="48"/>
    </row>
    <row r="44" spans="1:18" x14ac:dyDescent="0.35">
      <c r="A44" s="48"/>
      <c r="E44" s="7" t="s">
        <v>98</v>
      </c>
      <c r="F44" s="7"/>
      <c r="G44" s="43">
        <f>Q7</f>
        <v>2995714.5516097243</v>
      </c>
      <c r="H44" s="11">
        <f t="dataTable" ref="H44:N48" dt2D="0" dtr="1" r1="B42"/>
        <v>-7929894.4495616127</v>
      </c>
      <c r="I44" s="11">
        <v>-5198492.199268776</v>
      </c>
      <c r="J44" s="11">
        <v>-2467089.9489759416</v>
      </c>
      <c r="K44" s="11">
        <v>264312.30131689226</v>
      </c>
      <c r="L44" s="82">
        <v>2995714.5516097243</v>
      </c>
      <c r="M44" s="11">
        <v>5727116.8019025568</v>
      </c>
      <c r="N44" s="11">
        <v>8458519.0521953832</v>
      </c>
      <c r="O44" s="11"/>
      <c r="P44" s="11"/>
      <c r="Q44" s="11"/>
      <c r="R44" s="53"/>
    </row>
    <row r="45" spans="1:18" x14ac:dyDescent="0.35">
      <c r="A45" s="48"/>
      <c r="C45" s="3"/>
      <c r="D45" s="3"/>
      <c r="E45" s="7" t="s">
        <v>128</v>
      </c>
      <c r="F45" s="7"/>
      <c r="G45" s="43">
        <f>Q8</f>
        <v>1004190.7155174469</v>
      </c>
      <c r="H45" s="11">
        <v>-4916215.0793322008</v>
      </c>
      <c r="I45" s="11">
        <v>-3436113.6306197867</v>
      </c>
      <c r="J45" s="11">
        <v>-1956012.1819073732</v>
      </c>
      <c r="K45" s="11">
        <v>-475910.73319496249</v>
      </c>
      <c r="L45" s="82">
        <v>1004190.7155174469</v>
      </c>
      <c r="M45" s="11">
        <v>2484292.1642298591</v>
      </c>
      <c r="N45" s="11">
        <v>3964393.6129422663</v>
      </c>
      <c r="O45" s="11"/>
      <c r="P45" s="11"/>
      <c r="Q45" s="11"/>
      <c r="R45" s="53"/>
    </row>
    <row r="46" spans="1:18" x14ac:dyDescent="0.35">
      <c r="A46" s="48"/>
      <c r="C46" s="3"/>
      <c r="D46" s="3"/>
      <c r="E46" s="7" t="s">
        <v>99</v>
      </c>
      <c r="F46" s="7"/>
      <c r="G46" s="44">
        <f>Q9</f>
        <v>0.57722875475883484</v>
      </c>
      <c r="H46" s="4" t="str">
        <v/>
      </c>
      <c r="I46" s="4">
        <v>2.9802322387695314E-9</v>
      </c>
      <c r="J46" s="4">
        <v>2.9802322387695314E-9</v>
      </c>
      <c r="K46" s="4">
        <v>6.443905532360078E-2</v>
      </c>
      <c r="L46" s="83">
        <v>0.57722875475883484</v>
      </c>
      <c r="M46" s="4">
        <v>1.0060406804084778</v>
      </c>
      <c r="N46" s="4">
        <v>1.4196693778038028</v>
      </c>
      <c r="O46" s="4"/>
      <c r="P46" s="4"/>
      <c r="Q46" s="4"/>
      <c r="R46" s="58"/>
    </row>
    <row r="47" spans="1:18" s="3" customFormat="1" x14ac:dyDescent="0.35">
      <c r="A47" s="59"/>
      <c r="E47" s="7" t="s">
        <v>132</v>
      </c>
      <c r="F47" s="7"/>
      <c r="G47" s="60">
        <f>Q10</f>
        <v>26.019736842105264</v>
      </c>
      <c r="H47" s="61" t="str">
        <v>не окуп</v>
      </c>
      <c r="I47" s="61" t="str">
        <v>не окуп</v>
      </c>
      <c r="J47" s="61" t="str">
        <v>не окуп</v>
      </c>
      <c r="K47" s="61">
        <v>51.05263157894737</v>
      </c>
      <c r="L47" s="84">
        <v>26.019736842105264</v>
      </c>
      <c r="M47" s="61">
        <v>21.019736842105264</v>
      </c>
      <c r="N47" s="61">
        <v>20.032894736842106</v>
      </c>
      <c r="O47" s="61"/>
      <c r="P47" s="61"/>
      <c r="Q47" s="61"/>
      <c r="R47" s="62"/>
    </row>
    <row r="48" spans="1:18" x14ac:dyDescent="0.35">
      <c r="A48" s="48"/>
      <c r="B48" s="75" t="s">
        <v>183</v>
      </c>
      <c r="C48" s="75"/>
      <c r="D48" s="75"/>
      <c r="E48" s="75"/>
      <c r="F48" s="73"/>
      <c r="G48" s="43">
        <f>Q12</f>
        <v>51558.564579929385</v>
      </c>
      <c r="H48" s="11">
        <v>0</v>
      </c>
      <c r="I48" s="11">
        <v>593.81534512244082</v>
      </c>
      <c r="J48" s="11">
        <v>6065.9832256466043</v>
      </c>
      <c r="K48" s="11">
        <v>21880.388845100653</v>
      </c>
      <c r="L48" s="82">
        <v>51558.564579929385</v>
      </c>
      <c r="M48" s="11">
        <v>89826.151568698522</v>
      </c>
      <c r="N48" s="11">
        <v>129161.37974351113</v>
      </c>
      <c r="O48" s="11"/>
      <c r="P48" s="11"/>
      <c r="Q48" s="11"/>
      <c r="R48" s="53"/>
    </row>
    <row r="49" spans="1:17" x14ac:dyDescent="0.35">
      <c r="A49" s="48"/>
      <c r="B49" s="49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51"/>
    </row>
  </sheetData>
  <mergeCells count="9">
    <mergeCell ref="B48:E48"/>
    <mergeCell ref="H4:J5"/>
    <mergeCell ref="C4:D5"/>
    <mergeCell ref="N4:P5"/>
    <mergeCell ref="M12:P12"/>
    <mergeCell ref="B33:E33"/>
    <mergeCell ref="B40:E40"/>
    <mergeCell ref="M8:P8"/>
    <mergeCell ref="C26:D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M44"/>
  <sheetViews>
    <sheetView showGridLines="0" tabSelected="1" workbookViewId="0">
      <selection activeCell="F32" sqref="F32"/>
    </sheetView>
  </sheetViews>
  <sheetFormatPr defaultRowHeight="14.5" x14ac:dyDescent="0.35"/>
  <cols>
    <col min="1" max="1" width="3.6328125" style="1" customWidth="1"/>
    <col min="2" max="2" width="42.90625" style="5" bestFit="1" customWidth="1"/>
    <col min="3" max="3" width="8.7265625" style="1"/>
    <col min="4" max="4" width="10.36328125" style="1" bestFit="1" customWidth="1"/>
    <col min="5" max="5" width="8.7265625" style="1"/>
    <col min="6" max="65" width="10.6328125" style="1" customWidth="1"/>
    <col min="66" max="16384" width="8.7265625" style="1"/>
  </cols>
  <sheetData>
    <row r="2" spans="2:65" x14ac:dyDescent="0.35">
      <c r="F2" s="2">
        <f>Старт</f>
        <v>44621</v>
      </c>
      <c r="G2" s="2">
        <f>EDATE(F2,1)</f>
        <v>44652</v>
      </c>
      <c r="H2" s="2">
        <f t="shared" ref="H2:Q2" si="0">EDATE(G2,1)</f>
        <v>44682</v>
      </c>
      <c r="I2" s="2">
        <f t="shared" si="0"/>
        <v>44713</v>
      </c>
      <c r="J2" s="2">
        <f t="shared" si="0"/>
        <v>44743</v>
      </c>
      <c r="K2" s="2">
        <f t="shared" si="0"/>
        <v>44774</v>
      </c>
      <c r="L2" s="2">
        <f t="shared" si="0"/>
        <v>44805</v>
      </c>
      <c r="M2" s="2">
        <f t="shared" si="0"/>
        <v>44835</v>
      </c>
      <c r="N2" s="2">
        <f t="shared" si="0"/>
        <v>44866</v>
      </c>
      <c r="O2" s="2">
        <f t="shared" si="0"/>
        <v>44896</v>
      </c>
      <c r="P2" s="2">
        <f t="shared" si="0"/>
        <v>44927</v>
      </c>
      <c r="Q2" s="2">
        <f t="shared" si="0"/>
        <v>44958</v>
      </c>
      <c r="R2" s="2">
        <f t="shared" ref="R2:AK2" si="1">EDATE(Q2,1)</f>
        <v>44986</v>
      </c>
      <c r="S2" s="2">
        <f t="shared" si="1"/>
        <v>45017</v>
      </c>
      <c r="T2" s="2">
        <f t="shared" si="1"/>
        <v>45047</v>
      </c>
      <c r="U2" s="2">
        <f t="shared" si="1"/>
        <v>45078</v>
      </c>
      <c r="V2" s="2">
        <f t="shared" si="1"/>
        <v>45108</v>
      </c>
      <c r="W2" s="2">
        <f t="shared" si="1"/>
        <v>45139</v>
      </c>
      <c r="X2" s="2">
        <f t="shared" si="1"/>
        <v>45170</v>
      </c>
      <c r="Y2" s="2">
        <f t="shared" si="1"/>
        <v>45200</v>
      </c>
      <c r="Z2" s="2">
        <f t="shared" si="1"/>
        <v>45231</v>
      </c>
      <c r="AA2" s="2">
        <f t="shared" si="1"/>
        <v>45261</v>
      </c>
      <c r="AB2" s="2">
        <f t="shared" si="1"/>
        <v>45292</v>
      </c>
      <c r="AC2" s="2">
        <f t="shared" si="1"/>
        <v>45323</v>
      </c>
      <c r="AD2" s="2">
        <f t="shared" si="1"/>
        <v>45352</v>
      </c>
      <c r="AE2" s="2">
        <f t="shared" si="1"/>
        <v>45383</v>
      </c>
      <c r="AF2" s="2">
        <f t="shared" si="1"/>
        <v>45413</v>
      </c>
      <c r="AG2" s="2">
        <f t="shared" si="1"/>
        <v>45444</v>
      </c>
      <c r="AH2" s="2">
        <f t="shared" si="1"/>
        <v>45474</v>
      </c>
      <c r="AI2" s="2">
        <f t="shared" si="1"/>
        <v>45505</v>
      </c>
      <c r="AJ2" s="2">
        <f t="shared" si="1"/>
        <v>45536</v>
      </c>
      <c r="AK2" s="2">
        <f t="shared" si="1"/>
        <v>45566</v>
      </c>
      <c r="AL2" s="2">
        <f t="shared" ref="AL2:AO2" si="2">EDATE(AK2,1)</f>
        <v>45597</v>
      </c>
      <c r="AM2" s="2">
        <f t="shared" si="2"/>
        <v>45627</v>
      </c>
      <c r="AN2" s="2">
        <f t="shared" si="2"/>
        <v>45658</v>
      </c>
      <c r="AO2" s="2">
        <f t="shared" si="2"/>
        <v>45689</v>
      </c>
      <c r="AP2" s="2">
        <f t="shared" ref="AP2" si="3">EDATE(AO2,1)</f>
        <v>45717</v>
      </c>
      <c r="AQ2" s="2">
        <f t="shared" ref="AQ2" si="4">EDATE(AP2,1)</f>
        <v>45748</v>
      </c>
      <c r="AR2" s="2">
        <f t="shared" ref="AR2" si="5">EDATE(AQ2,1)</f>
        <v>45778</v>
      </c>
      <c r="AS2" s="2">
        <f t="shared" ref="AS2" si="6">EDATE(AR2,1)</f>
        <v>45809</v>
      </c>
      <c r="AT2" s="2">
        <f t="shared" ref="AT2" si="7">EDATE(AS2,1)</f>
        <v>45839</v>
      </c>
      <c r="AU2" s="2">
        <f t="shared" ref="AU2" si="8">EDATE(AT2,1)</f>
        <v>45870</v>
      </c>
      <c r="AV2" s="2">
        <f t="shared" ref="AV2" si="9">EDATE(AU2,1)</f>
        <v>45901</v>
      </c>
      <c r="AW2" s="2">
        <f t="shared" ref="AW2" si="10">EDATE(AV2,1)</f>
        <v>45931</v>
      </c>
      <c r="AX2" s="2">
        <f t="shared" ref="AX2" si="11">EDATE(AW2,1)</f>
        <v>45962</v>
      </c>
      <c r="AY2" s="2">
        <f t="shared" ref="AY2" si="12">EDATE(AX2,1)</f>
        <v>45992</v>
      </c>
      <c r="AZ2" s="2">
        <f t="shared" ref="AZ2" si="13">EDATE(AY2,1)</f>
        <v>46023</v>
      </c>
      <c r="BA2" s="2">
        <f t="shared" ref="BA2" si="14">EDATE(AZ2,1)</f>
        <v>46054</v>
      </c>
      <c r="BB2" s="2">
        <f t="shared" ref="BB2" si="15">EDATE(BA2,1)</f>
        <v>46082</v>
      </c>
      <c r="BC2" s="2">
        <f t="shared" ref="BC2" si="16">EDATE(BB2,1)</f>
        <v>46113</v>
      </c>
      <c r="BD2" s="2">
        <f t="shared" ref="BD2" si="17">EDATE(BC2,1)</f>
        <v>46143</v>
      </c>
      <c r="BE2" s="2">
        <f t="shared" ref="BE2" si="18">EDATE(BD2,1)</f>
        <v>46174</v>
      </c>
      <c r="BF2" s="2">
        <f t="shared" ref="BF2" si="19">EDATE(BE2,1)</f>
        <v>46204</v>
      </c>
      <c r="BG2" s="2">
        <f t="shared" ref="BG2" si="20">EDATE(BF2,1)</f>
        <v>46235</v>
      </c>
      <c r="BH2" s="2">
        <f t="shared" ref="BH2" si="21">EDATE(BG2,1)</f>
        <v>46266</v>
      </c>
      <c r="BI2" s="2">
        <f t="shared" ref="BI2" si="22">EDATE(BH2,1)</f>
        <v>46296</v>
      </c>
      <c r="BJ2" s="2">
        <f t="shared" ref="BJ2" si="23">EDATE(BI2,1)</f>
        <v>46327</v>
      </c>
      <c r="BK2" s="2">
        <f t="shared" ref="BK2" si="24">EDATE(BJ2,1)</f>
        <v>46357</v>
      </c>
      <c r="BL2" s="2">
        <f t="shared" ref="BL2" si="25">EDATE(BK2,1)</f>
        <v>46388</v>
      </c>
      <c r="BM2" s="2">
        <f t="shared" ref="BM2" si="26">EDATE(BL2,1)</f>
        <v>46419</v>
      </c>
    </row>
    <row r="3" spans="2:65" ht="14.5" customHeight="1" x14ac:dyDescent="0.35">
      <c r="B3" s="33" t="s">
        <v>100</v>
      </c>
      <c r="D3" s="20" t="s">
        <v>36</v>
      </c>
      <c r="F3" s="2">
        <f>EDATE(F2,1)-1</f>
        <v>44651</v>
      </c>
      <c r="G3" s="2">
        <f>EDATE(G2,1)-1</f>
        <v>44681</v>
      </c>
      <c r="H3" s="2">
        <f>EDATE(H2,1)-1</f>
        <v>44712</v>
      </c>
      <c r="I3" s="2">
        <f>EDATE(I2,1)-1</f>
        <v>44742</v>
      </c>
      <c r="J3" s="2">
        <f>EDATE(J2,1)-1</f>
        <v>44773</v>
      </c>
      <c r="K3" s="2">
        <f t="shared" ref="K3:M3" si="27">EDATE(K2,1)-1</f>
        <v>44804</v>
      </c>
      <c r="L3" s="2">
        <f t="shared" si="27"/>
        <v>44834</v>
      </c>
      <c r="M3" s="2">
        <f t="shared" si="27"/>
        <v>44865</v>
      </c>
      <c r="N3" s="2">
        <f>EDATE(N2,1)-1</f>
        <v>44895</v>
      </c>
      <c r="O3" s="2">
        <f t="shared" ref="O3:Q3" si="28">EDATE(O2,1)-1</f>
        <v>44926</v>
      </c>
      <c r="P3" s="2">
        <f t="shared" si="28"/>
        <v>44957</v>
      </c>
      <c r="Q3" s="2">
        <f t="shared" si="28"/>
        <v>44985</v>
      </c>
      <c r="R3" s="2">
        <f t="shared" ref="R3" si="29">EDATE(R2,1)-1</f>
        <v>45016</v>
      </c>
      <c r="S3" s="2">
        <f t="shared" ref="S3" si="30">EDATE(S2,1)-1</f>
        <v>45046</v>
      </c>
      <c r="T3" s="2">
        <f t="shared" ref="T3" si="31">EDATE(T2,1)-1</f>
        <v>45077</v>
      </c>
      <c r="U3" s="2">
        <f t="shared" ref="U3" si="32">EDATE(U2,1)-1</f>
        <v>45107</v>
      </c>
      <c r="V3" s="2">
        <f t="shared" ref="V3" si="33">EDATE(V2,1)-1</f>
        <v>45138</v>
      </c>
      <c r="W3" s="2">
        <f t="shared" ref="W3" si="34">EDATE(W2,1)-1</f>
        <v>45169</v>
      </c>
      <c r="X3" s="2">
        <f t="shared" ref="X3" si="35">EDATE(X2,1)-1</f>
        <v>45199</v>
      </c>
      <c r="Y3" s="2">
        <f t="shared" ref="Y3" si="36">EDATE(Y2,1)-1</f>
        <v>45230</v>
      </c>
      <c r="Z3" s="2">
        <f t="shared" ref="Z3" si="37">EDATE(Z2,1)-1</f>
        <v>45260</v>
      </c>
      <c r="AA3" s="2">
        <f t="shared" ref="AA3" si="38">EDATE(AA2,1)-1</f>
        <v>45291</v>
      </c>
      <c r="AB3" s="2">
        <f t="shared" ref="AB3" si="39">EDATE(AB2,1)-1</f>
        <v>45322</v>
      </c>
      <c r="AC3" s="2">
        <f t="shared" ref="AC3" si="40">EDATE(AC2,1)-1</f>
        <v>45351</v>
      </c>
      <c r="AD3" s="2">
        <f t="shared" ref="AD3" si="41">EDATE(AD2,1)-1</f>
        <v>45382</v>
      </c>
      <c r="AE3" s="2">
        <f t="shared" ref="AE3" si="42">EDATE(AE2,1)-1</f>
        <v>45412</v>
      </c>
      <c r="AF3" s="2">
        <f t="shared" ref="AF3" si="43">EDATE(AF2,1)-1</f>
        <v>45443</v>
      </c>
      <c r="AG3" s="2">
        <f t="shared" ref="AG3" si="44">EDATE(AG2,1)-1</f>
        <v>45473</v>
      </c>
      <c r="AH3" s="2">
        <f t="shared" ref="AH3" si="45">EDATE(AH2,1)-1</f>
        <v>45504</v>
      </c>
      <c r="AI3" s="2">
        <f t="shared" ref="AI3" si="46">EDATE(AI2,1)-1</f>
        <v>45535</v>
      </c>
      <c r="AJ3" s="2">
        <f t="shared" ref="AJ3" si="47">EDATE(AJ2,1)-1</f>
        <v>45565</v>
      </c>
      <c r="AK3" s="2">
        <f t="shared" ref="AK3" si="48">EDATE(AK2,1)-1</f>
        <v>45596</v>
      </c>
      <c r="AL3" s="2">
        <f t="shared" ref="AL3" si="49">EDATE(AL2,1)-1</f>
        <v>45626</v>
      </c>
      <c r="AM3" s="2">
        <f t="shared" ref="AM3" si="50">EDATE(AM2,1)-1</f>
        <v>45657</v>
      </c>
      <c r="AN3" s="2">
        <f t="shared" ref="AN3" si="51">EDATE(AN2,1)-1</f>
        <v>45688</v>
      </c>
      <c r="AO3" s="2">
        <f t="shared" ref="AO3:BH3" si="52">EDATE(AO2,1)-1</f>
        <v>45716</v>
      </c>
      <c r="AP3" s="2">
        <f t="shared" si="52"/>
        <v>45747</v>
      </c>
      <c r="AQ3" s="2">
        <f t="shared" si="52"/>
        <v>45777</v>
      </c>
      <c r="AR3" s="2">
        <f t="shared" si="52"/>
        <v>45808</v>
      </c>
      <c r="AS3" s="2">
        <f t="shared" si="52"/>
        <v>45838</v>
      </c>
      <c r="AT3" s="2">
        <f t="shared" si="52"/>
        <v>45869</v>
      </c>
      <c r="AU3" s="2">
        <f t="shared" si="52"/>
        <v>45900</v>
      </c>
      <c r="AV3" s="2">
        <f t="shared" si="52"/>
        <v>45930</v>
      </c>
      <c r="AW3" s="2">
        <f t="shared" si="52"/>
        <v>45961</v>
      </c>
      <c r="AX3" s="2">
        <f t="shared" si="52"/>
        <v>45991</v>
      </c>
      <c r="AY3" s="2">
        <f t="shared" si="52"/>
        <v>46022</v>
      </c>
      <c r="AZ3" s="2">
        <f t="shared" si="52"/>
        <v>46053</v>
      </c>
      <c r="BA3" s="2">
        <f t="shared" si="52"/>
        <v>46081</v>
      </c>
      <c r="BB3" s="2">
        <f t="shared" si="52"/>
        <v>46112</v>
      </c>
      <c r="BC3" s="2">
        <f t="shared" si="52"/>
        <v>46142</v>
      </c>
      <c r="BD3" s="2">
        <f t="shared" si="52"/>
        <v>46173</v>
      </c>
      <c r="BE3" s="2">
        <f t="shared" si="52"/>
        <v>46203</v>
      </c>
      <c r="BF3" s="2">
        <f t="shared" si="52"/>
        <v>46234</v>
      </c>
      <c r="BG3" s="2">
        <f t="shared" si="52"/>
        <v>46265</v>
      </c>
      <c r="BH3" s="2">
        <f t="shared" si="52"/>
        <v>46295</v>
      </c>
      <c r="BI3" s="2">
        <f t="shared" ref="BI3:BM3" si="53">EDATE(BI2,1)-1</f>
        <v>46326</v>
      </c>
      <c r="BJ3" s="2">
        <f t="shared" si="53"/>
        <v>46356</v>
      </c>
      <c r="BK3" s="2">
        <f t="shared" si="53"/>
        <v>46387</v>
      </c>
      <c r="BL3" s="2">
        <f t="shared" si="53"/>
        <v>46418</v>
      </c>
      <c r="BM3" s="2">
        <f t="shared" si="53"/>
        <v>46446</v>
      </c>
    </row>
    <row r="4" spans="2:65" ht="14.5" customHeight="1" x14ac:dyDescent="0.35">
      <c r="B4" s="3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</row>
    <row r="5" spans="2:65" s="14" customFormat="1" x14ac:dyDescent="0.35">
      <c r="B5" s="15" t="s">
        <v>94</v>
      </c>
      <c r="C5" s="16"/>
      <c r="D5" s="17">
        <f>SUM(F5:BM5)</f>
        <v>3016861.9750562273</v>
      </c>
      <c r="E5" s="17"/>
      <c r="F5" s="17">
        <f t="shared" ref="F5:AO5" si="54">F6-F8</f>
        <v>0</v>
      </c>
      <c r="G5" s="17">
        <f t="shared" si="54"/>
        <v>-152744.20521875002</v>
      </c>
      <c r="H5" s="17">
        <f t="shared" si="54"/>
        <v>-153181.07536257815</v>
      </c>
      <c r="I5" s="17">
        <f t="shared" si="54"/>
        <v>-112353.62465498384</v>
      </c>
      <c r="J5" s="17">
        <f t="shared" si="54"/>
        <v>-102259.80709847022</v>
      </c>
      <c r="K5" s="17">
        <f t="shared" si="54"/>
        <v>-102808.09046603655</v>
      </c>
      <c r="L5" s="17">
        <f t="shared" si="54"/>
        <v>-104659.45182722175</v>
      </c>
      <c r="M5" s="17">
        <f t="shared" si="54"/>
        <v>-61191.508404624299</v>
      </c>
      <c r="N5" s="17">
        <f t="shared" si="54"/>
        <v>-62187.891851624416</v>
      </c>
      <c r="O5" s="17">
        <f t="shared" si="54"/>
        <v>1823.5837008098024</v>
      </c>
      <c r="P5" s="17">
        <f t="shared" si="54"/>
        <v>-41461.303737099399</v>
      </c>
      <c r="Q5" s="17">
        <f t="shared" si="54"/>
        <v>-42050.176390706562</v>
      </c>
      <c r="R5" s="17">
        <f t="shared" si="54"/>
        <v>23192.84065276949</v>
      </c>
      <c r="S5" s="17">
        <f t="shared" si="54"/>
        <v>72467.102477687527</v>
      </c>
      <c r="T5" s="17">
        <f t="shared" si="54"/>
        <v>45755.814386597427</v>
      </c>
      <c r="U5" s="17">
        <f t="shared" si="54"/>
        <v>129439.85378982301</v>
      </c>
      <c r="V5" s="17">
        <f t="shared" si="54"/>
        <v>47202.943090820452</v>
      </c>
      <c r="W5" s="17">
        <f t="shared" si="54"/>
        <v>20050.347785938764</v>
      </c>
      <c r="X5" s="17">
        <f t="shared" si="54"/>
        <v>104683.74240985053</v>
      </c>
      <c r="Y5" s="17">
        <f t="shared" si="54"/>
        <v>133786.03765015269</v>
      </c>
      <c r="Z5" s="17">
        <f t="shared" si="54"/>
        <v>191369.47528014623</v>
      </c>
      <c r="AA5" s="17">
        <f t="shared" si="54"/>
        <v>306145.83927741856</v>
      </c>
      <c r="AB5" s="17">
        <f t="shared" si="54"/>
        <v>-5236.8428230258869</v>
      </c>
      <c r="AC5" s="17">
        <f t="shared" si="54"/>
        <v>23895.488488943083</v>
      </c>
      <c r="AD5" s="17">
        <f t="shared" si="54"/>
        <v>74424.479733492015</v>
      </c>
      <c r="AE5" s="17">
        <f t="shared" si="54"/>
        <v>133026.66203729273</v>
      </c>
      <c r="AF5" s="17">
        <f t="shared" si="54"/>
        <v>76304.190741381142</v>
      </c>
      <c r="AG5" s="17">
        <f t="shared" si="54"/>
        <v>135406.76040300948</v>
      </c>
      <c r="AH5" s="17">
        <f t="shared" si="54"/>
        <v>19824.994746283395</v>
      </c>
      <c r="AI5" s="17">
        <f t="shared" si="54"/>
        <v>-38086.523204537807</v>
      </c>
      <c r="AJ5" s="17">
        <f t="shared" si="54"/>
        <v>80167.093780415482</v>
      </c>
      <c r="AK5" s="17">
        <f t="shared" si="54"/>
        <v>81154.971078064758</v>
      </c>
      <c r="AL5" s="17">
        <f t="shared" si="54"/>
        <v>141528.06907115446</v>
      </c>
      <c r="AM5" s="17">
        <f t="shared" si="54"/>
        <v>262031.47767962748</v>
      </c>
      <c r="AN5" s="17">
        <f t="shared" si="54"/>
        <v>-65511.158995302569</v>
      </c>
      <c r="AO5" s="17">
        <f t="shared" si="54"/>
        <v>-35184.562556595425</v>
      </c>
      <c r="AP5" s="17">
        <f t="shared" ref="AP5:BI5" si="55">AP6-AP8</f>
        <v>85149.409186908044</v>
      </c>
      <c r="AQ5" s="17">
        <f t="shared" si="55"/>
        <v>146804.40225944901</v>
      </c>
      <c r="AR5" s="17">
        <f t="shared" si="55"/>
        <v>87212.438666152069</v>
      </c>
      <c r="AS5" s="17">
        <f t="shared" si="55"/>
        <v>88258.261677354225</v>
      </c>
      <c r="AT5" s="17">
        <f t="shared" si="55"/>
        <v>27921.700904009631</v>
      </c>
      <c r="AU5" s="17">
        <f t="shared" si="55"/>
        <v>-32918.55888123234</v>
      </c>
      <c r="AV5" s="17">
        <f t="shared" si="55"/>
        <v>91013.968773875269</v>
      </c>
      <c r="AW5" s="17">
        <f t="shared" si="55"/>
        <v>92092.279082578141</v>
      </c>
      <c r="AX5" s="17">
        <f t="shared" si="55"/>
        <v>155606.17970614228</v>
      </c>
      <c r="AY5" s="17">
        <f t="shared" si="55"/>
        <v>282339.00451001863</v>
      </c>
      <c r="AZ5" s="17">
        <f t="shared" si="55"/>
        <v>-61983.928150023974</v>
      </c>
      <c r="BA5" s="17">
        <f t="shared" si="55"/>
        <v>-30521.592366423458</v>
      </c>
      <c r="BB5" s="17">
        <f t="shared" si="55"/>
        <v>96103.90084542823</v>
      </c>
      <c r="BC5" s="17">
        <f t="shared" si="55"/>
        <v>160961.93662802526</v>
      </c>
      <c r="BD5" s="17">
        <f t="shared" si="55"/>
        <v>98346.687521294109</v>
      </c>
      <c r="BE5" s="17">
        <f t="shared" si="55"/>
        <v>99483.82965927769</v>
      </c>
      <c r="BF5" s="17">
        <f t="shared" si="55"/>
        <v>36086.726575903711</v>
      </c>
      <c r="BG5" s="17">
        <f t="shared" si="55"/>
        <v>-27839.436044944101</v>
      </c>
      <c r="BH5" s="17">
        <f t="shared" si="55"/>
        <v>102612.72686115815</v>
      </c>
      <c r="BI5" s="17">
        <f t="shared" si="55"/>
        <v>103787.82367322885</v>
      </c>
      <c r="BJ5" s="17">
        <f t="shared" ref="BJ5:BM5" si="56">BJ6-BJ8</f>
        <v>170605.43806642492</v>
      </c>
      <c r="BK5" s="17">
        <f t="shared" si="56"/>
        <v>303889.10955098912</v>
      </c>
      <c r="BL5" s="17">
        <f t="shared" si="56"/>
        <v>-58073.444926771976</v>
      </c>
      <c r="BM5" s="17">
        <f t="shared" si="56"/>
        <v>-24842.434392716037</v>
      </c>
    </row>
    <row r="6" spans="2:65" x14ac:dyDescent="0.35">
      <c r="B6" s="5" t="s">
        <v>47</v>
      </c>
      <c r="D6" s="11">
        <f>SUM(F6:BM6)</f>
        <v>35265279.868692063</v>
      </c>
      <c r="E6" s="11"/>
      <c r="F6" s="11">
        <f t="shared" ref="F6:BM6" si="57">SUM(F7:F7)</f>
        <v>0</v>
      </c>
      <c r="G6" s="11">
        <f t="shared" si="57"/>
        <v>42702.1875</v>
      </c>
      <c r="H6" s="11">
        <f t="shared" si="57"/>
        <v>42880.11328125</v>
      </c>
      <c r="I6" s="11">
        <f t="shared" si="57"/>
        <v>129176.34125976564</v>
      </c>
      <c r="J6" s="11">
        <f t="shared" si="57"/>
        <v>151333.67201751709</v>
      </c>
      <c r="K6" s="11">
        <f t="shared" si="57"/>
        <v>151964.22898425674</v>
      </c>
      <c r="L6" s="11">
        <f t="shared" si="57"/>
        <v>152597.41327169116</v>
      </c>
      <c r="M6" s="11">
        <f t="shared" si="57"/>
        <v>262685.54713198263</v>
      </c>
      <c r="N6" s="11">
        <f t="shared" si="57"/>
        <v>263780.07024503255</v>
      </c>
      <c r="O6" s="11">
        <f t="shared" si="57"/>
        <v>397318.73080658028</v>
      </c>
      <c r="P6" s="11">
        <f t="shared" si="57"/>
        <v>310313.28651421337</v>
      </c>
      <c r="Q6" s="11">
        <f t="shared" si="57"/>
        <v>311606.25854135596</v>
      </c>
      <c r="R6" s="11">
        <f t="shared" si="57"/>
        <v>447006.59707420692</v>
      </c>
      <c r="S6" s="11">
        <f t="shared" si="57"/>
        <v>550474.25294281333</v>
      </c>
      <c r="T6" s="11">
        <f t="shared" si="57"/>
        <v>497491.10609706753</v>
      </c>
      <c r="U6" s="11">
        <f t="shared" si="57"/>
        <v>666085.31427440699</v>
      </c>
      <c r="V6" s="11">
        <f t="shared" si="57"/>
        <v>501645.50231291284</v>
      </c>
      <c r="W6" s="11">
        <f t="shared" si="57"/>
        <v>447765.05947189627</v>
      </c>
      <c r="X6" s="11">
        <f t="shared" si="57"/>
        <v>618242.27742708172</v>
      </c>
      <c r="Y6" s="11">
        <f t="shared" si="57"/>
        <v>677256.31299966667</v>
      </c>
      <c r="Z6" s="11">
        <f t="shared" si="57"/>
        <v>793424.58335447079</v>
      </c>
      <c r="AA6" s="11">
        <f t="shared" si="57"/>
        <v>1024367.8102951471</v>
      </c>
      <c r="AB6" s="11">
        <f t="shared" si="57"/>
        <v>400025.11480738723</v>
      </c>
      <c r="AC6" s="11">
        <f t="shared" si="57"/>
        <v>459076.44127895392</v>
      </c>
      <c r="AD6" s="11">
        <f t="shared" si="57"/>
        <v>691483.88967642433</v>
      </c>
      <c r="AE6" s="11">
        <f t="shared" si="57"/>
        <v>810092.58464175544</v>
      </c>
      <c r="AF6" s="11">
        <f t="shared" si="57"/>
        <v>697258.260352368</v>
      </c>
      <c r="AG6" s="11">
        <f t="shared" si="57"/>
        <v>816857.42028780887</v>
      </c>
      <c r="AH6" s="11">
        <f t="shared" si="57"/>
        <v>585900.70919452957</v>
      </c>
      <c r="AI6" s="11">
        <f t="shared" si="57"/>
        <v>470673.5697196055</v>
      </c>
      <c r="AJ6" s="11">
        <f t="shared" si="57"/>
        <v>708952.06439015572</v>
      </c>
      <c r="AK6" s="11">
        <f t="shared" si="57"/>
        <v>711906.03132511466</v>
      </c>
      <c r="AL6" s="11">
        <f t="shared" si="57"/>
        <v>834017.69086490874</v>
      </c>
      <c r="AM6" s="11">
        <f t="shared" si="57"/>
        <v>1076776.4115988016</v>
      </c>
      <c r="AN6" s="11">
        <f t="shared" si="57"/>
        <v>420491.15888129128</v>
      </c>
      <c r="AO6" s="11">
        <f t="shared" si="57"/>
        <v>482563.66328757716</v>
      </c>
      <c r="AP6" s="11">
        <f t="shared" si="57"/>
        <v>726861.51782691316</v>
      </c>
      <c r="AQ6" s="11">
        <f t="shared" si="57"/>
        <v>851538.45873194607</v>
      </c>
      <c r="AR6" s="11">
        <f t="shared" si="57"/>
        <v>732931.31626571086</v>
      </c>
      <c r="AS6" s="11">
        <f t="shared" si="57"/>
        <v>735985.19675015123</v>
      </c>
      <c r="AT6" s="11">
        <f t="shared" si="57"/>
        <v>615876.50144717516</v>
      </c>
      <c r="AU6" s="11">
        <f t="shared" si="57"/>
        <v>494754.12282923068</v>
      </c>
      <c r="AV6" s="11">
        <f t="shared" si="57"/>
        <v>745223.39751152857</v>
      </c>
      <c r="AW6" s="11">
        <f t="shared" si="57"/>
        <v>748328.49500115996</v>
      </c>
      <c r="AX6" s="11">
        <f t="shared" si="57"/>
        <v>876687.61879649782</v>
      </c>
      <c r="AY6" s="11">
        <f t="shared" si="57"/>
        <v>1131866.3364104782</v>
      </c>
      <c r="AZ6" s="11">
        <f t="shared" si="57"/>
        <v>442004.28461214749</v>
      </c>
      <c r="BA6" s="11">
        <f t="shared" si="57"/>
        <v>507252.53615013114</v>
      </c>
      <c r="BB6" s="11">
        <f t="shared" si="57"/>
        <v>764049.13257613499</v>
      </c>
      <c r="BC6" s="11">
        <f t="shared" si="57"/>
        <v>895104.78239995823</v>
      </c>
      <c r="BD6" s="11">
        <f t="shared" si="57"/>
        <v>770429.47342282126</v>
      </c>
      <c r="BE6" s="11">
        <f t="shared" si="57"/>
        <v>773639.59622874972</v>
      </c>
      <c r="BF6" s="11">
        <f t="shared" si="57"/>
        <v>647385.91212197451</v>
      </c>
      <c r="BG6" s="11">
        <f t="shared" si="57"/>
        <v>520066.68273798621</v>
      </c>
      <c r="BH6" s="11">
        <f t="shared" si="57"/>
        <v>783350.44087409182</v>
      </c>
      <c r="BI6" s="11">
        <f t="shared" si="57"/>
        <v>786614.40104440041</v>
      </c>
      <c r="BJ6" s="11">
        <f t="shared" si="57"/>
        <v>921540.621223544</v>
      </c>
      <c r="BK6" s="11">
        <f t="shared" si="57"/>
        <v>1189774.7663296829</v>
      </c>
      <c r="BL6" s="11">
        <f t="shared" si="57"/>
        <v>464618.06268476264</v>
      </c>
      <c r="BM6" s="11">
        <f t="shared" si="57"/>
        <v>533204.5386048943</v>
      </c>
    </row>
    <row r="7" spans="2:65" x14ac:dyDescent="0.35">
      <c r="B7" s="26" t="s">
        <v>31</v>
      </c>
      <c r="D7" s="11">
        <f t="shared" ref="D7:D29" si="58">SUM(F7:BM7)</f>
        <v>35265279.868692063</v>
      </c>
      <c r="E7" s="11"/>
      <c r="F7" s="11">
        <f>Выручка!F12</f>
        <v>0</v>
      </c>
      <c r="G7" s="11">
        <f>Выручка!G12</f>
        <v>42702.1875</v>
      </c>
      <c r="H7" s="11">
        <f>Выручка!H12</f>
        <v>42880.11328125</v>
      </c>
      <c r="I7" s="11">
        <f>Выручка!I12</f>
        <v>129176.34125976564</v>
      </c>
      <c r="J7" s="11">
        <f>Выручка!J12</f>
        <v>151333.67201751709</v>
      </c>
      <c r="K7" s="11">
        <f>Выручка!K12</f>
        <v>151964.22898425674</v>
      </c>
      <c r="L7" s="11">
        <f>Выручка!L12</f>
        <v>152597.41327169116</v>
      </c>
      <c r="M7" s="11">
        <f>Выручка!M12</f>
        <v>262685.54713198263</v>
      </c>
      <c r="N7" s="11">
        <f>Выручка!N12</f>
        <v>263780.07024503255</v>
      </c>
      <c r="O7" s="11">
        <f>Выручка!O12</f>
        <v>397318.73080658028</v>
      </c>
      <c r="P7" s="11">
        <f>Выручка!P12</f>
        <v>310313.28651421337</v>
      </c>
      <c r="Q7" s="11">
        <f>Выручка!Q12</f>
        <v>311606.25854135596</v>
      </c>
      <c r="R7" s="11">
        <f>Выручка!R12</f>
        <v>447006.59707420692</v>
      </c>
      <c r="S7" s="11">
        <f>Выручка!S12</f>
        <v>550474.25294281333</v>
      </c>
      <c r="T7" s="11">
        <f>Выручка!T12</f>
        <v>497491.10609706753</v>
      </c>
      <c r="U7" s="11">
        <f>Выручка!U12</f>
        <v>666085.31427440699</v>
      </c>
      <c r="V7" s="11">
        <f>Выручка!V12</f>
        <v>501645.50231291284</v>
      </c>
      <c r="W7" s="11">
        <f>Выручка!W12</f>
        <v>447765.05947189627</v>
      </c>
      <c r="X7" s="11">
        <f>Выручка!X12</f>
        <v>618242.27742708172</v>
      </c>
      <c r="Y7" s="11">
        <f>Выручка!Y12</f>
        <v>677256.31299966667</v>
      </c>
      <c r="Z7" s="11">
        <f>Выручка!Z12</f>
        <v>793424.58335447079</v>
      </c>
      <c r="AA7" s="11">
        <f>Выручка!AA12</f>
        <v>1024367.8102951471</v>
      </c>
      <c r="AB7" s="11">
        <f>Выручка!AB12</f>
        <v>400025.11480738723</v>
      </c>
      <c r="AC7" s="11">
        <f>Выручка!AC12</f>
        <v>459076.44127895392</v>
      </c>
      <c r="AD7" s="11">
        <f>Выручка!AD12</f>
        <v>691483.88967642433</v>
      </c>
      <c r="AE7" s="11">
        <f>Выручка!AE12</f>
        <v>810092.58464175544</v>
      </c>
      <c r="AF7" s="11">
        <f>Выручка!AF12</f>
        <v>697258.260352368</v>
      </c>
      <c r="AG7" s="11">
        <f>Выручка!AG12</f>
        <v>816857.42028780887</v>
      </c>
      <c r="AH7" s="11">
        <f>Выручка!AH12</f>
        <v>585900.70919452957</v>
      </c>
      <c r="AI7" s="11">
        <f>Выручка!AI12</f>
        <v>470673.5697196055</v>
      </c>
      <c r="AJ7" s="11">
        <f>Выручка!AJ12</f>
        <v>708952.06439015572</v>
      </c>
      <c r="AK7" s="11">
        <f>Выручка!AK12</f>
        <v>711906.03132511466</v>
      </c>
      <c r="AL7" s="11">
        <f>Выручка!AL12</f>
        <v>834017.69086490874</v>
      </c>
      <c r="AM7" s="11">
        <f>Выручка!AM12</f>
        <v>1076776.4115988016</v>
      </c>
      <c r="AN7" s="11">
        <f>Выручка!AN12</f>
        <v>420491.15888129128</v>
      </c>
      <c r="AO7" s="11">
        <f>Выручка!AO12</f>
        <v>482563.66328757716</v>
      </c>
      <c r="AP7" s="11">
        <f>Выручка!AP12</f>
        <v>726861.51782691316</v>
      </c>
      <c r="AQ7" s="11">
        <f>Выручка!AQ12</f>
        <v>851538.45873194607</v>
      </c>
      <c r="AR7" s="11">
        <f>Выручка!AR12</f>
        <v>732931.31626571086</v>
      </c>
      <c r="AS7" s="11">
        <f>Выручка!AS12</f>
        <v>735985.19675015123</v>
      </c>
      <c r="AT7" s="11">
        <f>Выручка!AT12</f>
        <v>615876.50144717516</v>
      </c>
      <c r="AU7" s="11">
        <f>Выручка!AU12</f>
        <v>494754.12282923068</v>
      </c>
      <c r="AV7" s="11">
        <f>Выручка!AV12</f>
        <v>745223.39751152857</v>
      </c>
      <c r="AW7" s="11">
        <f>Выручка!AW12</f>
        <v>748328.49500115996</v>
      </c>
      <c r="AX7" s="11">
        <f>Выручка!AX12</f>
        <v>876687.61879649782</v>
      </c>
      <c r="AY7" s="11">
        <f>Выручка!AY12</f>
        <v>1131866.3364104782</v>
      </c>
      <c r="AZ7" s="11">
        <f>Выручка!AZ12</f>
        <v>442004.28461214749</v>
      </c>
      <c r="BA7" s="11">
        <f>Выручка!BA12</f>
        <v>507252.53615013114</v>
      </c>
      <c r="BB7" s="11">
        <f>Выручка!BB12</f>
        <v>764049.13257613499</v>
      </c>
      <c r="BC7" s="11">
        <f>Выручка!BC12</f>
        <v>895104.78239995823</v>
      </c>
      <c r="BD7" s="11">
        <f>Выручка!BD12</f>
        <v>770429.47342282126</v>
      </c>
      <c r="BE7" s="11">
        <f>Выручка!BE12</f>
        <v>773639.59622874972</v>
      </c>
      <c r="BF7" s="11">
        <f>Выручка!BF12</f>
        <v>647385.91212197451</v>
      </c>
      <c r="BG7" s="11">
        <f>Выручка!BG12</f>
        <v>520066.68273798621</v>
      </c>
      <c r="BH7" s="11">
        <f>Выручка!BH12</f>
        <v>783350.44087409182</v>
      </c>
      <c r="BI7" s="11">
        <f>Выручка!BI12</f>
        <v>786614.40104440041</v>
      </c>
      <c r="BJ7" s="11">
        <f>Выручка!BJ12</f>
        <v>921540.621223544</v>
      </c>
      <c r="BK7" s="11">
        <f>Выручка!BK12</f>
        <v>1189774.7663296829</v>
      </c>
      <c r="BL7" s="11">
        <f>Выручка!BL12</f>
        <v>464618.06268476264</v>
      </c>
      <c r="BM7" s="11">
        <f>Выручка!BM12</f>
        <v>533204.5386048943</v>
      </c>
    </row>
    <row r="8" spans="2:65" x14ac:dyDescent="0.35">
      <c r="B8" s="5" t="s">
        <v>50</v>
      </c>
      <c r="D8" s="11">
        <f t="shared" si="58"/>
        <v>32248417.893635839</v>
      </c>
      <c r="E8" s="11"/>
      <c r="F8" s="11">
        <f t="shared" ref="F8:N8" si="59">SUM(F9:F18)</f>
        <v>0</v>
      </c>
      <c r="G8" s="11">
        <f t="shared" si="59"/>
        <v>195446.39271875002</v>
      </c>
      <c r="H8" s="11">
        <f t="shared" si="59"/>
        <v>196061.18864382815</v>
      </c>
      <c r="I8" s="11">
        <f t="shared" si="59"/>
        <v>241529.96591474948</v>
      </c>
      <c r="J8" s="11">
        <f t="shared" si="59"/>
        <v>253593.47911598731</v>
      </c>
      <c r="K8" s="11">
        <f t="shared" si="59"/>
        <v>254772.31945029329</v>
      </c>
      <c r="L8" s="11">
        <f t="shared" si="59"/>
        <v>257256.86509891291</v>
      </c>
      <c r="M8" s="11">
        <f t="shared" si="59"/>
        <v>323877.05553660693</v>
      </c>
      <c r="N8" s="11">
        <f t="shared" si="59"/>
        <v>325967.96209665696</v>
      </c>
      <c r="O8" s="11">
        <f>SUM(O9:O18)</f>
        <v>395495.14710577048</v>
      </c>
      <c r="P8" s="11">
        <f t="shared" ref="P8:BM8" si="60">SUM(P9:P18)</f>
        <v>351774.59025131277</v>
      </c>
      <c r="Q8" s="11">
        <f t="shared" si="60"/>
        <v>353656.43493206252</v>
      </c>
      <c r="R8" s="11">
        <f t="shared" si="60"/>
        <v>423813.75642143743</v>
      </c>
      <c r="S8" s="11">
        <f t="shared" si="60"/>
        <v>478007.1504651258</v>
      </c>
      <c r="T8" s="11">
        <f t="shared" si="60"/>
        <v>451735.2917104701</v>
      </c>
      <c r="U8" s="11">
        <f t="shared" si="60"/>
        <v>536645.46048458398</v>
      </c>
      <c r="V8" s="11">
        <f t="shared" si="60"/>
        <v>454442.55922209239</v>
      </c>
      <c r="W8" s="11">
        <f t="shared" si="60"/>
        <v>427714.7116859575</v>
      </c>
      <c r="X8" s="11">
        <f t="shared" si="60"/>
        <v>513558.53501723119</v>
      </c>
      <c r="Y8" s="11">
        <f t="shared" si="60"/>
        <v>543470.27534951398</v>
      </c>
      <c r="Z8" s="11">
        <f t="shared" si="60"/>
        <v>602055.10807432455</v>
      </c>
      <c r="AA8" s="11">
        <f t="shared" si="60"/>
        <v>718221.97101772856</v>
      </c>
      <c r="AB8" s="11">
        <f t="shared" si="60"/>
        <v>405261.95763041312</v>
      </c>
      <c r="AC8" s="11">
        <f t="shared" si="60"/>
        <v>435180.95279001084</v>
      </c>
      <c r="AD8" s="11">
        <f t="shared" si="60"/>
        <v>617059.40994293231</v>
      </c>
      <c r="AE8" s="11">
        <f t="shared" si="60"/>
        <v>677065.92260446271</v>
      </c>
      <c r="AF8" s="11">
        <f t="shared" si="60"/>
        <v>620954.06961098686</v>
      </c>
      <c r="AG8" s="11">
        <f t="shared" si="60"/>
        <v>681450.65988479939</v>
      </c>
      <c r="AH8" s="11">
        <f t="shared" si="60"/>
        <v>566075.71444824617</v>
      </c>
      <c r="AI8" s="11">
        <f t="shared" si="60"/>
        <v>508760.0929241433</v>
      </c>
      <c r="AJ8" s="11">
        <f t="shared" si="60"/>
        <v>628784.97060974024</v>
      </c>
      <c r="AK8" s="11">
        <f t="shared" si="60"/>
        <v>630751.0602470499</v>
      </c>
      <c r="AL8" s="11">
        <f t="shared" si="60"/>
        <v>692489.62179375428</v>
      </c>
      <c r="AM8" s="11">
        <f t="shared" si="60"/>
        <v>814744.93391917413</v>
      </c>
      <c r="AN8" s="11">
        <f t="shared" si="60"/>
        <v>486002.31787659385</v>
      </c>
      <c r="AO8" s="11">
        <f t="shared" si="60"/>
        <v>517748.22584417259</v>
      </c>
      <c r="AP8" s="11">
        <f t="shared" si="60"/>
        <v>641712.10864000511</v>
      </c>
      <c r="AQ8" s="11">
        <f t="shared" si="60"/>
        <v>704734.05647249706</v>
      </c>
      <c r="AR8" s="11">
        <f t="shared" si="60"/>
        <v>645718.87759955879</v>
      </c>
      <c r="AS8" s="11">
        <f t="shared" si="60"/>
        <v>647726.935072797</v>
      </c>
      <c r="AT8" s="11">
        <f t="shared" si="60"/>
        <v>587954.80054316553</v>
      </c>
      <c r="AU8" s="11">
        <f t="shared" si="60"/>
        <v>527672.68171046302</v>
      </c>
      <c r="AV8" s="11">
        <f t="shared" si="60"/>
        <v>654209.4287376533</v>
      </c>
      <c r="AW8" s="11">
        <f t="shared" si="60"/>
        <v>656236.21591858182</v>
      </c>
      <c r="AX8" s="11">
        <f t="shared" si="60"/>
        <v>721081.43909035553</v>
      </c>
      <c r="AY8" s="11">
        <f t="shared" si="60"/>
        <v>849527.3319004596</v>
      </c>
      <c r="AZ8" s="11">
        <f t="shared" si="60"/>
        <v>503988.21276217146</v>
      </c>
      <c r="BA8" s="11">
        <f t="shared" si="60"/>
        <v>537774.1285165546</v>
      </c>
      <c r="BB8" s="11">
        <f t="shared" si="60"/>
        <v>667945.23173070676</v>
      </c>
      <c r="BC8" s="11">
        <f t="shared" si="60"/>
        <v>734142.84577193297</v>
      </c>
      <c r="BD8" s="11">
        <f t="shared" si="60"/>
        <v>672082.78590152715</v>
      </c>
      <c r="BE8" s="11">
        <f t="shared" si="60"/>
        <v>674155.76656947203</v>
      </c>
      <c r="BF8" s="11">
        <f t="shared" si="60"/>
        <v>611299.1855460708</v>
      </c>
      <c r="BG8" s="11">
        <f t="shared" si="60"/>
        <v>547906.11878293031</v>
      </c>
      <c r="BH8" s="11">
        <f t="shared" si="60"/>
        <v>680737.71401293366</v>
      </c>
      <c r="BI8" s="11">
        <f t="shared" si="60"/>
        <v>682826.57737117156</v>
      </c>
      <c r="BJ8" s="11">
        <f t="shared" si="60"/>
        <v>750935.18315711909</v>
      </c>
      <c r="BK8" s="11">
        <f t="shared" si="60"/>
        <v>885885.65677869378</v>
      </c>
      <c r="BL8" s="11">
        <f t="shared" si="60"/>
        <v>522691.50761153462</v>
      </c>
      <c r="BM8" s="11">
        <f t="shared" si="60"/>
        <v>558046.97299761034</v>
      </c>
    </row>
    <row r="9" spans="2:65" x14ac:dyDescent="0.35">
      <c r="B9" s="26" t="s">
        <v>21</v>
      </c>
      <c r="D9" s="11">
        <f t="shared" si="58"/>
        <v>3264948.9091317467</v>
      </c>
      <c r="E9" s="11"/>
      <c r="F9" s="11">
        <f>'Текущие затраты'!F6</f>
        <v>0</v>
      </c>
      <c r="G9" s="11">
        <f>'Текущие затраты'!G6</f>
        <v>50166.666666666672</v>
      </c>
      <c r="H9" s="11">
        <f>'Текущие затраты'!H6</f>
        <v>50333.888888888898</v>
      </c>
      <c r="I9" s="11">
        <f>'Текущие затраты'!I6</f>
        <v>50501.668518518542</v>
      </c>
      <c r="J9" s="11">
        <f>'Текущие затраты'!J6</f>
        <v>50670.007413580279</v>
      </c>
      <c r="K9" s="11">
        <f>'Текущие затраты'!K6</f>
        <v>50838.907438292212</v>
      </c>
      <c r="L9" s="11">
        <f>'Текущие затраты'!L6</f>
        <v>51008.370463086525</v>
      </c>
      <c r="M9" s="11">
        <f>'Текущие затраты'!M6</f>
        <v>51178.398364630149</v>
      </c>
      <c r="N9" s="11">
        <f>'Текущие затраты'!N6</f>
        <v>51348.993025845593</v>
      </c>
      <c r="O9" s="11">
        <f>'Текущие затраты'!O6</f>
        <v>51520.156335931744</v>
      </c>
      <c r="P9" s="11">
        <f>'Текущие затраты'!P6</f>
        <v>51691.890190384845</v>
      </c>
      <c r="Q9" s="11">
        <f>'Текущие затраты'!Q6</f>
        <v>51864.196491019466</v>
      </c>
      <c r="R9" s="11">
        <f>'Текущие затраты'!R6</f>
        <v>52037.077145989533</v>
      </c>
      <c r="S9" s="11">
        <f>'Текущие затраты'!S6</f>
        <v>52210.534069809502</v>
      </c>
      <c r="T9" s="11">
        <f>'Текущие затраты'!T6</f>
        <v>52384.569183375541</v>
      </c>
      <c r="U9" s="11">
        <f>'Текущие затраты'!U6</f>
        <v>52559.18441398679</v>
      </c>
      <c r="V9" s="11">
        <f>'Текущие затраты'!V6</f>
        <v>52734.381695366748</v>
      </c>
      <c r="W9" s="11">
        <f>'Текущие затраты'!W6</f>
        <v>52910.16296768465</v>
      </c>
      <c r="X9" s="11">
        <f>'Текущие затраты'!X6</f>
        <v>53086.530177576926</v>
      </c>
      <c r="Y9" s="11">
        <f>'Текущие затраты'!Y6</f>
        <v>53263.485278168853</v>
      </c>
      <c r="Z9" s="11">
        <f>'Текущие затраты'!Z6</f>
        <v>53441.03022909609</v>
      </c>
      <c r="AA9" s="11">
        <f>'Текущие затраты'!AA6</f>
        <v>53619.166996526415</v>
      </c>
      <c r="AB9" s="11">
        <f>'Текущие затраты'!AB6</f>
        <v>53797.897553181509</v>
      </c>
      <c r="AC9" s="11">
        <f>'Текущие затраты'!AC6</f>
        <v>53977.223878358782</v>
      </c>
      <c r="AD9" s="11">
        <f>'Текущие затраты'!AD6</f>
        <v>54157.147957953312</v>
      </c>
      <c r="AE9" s="11">
        <f>'Текущие затраты'!AE6</f>
        <v>54337.671784479826</v>
      </c>
      <c r="AF9" s="11">
        <f>'Текущие затраты'!AF6</f>
        <v>54518.797357094758</v>
      </c>
      <c r="AG9" s="11">
        <f>'Текущие затраты'!AG6</f>
        <v>54700.526681618408</v>
      </c>
      <c r="AH9" s="11">
        <f>'Текущие затраты'!AH6</f>
        <v>54882.861770557145</v>
      </c>
      <c r="AI9" s="11">
        <f>'Текущие затраты'!AI6</f>
        <v>55065.804643125673</v>
      </c>
      <c r="AJ9" s="11">
        <f>'Текущие затраты'!AJ6</f>
        <v>55249.357325269433</v>
      </c>
      <c r="AK9" s="11">
        <f>'Текущие затраты'!AK6</f>
        <v>55433.521849687007</v>
      </c>
      <c r="AL9" s="11">
        <f>'Текущие затраты'!AL6</f>
        <v>55618.300255852635</v>
      </c>
      <c r="AM9" s="11">
        <f>'Текущие затраты'!AM6</f>
        <v>55803.694590038824</v>
      </c>
      <c r="AN9" s="11">
        <f>'Текущие затраты'!AN6</f>
        <v>55989.706905338957</v>
      </c>
      <c r="AO9" s="11">
        <f>'Текущие затраты'!AO6</f>
        <v>56176.339261690089</v>
      </c>
      <c r="AP9" s="11">
        <f>'Текущие затраты'!AP6</f>
        <v>56363.59372589572</v>
      </c>
      <c r="AQ9" s="11">
        <f>'Текущие затраты'!AQ6</f>
        <v>56551.472371648713</v>
      </c>
      <c r="AR9" s="11">
        <f>'Текущие затраты'!AR6</f>
        <v>56739.977279554209</v>
      </c>
      <c r="AS9" s="11">
        <f>'Текущие затраты'!AS6</f>
        <v>56929.11053715273</v>
      </c>
      <c r="AT9" s="11">
        <f>'Текущие затраты'!AT6</f>
        <v>57118.874238943237</v>
      </c>
      <c r="AU9" s="11">
        <f>'Текущие затраты'!AU6</f>
        <v>57309.270486406393</v>
      </c>
      <c r="AV9" s="11">
        <f>'Текущие затраты'!AV6</f>
        <v>57500.30138802775</v>
      </c>
      <c r="AW9" s="11">
        <f>'Текущие затраты'!AW6</f>
        <v>57691.969059321178</v>
      </c>
      <c r="AX9" s="11">
        <f>'Текущие затраты'!AX6</f>
        <v>57884.275622852256</v>
      </c>
      <c r="AY9" s="11">
        <f>'Текущие затраты'!AY6</f>
        <v>58077.223208261763</v>
      </c>
      <c r="AZ9" s="11">
        <f>'Текущие затраты'!AZ6</f>
        <v>58270.813952289303</v>
      </c>
      <c r="BA9" s="11">
        <f>'Текущие затраты'!BA6</f>
        <v>58465.049998796938</v>
      </c>
      <c r="BB9" s="11">
        <f>'Текущие затраты'!BB6</f>
        <v>58659.933498792925</v>
      </c>
      <c r="BC9" s="11">
        <f>'Текущие затраты'!BC6</f>
        <v>58855.466610455573</v>
      </c>
      <c r="BD9" s="11">
        <f>'Текущие затраты'!BD6</f>
        <v>59051.651499157095</v>
      </c>
      <c r="BE9" s="11">
        <f>'Текущие затраты'!BE6</f>
        <v>59248.490337487623</v>
      </c>
      <c r="BF9" s="11">
        <f>'Текущие затраты'!BF6</f>
        <v>59445.985305279261</v>
      </c>
      <c r="BG9" s="11">
        <f>'Текущие затраты'!BG6</f>
        <v>59644.138589630194</v>
      </c>
      <c r="BH9" s="11">
        <f>'Текущие затраты'!BH6</f>
        <v>59842.952384928962</v>
      </c>
      <c r="BI9" s="11">
        <f>'Текущие затраты'!BI6</f>
        <v>60042.428892878728</v>
      </c>
      <c r="BJ9" s="11">
        <f>'Текущие затраты'!BJ6</f>
        <v>60242.570322521657</v>
      </c>
      <c r="BK9" s="11">
        <f>'Текущие затраты'!BK6</f>
        <v>60443.378890263397</v>
      </c>
      <c r="BL9" s="11">
        <f>'Текущие затраты'!BL6</f>
        <v>60644.856819897621</v>
      </c>
      <c r="BM9" s="11">
        <f>'Текущие затраты'!BM6</f>
        <v>60847.006342630615</v>
      </c>
    </row>
    <row r="10" spans="2:65" x14ac:dyDescent="0.35">
      <c r="B10" s="26" t="s">
        <v>28</v>
      </c>
      <c r="D10" s="11">
        <f t="shared" si="58"/>
        <v>652989.78182634909</v>
      </c>
      <c r="E10" s="11"/>
      <c r="F10" s="11">
        <f>'Текущие затраты'!F7</f>
        <v>0</v>
      </c>
      <c r="G10" s="11">
        <f>'Текущие затраты'!G7</f>
        <v>10033.333333333334</v>
      </c>
      <c r="H10" s="11">
        <f>'Текущие затраты'!H7</f>
        <v>10066.777777777779</v>
      </c>
      <c r="I10" s="11">
        <f>'Текущие затраты'!I7</f>
        <v>10100.333703703707</v>
      </c>
      <c r="J10" s="11">
        <f>'Текущие затраты'!J7</f>
        <v>10134.001482716056</v>
      </c>
      <c r="K10" s="11">
        <f>'Текущие затраты'!K7</f>
        <v>10167.781487658443</v>
      </c>
      <c r="L10" s="11">
        <f>'Текущие затраты'!L7</f>
        <v>10201.674092617306</v>
      </c>
      <c r="M10" s="11">
        <f>'Текущие затраты'!M7</f>
        <v>10235.67967292603</v>
      </c>
      <c r="N10" s="11">
        <f>'Текущие затраты'!N7</f>
        <v>10269.798605169119</v>
      </c>
      <c r="O10" s="11">
        <f>'Текущие затраты'!O7</f>
        <v>10304.031267186348</v>
      </c>
      <c r="P10" s="11">
        <f>'Текущие затраты'!P7</f>
        <v>10338.378038076969</v>
      </c>
      <c r="Q10" s="11">
        <f>'Текущие затраты'!Q7</f>
        <v>10372.839298203893</v>
      </c>
      <c r="R10" s="11">
        <f>'Текущие затраты'!R7</f>
        <v>10407.415429197907</v>
      </c>
      <c r="S10" s="11">
        <f>'Текущие затраты'!S7</f>
        <v>10442.1068139619</v>
      </c>
      <c r="T10" s="11">
        <f>'Текущие затраты'!T7</f>
        <v>10476.913836675109</v>
      </c>
      <c r="U10" s="11">
        <f>'Текущие затраты'!U7</f>
        <v>10511.836882797359</v>
      </c>
      <c r="V10" s="11">
        <f>'Текущие затраты'!V7</f>
        <v>10546.876339073349</v>
      </c>
      <c r="W10" s="11">
        <f>'Текущие затраты'!W7</f>
        <v>10582.032593536929</v>
      </c>
      <c r="X10" s="11">
        <f>'Текущие затраты'!X7</f>
        <v>10617.306035515387</v>
      </c>
      <c r="Y10" s="11">
        <f>'Текущие затраты'!Y7</f>
        <v>10652.697055633771</v>
      </c>
      <c r="Z10" s="11">
        <f>'Текущие затраты'!Z7</f>
        <v>10688.206045819217</v>
      </c>
      <c r="AA10" s="11">
        <f>'Текущие затраты'!AA7</f>
        <v>10723.833399305282</v>
      </c>
      <c r="AB10" s="11">
        <f>'Текущие затраты'!AB7</f>
        <v>10759.579510636302</v>
      </c>
      <c r="AC10" s="11">
        <f>'Текущие затраты'!AC7</f>
        <v>10795.444775671756</v>
      </c>
      <c r="AD10" s="11">
        <f>'Текущие затраты'!AD7</f>
        <v>10831.429591590662</v>
      </c>
      <c r="AE10" s="11">
        <f>'Текущие затраты'!AE7</f>
        <v>10867.534356895965</v>
      </c>
      <c r="AF10" s="11">
        <f>'Текущие затраты'!AF7</f>
        <v>10903.759471418953</v>
      </c>
      <c r="AG10" s="11">
        <f>'Текущие затраты'!AG7</f>
        <v>10940.105336323682</v>
      </c>
      <c r="AH10" s="11">
        <f>'Текущие затраты'!AH7</f>
        <v>10976.572354111429</v>
      </c>
      <c r="AI10" s="11">
        <f>'Текущие затраты'!AI7</f>
        <v>11013.160928625135</v>
      </c>
      <c r="AJ10" s="11">
        <f>'Текущие затраты'!AJ7</f>
        <v>11049.871465053886</v>
      </c>
      <c r="AK10" s="11">
        <f>'Текущие затраты'!AK7</f>
        <v>11086.704369937401</v>
      </c>
      <c r="AL10" s="11">
        <f>'Текущие затраты'!AL7</f>
        <v>11123.660051170527</v>
      </c>
      <c r="AM10" s="11">
        <f>'Текущие затраты'!AM7</f>
        <v>11160.738918007764</v>
      </c>
      <c r="AN10" s="11">
        <f>'Текущие затраты'!AN7</f>
        <v>11197.941381067791</v>
      </c>
      <c r="AO10" s="11">
        <f>'Текущие затраты'!AO7</f>
        <v>11235.267852338018</v>
      </c>
      <c r="AP10" s="11">
        <f>'Текущие затраты'!AP7</f>
        <v>11272.718745179145</v>
      </c>
      <c r="AQ10" s="11">
        <f>'Текущие затраты'!AQ7</f>
        <v>11310.294474329743</v>
      </c>
      <c r="AR10" s="11">
        <f>'Текущие затраты'!AR7</f>
        <v>11347.995455910843</v>
      </c>
      <c r="AS10" s="11">
        <f>'Текущие затраты'!AS7</f>
        <v>11385.822107430546</v>
      </c>
      <c r="AT10" s="11">
        <f>'Текущие затраты'!AT7</f>
        <v>11423.774847788649</v>
      </c>
      <c r="AU10" s="11">
        <f>'Текущие затраты'!AU7</f>
        <v>11461.854097281279</v>
      </c>
      <c r="AV10" s="11">
        <f>'Текущие затраты'!AV7</f>
        <v>11500.060277605551</v>
      </c>
      <c r="AW10" s="11">
        <f>'Текущие затраты'!AW7</f>
        <v>11538.393811864236</v>
      </c>
      <c r="AX10" s="11">
        <f>'Текущие затраты'!AX7</f>
        <v>11576.855124570451</v>
      </c>
      <c r="AY10" s="11">
        <f>'Текущие затраты'!AY7</f>
        <v>11615.444641652353</v>
      </c>
      <c r="AZ10" s="11">
        <f>'Текущие затраты'!AZ7</f>
        <v>11654.16279045786</v>
      </c>
      <c r="BA10" s="11">
        <f>'Текущие затраты'!BA7</f>
        <v>11693.009999759388</v>
      </c>
      <c r="BB10" s="11">
        <f>'Текущие затраты'!BB7</f>
        <v>11731.986699758585</v>
      </c>
      <c r="BC10" s="11">
        <f>'Текущие затраты'!BC7</f>
        <v>11771.093322091116</v>
      </c>
      <c r="BD10" s="11">
        <f>'Текущие затраты'!BD7</f>
        <v>11810.330299831419</v>
      </c>
      <c r="BE10" s="11">
        <f>'Текущие затраты'!BE7</f>
        <v>11849.698067497526</v>
      </c>
      <c r="BF10" s="11">
        <f>'Текущие затраты'!BF7</f>
        <v>11889.197061055851</v>
      </c>
      <c r="BG10" s="11">
        <f>'Текущие затраты'!BG7</f>
        <v>11928.827717926039</v>
      </c>
      <c r="BH10" s="11">
        <f>'Текущие затраты'!BH7</f>
        <v>11968.590476985792</v>
      </c>
      <c r="BI10" s="11">
        <f>'Текущие затраты'!BI7</f>
        <v>12008.485778575747</v>
      </c>
      <c r="BJ10" s="11">
        <f>'Текущие затраты'!BJ7</f>
        <v>12048.514064504332</v>
      </c>
      <c r="BK10" s="11">
        <f>'Текущие затраты'!BK7</f>
        <v>12088.67577805268</v>
      </c>
      <c r="BL10" s="11">
        <f>'Текущие затраты'!BL7</f>
        <v>12128.971363979525</v>
      </c>
      <c r="BM10" s="11">
        <f>'Текущие затраты'!BM7</f>
        <v>12169.401268526124</v>
      </c>
    </row>
    <row r="11" spans="2:65" x14ac:dyDescent="0.35">
      <c r="B11" s="26" t="s">
        <v>22</v>
      </c>
      <c r="D11" s="11">
        <f t="shared" si="58"/>
        <v>2105376.7201020806</v>
      </c>
      <c r="E11" s="11"/>
      <c r="F11" s="11">
        <f>'Текущие затраты'!F8</f>
        <v>0</v>
      </c>
      <c r="G11" s="11">
        <f>'Текущие затраты'!G8</f>
        <v>3138.4427083333335</v>
      </c>
      <c r="H11" s="11">
        <f>'Текущие затраты'!H8</f>
        <v>3150.6834418402782</v>
      </c>
      <c r="I11" s="11">
        <f>'Текущие затраты'!I8</f>
        <v>9488.9171740993952</v>
      </c>
      <c r="J11" s="11">
        <f>'Текущие затраты'!J8</f>
        <v>11113.584119826473</v>
      </c>
      <c r="K11" s="11">
        <f>'Текущие затраты'!K8</f>
        <v>11156.934969893293</v>
      </c>
      <c r="L11" s="11">
        <f>'Текущие затраты'!L8</f>
        <v>11200.456596000615</v>
      </c>
      <c r="M11" s="11">
        <f>'Текущие затраты'!M8</f>
        <v>16204.981258476941</v>
      </c>
      <c r="N11" s="11">
        <f>'Текущие затраты'!N8</f>
        <v>16269.943093802363</v>
      </c>
      <c r="O11" s="11">
        <f>'Текущие затраты'!O8</f>
        <v>24502.750610562871</v>
      </c>
      <c r="P11" s="11">
        <f>'Текущие затраты'!P8</f>
        <v>19134.096639037609</v>
      </c>
      <c r="Q11" s="11">
        <f>'Текущие затраты'!Q8</f>
        <v>19210.80668143916</v>
      </c>
      <c r="R11" s="11">
        <f>'Текущие затраты'!R8</f>
        <v>27554.037568309301</v>
      </c>
      <c r="S11" s="11">
        <f>'Текущие затраты'!S8</f>
        <v>32744.766054121617</v>
      </c>
      <c r="T11" s="11">
        <f>'Текущие затраты'!T8</f>
        <v>29589.166531357176</v>
      </c>
      <c r="U11" s="11">
        <f>'Текущие затраты'!U8</f>
        <v>39611.367843398766</v>
      </c>
      <c r="V11" s="11">
        <f>'Текущие затраты'!V8</f>
        <v>29828.369468228651</v>
      </c>
      <c r="W11" s="11">
        <f>'Текущие затраты'!W8</f>
        <v>26621.066011009589</v>
      </c>
      <c r="X11" s="11">
        <f>'Текущие затраты'!X8</f>
        <v>36751.632190887547</v>
      </c>
      <c r="Y11" s="11">
        <f>'Текущие затраты'!Y8</f>
        <v>40254.433883363599</v>
      </c>
      <c r="Z11" s="11">
        <f>'Текущие затраты'!Z8</f>
        <v>47152.973399796989</v>
      </c>
      <c r="AA11" s="11">
        <f>'Текущие затраты'!AA8</f>
        <v>60869.840574132118</v>
      </c>
      <c r="AB11" s="11">
        <f>'Текущие затраты'!AB8</f>
        <v>23767.10856909207</v>
      </c>
      <c r="AC11" s="11">
        <f>'Текущие затраты'!AC8</f>
        <v>27271.9999742164</v>
      </c>
      <c r="AD11" s="11">
        <f>'Текущие затраты'!AD8</f>
        <v>41073.052238775614</v>
      </c>
      <c r="AE11" s="11">
        <f>'Текущие затраты'!AE8</f>
        <v>48111.903281914951</v>
      </c>
      <c r="AF11" s="11">
        <f>'Текущие затраты'!AF8</f>
        <v>41405.168700469774</v>
      </c>
      <c r="AG11" s="11">
        <f>'Текущие затраты'!AG8</f>
        <v>48500.944749817027</v>
      </c>
      <c r="AH11" s="11">
        <f>'Текущие затраты'!AH8</f>
        <v>34783.321636782195</v>
      </c>
      <c r="AI11" s="11">
        <f>'Текущие затраты'!AI8</f>
        <v>27938.942857430331</v>
      </c>
      <c r="AJ11" s="11">
        <f>'Текущие затраты'!AJ8</f>
        <v>42077.526098540118</v>
      </c>
      <c r="AK11" s="11">
        <f>'Текущие затраты'!AK8</f>
        <v>42247.324188218176</v>
      </c>
      <c r="AL11" s="11">
        <f>'Текущие затраты'!AL8</f>
        <v>49487.44657906481</v>
      </c>
      <c r="AM11" s="11">
        <f>'Текущие затраты'!AM8</f>
        <v>63883.485606147071</v>
      </c>
      <c r="AN11" s="11">
        <f>'Текущие затраты'!AN8</f>
        <v>24943.837427438295</v>
      </c>
      <c r="AO11" s="11">
        <f>'Текущие затраты'!AO8</f>
        <v>28622.290305314069</v>
      </c>
      <c r="AP11" s="11">
        <f>'Текущие затраты'!AP8</f>
        <v>43106.707138453145</v>
      </c>
      <c r="AQ11" s="11">
        <f>'Текущие затраты'!AQ8</f>
        <v>50494.129068628128</v>
      </c>
      <c r="AR11" s="11">
        <f>'Текущие затраты'!AR8</f>
        <v>43455.363086832054</v>
      </c>
      <c r="AS11" s="11">
        <f>'Текущие затраты'!AS8</f>
        <v>43630.753101965885</v>
      </c>
      <c r="AT11" s="11">
        <f>'Текущие затраты'!AT8</f>
        <v>36505.71249625308</v>
      </c>
      <c r="AU11" s="11">
        <f>'Текущие затраты'!AU8</f>
        <v>29322.447780374045</v>
      </c>
      <c r="AV11" s="11">
        <f>'Текущие затраты'!AV8</f>
        <v>44161.206042139762</v>
      </c>
      <c r="AW11" s="11">
        <f>'Текущие затраты'!AW8</f>
        <v>44339.461037176545</v>
      </c>
      <c r="AX11" s="11">
        <f>'Текущие затраты'!AX8</f>
        <v>51938.179527024207</v>
      </c>
      <c r="AY11" s="11">
        <f>'Текущие затраты'!AY8</f>
        <v>67047.216998011034</v>
      </c>
      <c r="AZ11" s="11">
        <f>'Текущие затраты'!AZ8</f>
        <v>26179.171207267627</v>
      </c>
      <c r="BA11" s="11">
        <f>'Текущие затраты'!BA8</f>
        <v>30039.830807410315</v>
      </c>
      <c r="BB11" s="11">
        <f>'Текущие затраты'!BB8</f>
        <v>45241.648648661903</v>
      </c>
      <c r="BC11" s="11">
        <f>'Текущие затраты'!BC8</f>
        <v>52995.004445461702</v>
      </c>
      <c r="BD11" s="11">
        <f>'Текущие затраты'!BD8</f>
        <v>45607.671851039915</v>
      </c>
      <c r="BE11" s="11">
        <f>'Текущие затраты'!BE8</f>
        <v>45791.798651935998</v>
      </c>
      <c r="BF11" s="11">
        <f>'Текущие затраты'!BF8</f>
        <v>38313.894136626652</v>
      </c>
      <c r="BG11" s="11">
        <f>'Текущие затраты'!BG8</f>
        <v>30774.86522406973</v>
      </c>
      <c r="BH11" s="11">
        <f>'Текущие затраты'!BH8</f>
        <v>46348.676329896072</v>
      </c>
      <c r="BI11" s="11">
        <f>'Текущие затраты'!BI8</f>
        <v>46535.811519365467</v>
      </c>
      <c r="BJ11" s="11">
        <f>'Текущие затраты'!BJ8</f>
        <v>54510.990906330233</v>
      </c>
      <c r="BK11" s="11">
        <f>'Текущие затраты'!BK8</f>
        <v>70368.546516731556</v>
      </c>
      <c r="BL11" s="11">
        <f>'Текущие затраты'!BL8</f>
        <v>27476.04311163097</v>
      </c>
      <c r="BM11" s="11">
        <f>'Текущие затраты'!BM8</f>
        <v>31527.987437655167</v>
      </c>
    </row>
    <row r="12" spans="2:65" x14ac:dyDescent="0.35">
      <c r="B12" s="26" t="s">
        <v>23</v>
      </c>
      <c r="D12" s="11">
        <f t="shared" si="58"/>
        <v>20979261.062497087</v>
      </c>
      <c r="E12" s="11"/>
      <c r="F12" s="11">
        <f>'Текущие затраты'!F11</f>
        <v>0</v>
      </c>
      <c r="G12" s="11">
        <f>'Текущие затраты'!G11</f>
        <v>73432.719427083328</v>
      </c>
      <c r="H12" s="11">
        <f>'Текущие затраты'!H11</f>
        <v>73692.70298025175</v>
      </c>
      <c r="I12" s="11">
        <f>'Текущие затраты'!I11</f>
        <v>110757.17879282321</v>
      </c>
      <c r="J12" s="11">
        <f>'Текущие затраты'!J11</f>
        <v>120411.6014561035</v>
      </c>
      <c r="K12" s="11">
        <f>'Текущие затраты'!K11</f>
        <v>120866.86895537481</v>
      </c>
      <c r="L12" s="11">
        <f>'Текущие затраты'!L11</f>
        <v>121323.87857753712</v>
      </c>
      <c r="M12" s="11">
        <f>'Текущие затраты'!M11</f>
        <v>168558.63625410892</v>
      </c>
      <c r="N12" s="11">
        <f>'Текущие затраты'!N11</f>
        <v>169214.05037333348</v>
      </c>
      <c r="O12" s="11">
        <f>'Текущие затраты'!O11</f>
        <v>226471.97252466055</v>
      </c>
      <c r="P12" s="11">
        <f>'Текущие затраты'!P11</f>
        <v>189477.86788373528</v>
      </c>
      <c r="Q12" s="11">
        <f>'Текущие затраты'!Q11</f>
        <v>190219.97476724297</v>
      </c>
      <c r="R12" s="11">
        <f>'Текущие затраты'!R11</f>
        <v>248275.40051020932</v>
      </c>
      <c r="S12" s="11">
        <f>'Текущие затраты'!S11</f>
        <v>289904.23204393685</v>
      </c>
      <c r="T12" s="11">
        <f>'Текущие затраты'!T11</f>
        <v>267720.17862927169</v>
      </c>
      <c r="U12" s="11">
        <f>'Текущие затраты'!U11</f>
        <v>339111.84596172778</v>
      </c>
      <c r="V12" s="11">
        <f>'Текущие затраты'!V11</f>
        <v>269859.42951686744</v>
      </c>
      <c r="W12" s="11">
        <f>'Текущие затраты'!W11</f>
        <v>247298.35676861362</v>
      </c>
      <c r="X12" s="11">
        <f>'Текущие затраты'!X11</f>
        <v>319487.17150967289</v>
      </c>
      <c r="Y12" s="11">
        <f>'Текущие затраты'!Y11</f>
        <v>344604.23918669263</v>
      </c>
      <c r="Z12" s="11">
        <f>'Текущие затраты'!Z11</f>
        <v>393858.95400009776</v>
      </c>
      <c r="AA12" s="11">
        <f>'Текущие затраты'!AA11</f>
        <v>491585.32012630504</v>
      </c>
      <c r="AB12" s="11">
        <f>'Текущие затраты'!AB11</f>
        <v>228113.64722924557</v>
      </c>
      <c r="AC12" s="11">
        <f>'Текущие затраты'!AC11</f>
        <v>253249.07169905069</v>
      </c>
      <c r="AD12" s="11">
        <f>'Текущие затраты'!AD11</f>
        <v>416584.34173653211</v>
      </c>
      <c r="AE12" s="11">
        <f>'Текущие затраты'!AE11</f>
        <v>467089.58588060562</v>
      </c>
      <c r="AF12" s="11">
        <f>'Текущие затраты'!AF11</f>
        <v>419854.72937520652</v>
      </c>
      <c r="AG12" s="11">
        <f>'Текущие затраты'!AG11</f>
        <v>470781.03277793759</v>
      </c>
      <c r="AH12" s="11">
        <f>'Текущие затраты'!AH11</f>
        <v>373664.29326234653</v>
      </c>
      <c r="AI12" s="11">
        <f>'Текущие затраты'!AI11</f>
        <v>325423.09866854135</v>
      </c>
      <c r="AJ12" s="11">
        <f>'Текущие затраты'!AJ11</f>
        <v>426473.46725708153</v>
      </c>
      <c r="AK12" s="11">
        <f>'Текущие затраты'!AK11</f>
        <v>428144.54543577938</v>
      </c>
      <c r="AL12" s="11">
        <f>'Текущие затраты'!AL11</f>
        <v>480138.92393650906</v>
      </c>
      <c r="AM12" s="11">
        <f>'Текущие затраты'!AM11</f>
        <v>583085.58775465854</v>
      </c>
      <c r="AN12" s="11">
        <f>'Текущие затраты'!AN11</f>
        <v>306355.37013304327</v>
      </c>
      <c r="AO12" s="11">
        <f>'Текущие затраты'!AO11</f>
        <v>332998.67394204938</v>
      </c>
      <c r="AP12" s="11">
        <f>'Текущие затраты'!AP11</f>
        <v>436599.6128650544</v>
      </c>
      <c r="AQ12" s="11">
        <f>'Текущие затраты'!AQ11</f>
        <v>489684.47457111062</v>
      </c>
      <c r="AR12" s="11">
        <f>'Текущие затраты'!AR11</f>
        <v>440028.65215737751</v>
      </c>
      <c r="AS12" s="11">
        <f>'Текущие затраты'!AS11</f>
        <v>441753.35325158079</v>
      </c>
      <c r="AT12" s="11">
        <f>'Текущие затраты'!AT11</f>
        <v>391466.30020403885</v>
      </c>
      <c r="AU12" s="11">
        <f>'Текущие затраты'!AU11</f>
        <v>340752.6099804918</v>
      </c>
      <c r="AV12" s="11">
        <f>'Текущие затраты'!AV11</f>
        <v>446968.50803423539</v>
      </c>
      <c r="AW12" s="11">
        <f>'Текущие затраты'!AW11</f>
        <v>448720.66790671769</v>
      </c>
      <c r="AX12" s="11">
        <f>'Текущие затраты'!AX11</f>
        <v>503370.74894058832</v>
      </c>
      <c r="AY12" s="11">
        <f>'Текущие затраты'!AY11</f>
        <v>611579.91614829563</v>
      </c>
      <c r="AZ12" s="11">
        <f>'Текущие затраты'!AZ11</f>
        <v>320687.19726892241</v>
      </c>
      <c r="BA12" s="11">
        <f>'Текущие затраты'!BA11</f>
        <v>348689.1500832155</v>
      </c>
      <c r="BB12" s="11">
        <f>'Текущие затраты'!BB11</f>
        <v>457586.02177048498</v>
      </c>
      <c r="BC12" s="11">
        <f>'Текущие затраты'!BC11</f>
        <v>513382.30289720179</v>
      </c>
      <c r="BD12" s="11">
        <f>'Текущие затраты'!BD11</f>
        <v>461181.47650538315</v>
      </c>
      <c r="BE12" s="11">
        <f>'Текущие затраты'!BE11</f>
        <v>462989.88365878223</v>
      </c>
      <c r="BF12" s="11">
        <f>'Текущие затраты'!BF11</f>
        <v>410125.50150664616</v>
      </c>
      <c r="BG12" s="11">
        <f>'Текущие затраты'!BG11</f>
        <v>356812.63945076754</v>
      </c>
      <c r="BH12" s="11">
        <f>'Текущие затраты'!BH11</f>
        <v>468458.1660316051</v>
      </c>
      <c r="BI12" s="11">
        <f>'Текущие затраты'!BI11</f>
        <v>470295.37606466573</v>
      </c>
      <c r="BJ12" s="11">
        <f>'Текущие затраты'!BJ11</f>
        <v>527736.84998751665</v>
      </c>
      <c r="BK12" s="11">
        <f>'Текущие затраты'!BK11</f>
        <v>641477.57921841531</v>
      </c>
      <c r="BL12" s="11">
        <f>'Текущие затраты'!BL11</f>
        <v>335697.59700737457</v>
      </c>
      <c r="BM12" s="11">
        <f>'Текущие затраты'!BM11</f>
        <v>365127.52765237435</v>
      </c>
    </row>
    <row r="13" spans="2:65" x14ac:dyDescent="0.35">
      <c r="B13" s="26" t="s">
        <v>24</v>
      </c>
      <c r="D13" s="11">
        <f t="shared" si="58"/>
        <v>2378356.3888638169</v>
      </c>
      <c r="E13" s="11"/>
      <c r="F13" s="11">
        <f>'Текущие затраты'!F17</f>
        <v>0</v>
      </c>
      <c r="G13" s="11">
        <f>'Текущие затраты'!G17</f>
        <v>23443.936833333333</v>
      </c>
      <c r="H13" s="11">
        <f>'Текущие затраты'!H17</f>
        <v>23522.08328944445</v>
      </c>
      <c r="I13" s="11">
        <f>'Текущие затраты'!I17</f>
        <v>23600.490233742603</v>
      </c>
      <c r="J13" s="11">
        <f>'Текущие затраты'!J17</f>
        <v>23679.158534521746</v>
      </c>
      <c r="K13" s="11">
        <f>'Текущие затраты'!K17</f>
        <v>23758.089062970153</v>
      </c>
      <c r="L13" s="11">
        <f>'Текущие затраты'!L17</f>
        <v>23837.282693180059</v>
      </c>
      <c r="M13" s="11">
        <f>'Текущие затраты'!M17</f>
        <v>34094.076600947679</v>
      </c>
      <c r="N13" s="11">
        <f>'Текущие затраты'!N17</f>
        <v>34207.723522950844</v>
      </c>
      <c r="O13" s="11">
        <f>'Текущие затраты'!O17</f>
        <v>34321.74926802735</v>
      </c>
      <c r="P13" s="11">
        <f>'Текущие затраты'!P17</f>
        <v>34436.155098920768</v>
      </c>
      <c r="Q13" s="11">
        <f>'Текущие затраты'!Q17</f>
        <v>34550.942282583841</v>
      </c>
      <c r="R13" s="11">
        <f>'Текущие затраты'!R17</f>
        <v>34666.112090192451</v>
      </c>
      <c r="S13" s="11">
        <f>'Текущие затраты'!S17</f>
        <v>39972.959199720914</v>
      </c>
      <c r="T13" s="11">
        <f>'Текущие затраты'!T17</f>
        <v>40106.202397053326</v>
      </c>
      <c r="U13" s="11">
        <f>'Текущие затраты'!U17</f>
        <v>40239.889738376834</v>
      </c>
      <c r="V13" s="11">
        <f>'Текущие затраты'!V17</f>
        <v>40374.022704171432</v>
      </c>
      <c r="W13" s="11">
        <f>'Текущие затраты'!W17</f>
        <v>40508.602779852008</v>
      </c>
      <c r="X13" s="11">
        <f>'Текущие затраты'!X17</f>
        <v>40643.631455784845</v>
      </c>
      <c r="Y13" s="11">
        <f>'Текущие затраты'!Y17</f>
        <v>40779.110227304132</v>
      </c>
      <c r="Z13" s="11">
        <f>'Текущие затраты'!Z17</f>
        <v>40915.040594728482</v>
      </c>
      <c r="AA13" s="11">
        <f>'Текущие затраты'!AA17</f>
        <v>41051.424063377577</v>
      </c>
      <c r="AB13" s="11">
        <f>'Текущие затраты'!AB17</f>
        <v>41188.262143588843</v>
      </c>
      <c r="AC13" s="11">
        <f>'Текущие затраты'!AC17</f>
        <v>41325.556350734143</v>
      </c>
      <c r="AD13" s="11">
        <f>'Текущие затраты'!AD17</f>
        <v>41463.308205236586</v>
      </c>
      <c r="AE13" s="11">
        <f>'Текущие затраты'!AE17</f>
        <v>41601.51923258738</v>
      </c>
      <c r="AF13" s="11">
        <f>'Текущие затраты'!AF17</f>
        <v>41740.190963362671</v>
      </c>
      <c r="AG13" s="11">
        <f>'Текущие затраты'!AG17</f>
        <v>41879.324933240547</v>
      </c>
      <c r="AH13" s="11">
        <f>'Текущие затраты'!AH17</f>
        <v>42018.92268301802</v>
      </c>
      <c r="AI13" s="11">
        <f>'Текущие затраты'!AI17</f>
        <v>42158.985758628085</v>
      </c>
      <c r="AJ13" s="11">
        <f>'Текущие затраты'!AJ17</f>
        <v>42299.515711156848</v>
      </c>
      <c r="AK13" s="11">
        <f>'Текущие затраты'!AK17</f>
        <v>42440.514096860716</v>
      </c>
      <c r="AL13" s="11">
        <f>'Текущие затраты'!AL17</f>
        <v>42581.982477183592</v>
      </c>
      <c r="AM13" s="11">
        <f>'Текущие затраты'!AM17</f>
        <v>42723.922418774207</v>
      </c>
      <c r="AN13" s="11">
        <f>'Текущие затраты'!AN17</f>
        <v>42866.335493503459</v>
      </c>
      <c r="AO13" s="11">
        <f>'Текущие затраты'!AO17</f>
        <v>43009.223278481804</v>
      </c>
      <c r="AP13" s="11">
        <f>'Текущие затраты'!AP17</f>
        <v>43152.587356076743</v>
      </c>
      <c r="AQ13" s="11">
        <f>'Текущие затраты'!AQ17</f>
        <v>43296.429313930341</v>
      </c>
      <c r="AR13" s="11">
        <f>'Текущие затраты'!AR17</f>
        <v>43440.750744976773</v>
      </c>
      <c r="AS13" s="11">
        <f>'Текущие затраты'!AS17</f>
        <v>43585.553247460033</v>
      </c>
      <c r="AT13" s="11">
        <f>'Текущие затраты'!AT17</f>
        <v>43730.838424951566</v>
      </c>
      <c r="AU13" s="11">
        <f>'Текущие затраты'!AU17</f>
        <v>43876.607886368081</v>
      </c>
      <c r="AV13" s="11">
        <f>'Текущие затраты'!AV17</f>
        <v>44022.863245989312</v>
      </c>
      <c r="AW13" s="11">
        <f>'Текущие затраты'!AW17</f>
        <v>44169.60612347594</v>
      </c>
      <c r="AX13" s="11">
        <f>'Текущие затраты'!AX17</f>
        <v>44316.838143887529</v>
      </c>
      <c r="AY13" s="11">
        <f>'Текущие затраты'!AY17</f>
        <v>44464.560937700495</v>
      </c>
      <c r="AZ13" s="11">
        <f>'Текущие затраты'!AZ17</f>
        <v>44612.776140826158</v>
      </c>
      <c r="BA13" s="11">
        <f>'Текущие затраты'!BA17</f>
        <v>44761.485394628915</v>
      </c>
      <c r="BB13" s="11">
        <f>'Текущие затраты'!BB17</f>
        <v>44910.690345944349</v>
      </c>
      <c r="BC13" s="11">
        <f>'Текущие затраты'!BC17</f>
        <v>45060.392647097498</v>
      </c>
      <c r="BD13" s="11">
        <f>'Текущие затраты'!BD17</f>
        <v>45210.593955921162</v>
      </c>
      <c r="BE13" s="11">
        <f>'Текущие затраты'!BE17</f>
        <v>45361.295935774229</v>
      </c>
      <c r="BF13" s="11">
        <f>'Текущие затраты'!BF17</f>
        <v>45512.500255560153</v>
      </c>
      <c r="BG13" s="11">
        <f>'Текущие затраты'!BG17</f>
        <v>45664.208589745358</v>
      </c>
      <c r="BH13" s="11">
        <f>'Текущие затраты'!BH17</f>
        <v>45816.422618377837</v>
      </c>
      <c r="BI13" s="11">
        <f>'Текущие затраты'!BI17</f>
        <v>45969.144027105773</v>
      </c>
      <c r="BJ13" s="11">
        <f>'Текущие затраты'!BJ17</f>
        <v>46122.374507196124</v>
      </c>
      <c r="BK13" s="11">
        <f>'Текущие затраты'!BK17</f>
        <v>46276.115755553445</v>
      </c>
      <c r="BL13" s="11">
        <f>'Текущие затраты'!BL17</f>
        <v>46430.369474738633</v>
      </c>
      <c r="BM13" s="11">
        <f>'Текущие затраты'!BM17</f>
        <v>46585.137372987767</v>
      </c>
    </row>
    <row r="14" spans="2:65" x14ac:dyDescent="0.35">
      <c r="B14" s="26" t="s">
        <v>25</v>
      </c>
      <c r="D14" s="11">
        <f t="shared" si="58"/>
        <v>320945.25</v>
      </c>
      <c r="E14" s="11"/>
      <c r="F14" s="11">
        <f>'Текущие затраты'!F18</f>
        <v>0</v>
      </c>
      <c r="G14" s="11">
        <f>'Текущие затраты'!G18</f>
        <v>5439.75</v>
      </c>
      <c r="H14" s="11">
        <f>'Текущие затраты'!H18</f>
        <v>5439.75</v>
      </c>
      <c r="I14" s="11">
        <f>'Текущие затраты'!I18</f>
        <v>5439.75</v>
      </c>
      <c r="J14" s="11">
        <f>'Текущие затраты'!J18</f>
        <v>5439.75</v>
      </c>
      <c r="K14" s="11">
        <f>'Текущие затраты'!K18</f>
        <v>5439.75</v>
      </c>
      <c r="L14" s="11">
        <f>'Текущие затраты'!L18</f>
        <v>5439.75</v>
      </c>
      <c r="M14" s="11">
        <f>'Текущие затраты'!M18</f>
        <v>5439.75</v>
      </c>
      <c r="N14" s="11">
        <f>'Текущие затраты'!N18</f>
        <v>5439.75</v>
      </c>
      <c r="O14" s="11">
        <f>'Текущие затраты'!O18</f>
        <v>5439.75</v>
      </c>
      <c r="P14" s="11">
        <f>'Текущие затраты'!P18</f>
        <v>5439.75</v>
      </c>
      <c r="Q14" s="11">
        <f>'Текущие затраты'!Q18</f>
        <v>5439.75</v>
      </c>
      <c r="R14" s="11">
        <f>'Текущие затраты'!R18</f>
        <v>5439.75</v>
      </c>
      <c r="S14" s="11">
        <f>'Текущие затраты'!S18</f>
        <v>5439.75</v>
      </c>
      <c r="T14" s="11">
        <f>'Текущие затраты'!T18</f>
        <v>5439.75</v>
      </c>
      <c r="U14" s="11">
        <f>'Текущие затраты'!U18</f>
        <v>5439.75</v>
      </c>
      <c r="V14" s="11">
        <f>'Текущие затраты'!V18</f>
        <v>5439.75</v>
      </c>
      <c r="W14" s="11">
        <f>'Текущие затраты'!W18</f>
        <v>5439.75</v>
      </c>
      <c r="X14" s="11">
        <f>'Текущие затраты'!X18</f>
        <v>5439.75</v>
      </c>
      <c r="Y14" s="11">
        <f>'Текущие затраты'!Y18</f>
        <v>5439.75</v>
      </c>
      <c r="Z14" s="11">
        <f>'Текущие затраты'!Z18</f>
        <v>5439.75</v>
      </c>
      <c r="AA14" s="11">
        <f>'Текущие затраты'!AA18</f>
        <v>5439.75</v>
      </c>
      <c r="AB14" s="11">
        <f>'Текущие затраты'!AB18</f>
        <v>5439.75</v>
      </c>
      <c r="AC14" s="11">
        <f>'Текущие затраты'!AC18</f>
        <v>5439.75</v>
      </c>
      <c r="AD14" s="11">
        <f>'Текущие затраты'!AD18</f>
        <v>5439.75</v>
      </c>
      <c r="AE14" s="11">
        <f>'Текущие затраты'!AE18</f>
        <v>5439.75</v>
      </c>
      <c r="AF14" s="11">
        <f>'Текущие затраты'!AF18</f>
        <v>5439.75</v>
      </c>
      <c r="AG14" s="11">
        <f>'Текущие затраты'!AG18</f>
        <v>5439.75</v>
      </c>
      <c r="AH14" s="11">
        <f>'Текущие затраты'!AH18</f>
        <v>5439.75</v>
      </c>
      <c r="AI14" s="11">
        <f>'Текущие затраты'!AI18</f>
        <v>5439.75</v>
      </c>
      <c r="AJ14" s="11">
        <f>'Текущие затраты'!AJ18</f>
        <v>5439.75</v>
      </c>
      <c r="AK14" s="11">
        <f>'Текущие затраты'!AK18</f>
        <v>5439.75</v>
      </c>
      <c r="AL14" s="11">
        <f>'Текущие затраты'!AL18</f>
        <v>5439.75</v>
      </c>
      <c r="AM14" s="11">
        <f>'Текущие затраты'!AM18</f>
        <v>5439.75</v>
      </c>
      <c r="AN14" s="11">
        <f>'Текущие затраты'!AN18</f>
        <v>5439.75</v>
      </c>
      <c r="AO14" s="11">
        <f>'Текущие затраты'!AO18</f>
        <v>5439.75</v>
      </c>
      <c r="AP14" s="11">
        <f>'Текущие затраты'!AP18</f>
        <v>5439.75</v>
      </c>
      <c r="AQ14" s="11">
        <f>'Текущие затраты'!AQ18</f>
        <v>5439.75</v>
      </c>
      <c r="AR14" s="11">
        <f>'Текущие затраты'!AR18</f>
        <v>5439.75</v>
      </c>
      <c r="AS14" s="11">
        <f>'Текущие затраты'!AS18</f>
        <v>5439.75</v>
      </c>
      <c r="AT14" s="11">
        <f>'Текущие затраты'!AT18</f>
        <v>5439.75</v>
      </c>
      <c r="AU14" s="11">
        <f>'Текущие затраты'!AU18</f>
        <v>5439.75</v>
      </c>
      <c r="AV14" s="11">
        <f>'Текущие затраты'!AV18</f>
        <v>5439.75</v>
      </c>
      <c r="AW14" s="11">
        <f>'Текущие затраты'!AW18</f>
        <v>5439.75</v>
      </c>
      <c r="AX14" s="11">
        <f>'Текущие затраты'!AX18</f>
        <v>5439.75</v>
      </c>
      <c r="AY14" s="11">
        <f>'Текущие затраты'!AY18</f>
        <v>5439.75</v>
      </c>
      <c r="AZ14" s="11">
        <f>'Текущие затраты'!AZ18</f>
        <v>5439.75</v>
      </c>
      <c r="BA14" s="11">
        <f>'Текущие затраты'!BA18</f>
        <v>5439.75</v>
      </c>
      <c r="BB14" s="11">
        <f>'Текущие затраты'!BB18</f>
        <v>5439.75</v>
      </c>
      <c r="BC14" s="11">
        <f>'Текущие затраты'!BC18</f>
        <v>5439.75</v>
      </c>
      <c r="BD14" s="11">
        <f>'Текущие затраты'!BD18</f>
        <v>5439.75</v>
      </c>
      <c r="BE14" s="11">
        <f>'Текущие затраты'!BE18</f>
        <v>5439.75</v>
      </c>
      <c r="BF14" s="11">
        <f>'Текущие затраты'!BF18</f>
        <v>5439.75</v>
      </c>
      <c r="BG14" s="11">
        <f>'Текущие затраты'!BG18</f>
        <v>5439.75</v>
      </c>
      <c r="BH14" s="11">
        <f>'Текущие затраты'!BH18</f>
        <v>5439.75</v>
      </c>
      <c r="BI14" s="11">
        <f>'Текущие затраты'!BI18</f>
        <v>5439.75</v>
      </c>
      <c r="BJ14" s="11">
        <f>'Текущие затраты'!BJ18</f>
        <v>5439.75</v>
      </c>
      <c r="BK14" s="11">
        <f>'Текущие затраты'!BK18</f>
        <v>5439.75</v>
      </c>
      <c r="BL14" s="11">
        <f>'Текущие затраты'!BL18</f>
        <v>5439.75</v>
      </c>
      <c r="BM14" s="11">
        <f>'Текущие затраты'!BM18</f>
        <v>5439.75</v>
      </c>
    </row>
    <row r="15" spans="2:65" x14ac:dyDescent="0.35">
      <c r="B15" s="26" t="s">
        <v>26</v>
      </c>
      <c r="D15" s="11">
        <f t="shared" si="58"/>
        <v>195896.93454790473</v>
      </c>
      <c r="E15" s="11"/>
      <c r="F15" s="11">
        <f>'Текущие затраты'!F19</f>
        <v>0</v>
      </c>
      <c r="G15" s="11">
        <f>'Текущие затраты'!G19</f>
        <v>3010.0000000000005</v>
      </c>
      <c r="H15" s="11">
        <f>'Текущие затраты'!H19</f>
        <v>3020.0333333333342</v>
      </c>
      <c r="I15" s="11">
        <f>'Текущие затраты'!I19</f>
        <v>3030.1001111111123</v>
      </c>
      <c r="J15" s="11">
        <f>'Текущие затраты'!J19</f>
        <v>3040.2004448148164</v>
      </c>
      <c r="K15" s="11">
        <f>'Текущие затраты'!K19</f>
        <v>3050.3344462975328</v>
      </c>
      <c r="L15" s="11">
        <f>'Текущие затраты'!L19</f>
        <v>3060.5022277851917</v>
      </c>
      <c r="M15" s="11">
        <f>'Текущие затраты'!M19</f>
        <v>3070.7039018778091</v>
      </c>
      <c r="N15" s="11">
        <f>'Текущие затраты'!N19</f>
        <v>3080.9395815507355</v>
      </c>
      <c r="O15" s="11">
        <f>'Текущие затраты'!O19</f>
        <v>3091.2093801559045</v>
      </c>
      <c r="P15" s="11">
        <f>'Текущие затраты'!P19</f>
        <v>3101.5134114230909</v>
      </c>
      <c r="Q15" s="11">
        <f>'Текущие затраты'!Q19</f>
        <v>3111.8517894611678</v>
      </c>
      <c r="R15" s="11">
        <f>'Текущие затраты'!R19</f>
        <v>3122.2246287593716</v>
      </c>
      <c r="S15" s="11">
        <f>'Текущие затраты'!S19</f>
        <v>3132.63204418857</v>
      </c>
      <c r="T15" s="11">
        <f>'Текущие затраты'!T19</f>
        <v>3143.0741510025323</v>
      </c>
      <c r="U15" s="11">
        <f>'Текущие затраты'!U19</f>
        <v>3153.5510648392074</v>
      </c>
      <c r="V15" s="11">
        <f>'Текущие затраты'!V19</f>
        <v>3164.0629017220049</v>
      </c>
      <c r="W15" s="11">
        <f>'Текущие затраты'!W19</f>
        <v>3174.6097780610789</v>
      </c>
      <c r="X15" s="11">
        <f>'Текущие затраты'!X19</f>
        <v>3185.1918106546159</v>
      </c>
      <c r="Y15" s="11">
        <f>'Текущие затраты'!Y19</f>
        <v>3195.8091166901313</v>
      </c>
      <c r="Z15" s="11">
        <f>'Текущие затраты'!Z19</f>
        <v>3206.4618137457651</v>
      </c>
      <c r="AA15" s="11">
        <f>'Текущие затраты'!AA19</f>
        <v>3217.1500197915848</v>
      </c>
      <c r="AB15" s="11">
        <f>'Текущие затраты'!AB19</f>
        <v>3227.8738531908903</v>
      </c>
      <c r="AC15" s="11">
        <f>'Текущие затраты'!AC19</f>
        <v>3238.633432701527</v>
      </c>
      <c r="AD15" s="11">
        <f>'Текущие затраты'!AD19</f>
        <v>3249.4288774771985</v>
      </c>
      <c r="AE15" s="11">
        <f>'Текущие затраты'!AE19</f>
        <v>3260.2603070687896</v>
      </c>
      <c r="AF15" s="11">
        <f>'Текущие затраты'!AF19</f>
        <v>3271.1278414256858</v>
      </c>
      <c r="AG15" s="11">
        <f>'Текущие затраты'!AG19</f>
        <v>3282.0316008971045</v>
      </c>
      <c r="AH15" s="11">
        <f>'Текущие затраты'!AH19</f>
        <v>3292.9717062334289</v>
      </c>
      <c r="AI15" s="11">
        <f>'Текущие затраты'!AI19</f>
        <v>3303.9482785875402</v>
      </c>
      <c r="AJ15" s="11">
        <f>'Текущие затраты'!AJ19</f>
        <v>3314.9614395161661</v>
      </c>
      <c r="AK15" s="11">
        <f>'Текущие затраты'!AK19</f>
        <v>3326.0113109812205</v>
      </c>
      <c r="AL15" s="11">
        <f>'Текущие затраты'!AL19</f>
        <v>3337.0980153511582</v>
      </c>
      <c r="AM15" s="11">
        <f>'Текущие затраты'!AM19</f>
        <v>3348.2216754023293</v>
      </c>
      <c r="AN15" s="11">
        <f>'Текущие затраты'!AN19</f>
        <v>3359.3824143203374</v>
      </c>
      <c r="AO15" s="11">
        <f>'Текущие затраты'!AO19</f>
        <v>3370.5803557014056</v>
      </c>
      <c r="AP15" s="11">
        <f>'Текущие затраты'!AP19</f>
        <v>3381.8156235537435</v>
      </c>
      <c r="AQ15" s="11">
        <f>'Текущие затраты'!AQ19</f>
        <v>3393.0883422989227</v>
      </c>
      <c r="AR15" s="11">
        <f>'Текущие затраты'!AR19</f>
        <v>3404.3986367732527</v>
      </c>
      <c r="AS15" s="11">
        <f>'Текущие затраты'!AS19</f>
        <v>3415.7466322291634</v>
      </c>
      <c r="AT15" s="11">
        <f>'Текущие затраты'!AT19</f>
        <v>3427.1324543365945</v>
      </c>
      <c r="AU15" s="11">
        <f>'Текущие затраты'!AU19</f>
        <v>3438.5562291843835</v>
      </c>
      <c r="AV15" s="11">
        <f>'Текущие затраты'!AV19</f>
        <v>3450.018083281665</v>
      </c>
      <c r="AW15" s="11">
        <f>'Текущие затраты'!AW19</f>
        <v>3461.5181435592708</v>
      </c>
      <c r="AX15" s="11">
        <f>'Текущие затраты'!AX19</f>
        <v>3473.0565373711352</v>
      </c>
      <c r="AY15" s="11">
        <f>'Текущие затраты'!AY19</f>
        <v>3484.6333924957057</v>
      </c>
      <c r="AZ15" s="11">
        <f>'Текущие затраты'!AZ19</f>
        <v>3496.2488371373584</v>
      </c>
      <c r="BA15" s="11">
        <f>'Текущие затраты'!BA19</f>
        <v>3507.9029999278164</v>
      </c>
      <c r="BB15" s="11">
        <f>'Текущие затраты'!BB19</f>
        <v>3519.5960099275758</v>
      </c>
      <c r="BC15" s="11">
        <f>'Текущие затраты'!BC19</f>
        <v>3531.3279966273344</v>
      </c>
      <c r="BD15" s="11">
        <f>'Текущие затраты'!BD19</f>
        <v>3543.0990899494259</v>
      </c>
      <c r="BE15" s="11">
        <f>'Текущие затраты'!BE19</f>
        <v>3554.9094202492574</v>
      </c>
      <c r="BF15" s="11">
        <f>'Текущие затраты'!BF19</f>
        <v>3566.7591183167556</v>
      </c>
      <c r="BG15" s="11">
        <f>'Текущие затраты'!BG19</f>
        <v>3578.6483153778113</v>
      </c>
      <c r="BH15" s="11">
        <f>'Текущие затраты'!BH19</f>
        <v>3590.5771430957375</v>
      </c>
      <c r="BI15" s="11">
        <f>'Текущие затраты'!BI19</f>
        <v>3602.5457335727237</v>
      </c>
      <c r="BJ15" s="11">
        <f>'Текущие затраты'!BJ19</f>
        <v>3614.5542193512997</v>
      </c>
      <c r="BK15" s="11">
        <f>'Текущие затраты'!BK19</f>
        <v>3626.6027334158039</v>
      </c>
      <c r="BL15" s="11">
        <f>'Текущие затраты'!BL19</f>
        <v>3638.691409193857</v>
      </c>
      <c r="BM15" s="11">
        <f>'Текущие затраты'!BM19</f>
        <v>3650.8203805578369</v>
      </c>
    </row>
    <row r="16" spans="2:65" x14ac:dyDescent="0.35">
      <c r="B16" s="26" t="s">
        <v>27</v>
      </c>
      <c r="D16" s="11">
        <f t="shared" si="58"/>
        <v>979484.67273952405</v>
      </c>
      <c r="E16" s="11"/>
      <c r="F16" s="11">
        <f>'Текущие затраты'!F20</f>
        <v>0</v>
      </c>
      <c r="G16" s="11">
        <f>'Текущие затраты'!G20</f>
        <v>15050.000000000002</v>
      </c>
      <c r="H16" s="11">
        <f>'Текущие затраты'!H20</f>
        <v>15100.16666666667</v>
      </c>
      <c r="I16" s="11">
        <f>'Текущие затраты'!I20</f>
        <v>15150.500555555562</v>
      </c>
      <c r="J16" s="11">
        <f>'Текущие затраты'!J20</f>
        <v>15201.002224074084</v>
      </c>
      <c r="K16" s="11">
        <f>'Текущие затраты'!K20</f>
        <v>15251.672231487664</v>
      </c>
      <c r="L16" s="11">
        <f>'Текущие затраты'!L20</f>
        <v>15302.511138925958</v>
      </c>
      <c r="M16" s="11">
        <f>'Текущие затраты'!M20</f>
        <v>15353.519509389045</v>
      </c>
      <c r="N16" s="11">
        <f>'Текущие затраты'!N20</f>
        <v>15404.697907753678</v>
      </c>
      <c r="O16" s="11">
        <f>'Текущие затраты'!O20</f>
        <v>15456.046900779524</v>
      </c>
      <c r="P16" s="11">
        <f>'Текущие затраты'!P20</f>
        <v>15507.567057115455</v>
      </c>
      <c r="Q16" s="11">
        <f>'Текущие затраты'!Q20</f>
        <v>15559.25894730584</v>
      </c>
      <c r="R16" s="11">
        <f>'Текущие затраты'!R20</f>
        <v>15611.123143796858</v>
      </c>
      <c r="S16" s="11">
        <f>'Текущие затраты'!S20</f>
        <v>15663.160220942849</v>
      </c>
      <c r="T16" s="11">
        <f>'Текущие затраты'!T20</f>
        <v>15715.370755012662</v>
      </c>
      <c r="U16" s="11">
        <f>'Текущие затраты'!U20</f>
        <v>15767.755324196038</v>
      </c>
      <c r="V16" s="11">
        <f>'Текущие затраты'!V20</f>
        <v>15820.314508610025</v>
      </c>
      <c r="W16" s="11">
        <f>'Текущие затраты'!W20</f>
        <v>15873.048890305394</v>
      </c>
      <c r="X16" s="11">
        <f>'Текущие затраты'!X20</f>
        <v>15925.959053273078</v>
      </c>
      <c r="Y16" s="11">
        <f>'Текущие затраты'!Y20</f>
        <v>15979.045583450656</v>
      </c>
      <c r="Z16" s="11">
        <f>'Текущие затраты'!Z20</f>
        <v>16032.309068728826</v>
      </c>
      <c r="AA16" s="11">
        <f>'Текущие затраты'!AA20</f>
        <v>16085.750098957924</v>
      </c>
      <c r="AB16" s="11">
        <f>'Текущие затраты'!AB20</f>
        <v>16139.369265954452</v>
      </c>
      <c r="AC16" s="11">
        <f>'Текущие затраты'!AC20</f>
        <v>16193.167163507635</v>
      </c>
      <c r="AD16" s="11">
        <f>'Текущие затраты'!AD20</f>
        <v>16247.144387385993</v>
      </c>
      <c r="AE16" s="11">
        <f>'Текущие затраты'!AE20</f>
        <v>16301.301535343948</v>
      </c>
      <c r="AF16" s="11">
        <f>'Текущие затраты'!AF20</f>
        <v>16355.639207128428</v>
      </c>
      <c r="AG16" s="11">
        <f>'Текущие затраты'!AG20</f>
        <v>16410.158004485522</v>
      </c>
      <c r="AH16" s="11">
        <f>'Текущие затраты'!AH20</f>
        <v>16464.858531167145</v>
      </c>
      <c r="AI16" s="11">
        <f>'Текущие затраты'!AI20</f>
        <v>16519.7413929377</v>
      </c>
      <c r="AJ16" s="11">
        <f>'Текущие затраты'!AJ20</f>
        <v>16574.807197580831</v>
      </c>
      <c r="AK16" s="11">
        <f>'Текущие затраты'!AK20</f>
        <v>16630.056554906103</v>
      </c>
      <c r="AL16" s="11">
        <f>'Текущие затраты'!AL20</f>
        <v>16685.490076755792</v>
      </c>
      <c r="AM16" s="11">
        <f>'Текущие затраты'!AM20</f>
        <v>16741.108377011646</v>
      </c>
      <c r="AN16" s="11">
        <f>'Текущие затраты'!AN20</f>
        <v>16796.912071601688</v>
      </c>
      <c r="AO16" s="11">
        <f>'Текущие затраты'!AO20</f>
        <v>16852.901778507028</v>
      </c>
      <c r="AP16" s="11">
        <f>'Текущие затраты'!AP20</f>
        <v>16909.078117768717</v>
      </c>
      <c r="AQ16" s="11">
        <f>'Текущие затраты'!AQ20</f>
        <v>16965.441711494615</v>
      </c>
      <c r="AR16" s="11">
        <f>'Текущие затраты'!AR20</f>
        <v>17021.993183866263</v>
      </c>
      <c r="AS16" s="11">
        <f>'Текущие затраты'!AS20</f>
        <v>17078.733161145818</v>
      </c>
      <c r="AT16" s="11">
        <f>'Текущие затраты'!AT20</f>
        <v>17135.662271682973</v>
      </c>
      <c r="AU16" s="11">
        <f>'Текущие затраты'!AU20</f>
        <v>17192.781145921919</v>
      </c>
      <c r="AV16" s="11">
        <f>'Текущие затраты'!AV20</f>
        <v>17250.090416408326</v>
      </c>
      <c r="AW16" s="11">
        <f>'Текущие затраты'!AW20</f>
        <v>17307.590717796353</v>
      </c>
      <c r="AX16" s="11">
        <f>'Текущие затраты'!AX20</f>
        <v>17365.282686855677</v>
      </c>
      <c r="AY16" s="11">
        <f>'Текущие затраты'!AY20</f>
        <v>17423.166962478528</v>
      </c>
      <c r="AZ16" s="11">
        <f>'Текущие затраты'!AZ20</f>
        <v>17481.244185686792</v>
      </c>
      <c r="BA16" s="11">
        <f>'Текущие затраты'!BA20</f>
        <v>17539.514999639079</v>
      </c>
      <c r="BB16" s="11">
        <f>'Текущие затраты'!BB20</f>
        <v>17597.980049637878</v>
      </c>
      <c r="BC16" s="11">
        <f>'Текущие затраты'!BC20</f>
        <v>17656.639983136673</v>
      </c>
      <c r="BD16" s="11">
        <f>'Текущие затраты'!BD20</f>
        <v>17715.49544974713</v>
      </c>
      <c r="BE16" s="11">
        <f>'Текущие затраты'!BE20</f>
        <v>17774.547101246288</v>
      </c>
      <c r="BF16" s="11">
        <f>'Текущие затраты'!BF20</f>
        <v>17833.795591583777</v>
      </c>
      <c r="BG16" s="11">
        <f>'Текущие затраты'!BG20</f>
        <v>17893.241576889057</v>
      </c>
      <c r="BH16" s="11">
        <f>'Текущие затраты'!BH20</f>
        <v>17952.885715478689</v>
      </c>
      <c r="BI16" s="11">
        <f>'Текущие затраты'!BI20</f>
        <v>18012.728667863619</v>
      </c>
      <c r="BJ16" s="11">
        <f>'Текущие затраты'!BJ20</f>
        <v>18072.771096756496</v>
      </c>
      <c r="BK16" s="11">
        <f>'Текущие затраты'!BK20</f>
        <v>18133.01366707902</v>
      </c>
      <c r="BL16" s="11">
        <f>'Текущие затраты'!BL20</f>
        <v>18193.457045969284</v>
      </c>
      <c r="BM16" s="11">
        <f>'Текущие затраты'!BM20</f>
        <v>18254.101902789185</v>
      </c>
    </row>
    <row r="17" spans="2:65" x14ac:dyDescent="0.35">
      <c r="B17" s="26" t="s">
        <v>40</v>
      </c>
      <c r="D17" s="11">
        <f t="shared" si="58"/>
        <v>705305.59737384145</v>
      </c>
      <c r="E17" s="11"/>
      <c r="F17" s="11">
        <f>'Текущие затраты'!F21</f>
        <v>0</v>
      </c>
      <c r="G17" s="11">
        <f>'Текущие затраты'!G21</f>
        <v>854.04375000000005</v>
      </c>
      <c r="H17" s="11">
        <f>'Текущие затраты'!H21</f>
        <v>857.60226562499997</v>
      </c>
      <c r="I17" s="11">
        <f>'Текущие затраты'!I21</f>
        <v>2583.526825195313</v>
      </c>
      <c r="J17" s="11">
        <f>'Текущие затраты'!J21</f>
        <v>3026.6734403503419</v>
      </c>
      <c r="K17" s="11">
        <f>'Текущие затраты'!K21</f>
        <v>3039.2845796851348</v>
      </c>
      <c r="L17" s="11">
        <f>'Текущие затраты'!L21</f>
        <v>3051.9482654338231</v>
      </c>
      <c r="M17" s="11">
        <f>'Текущие затраты'!M21</f>
        <v>5253.7109426396528</v>
      </c>
      <c r="N17" s="11">
        <f>'Текущие затраты'!N21</f>
        <v>5275.6014049006508</v>
      </c>
      <c r="O17" s="11">
        <f>'Текущие затраты'!O21</f>
        <v>7946.3746161316058</v>
      </c>
      <c r="P17" s="11">
        <f>'Текущие затраты'!P21</f>
        <v>6206.2657302842672</v>
      </c>
      <c r="Q17" s="11">
        <f>'Текущие затраты'!Q21</f>
        <v>6232.1251708271193</v>
      </c>
      <c r="R17" s="11">
        <f>'Текущие затраты'!R21</f>
        <v>8940.1319414841382</v>
      </c>
      <c r="S17" s="11">
        <f>'Текущие затраты'!S21</f>
        <v>11009.485058856268</v>
      </c>
      <c r="T17" s="11">
        <f>'Текущие затраты'!T21</f>
        <v>9949.8221219413517</v>
      </c>
      <c r="U17" s="11">
        <f>'Текущие затраты'!U21</f>
        <v>13321.706285488141</v>
      </c>
      <c r="V17" s="11">
        <f>'Текущие затраты'!V21</f>
        <v>10032.910046258257</v>
      </c>
      <c r="W17" s="11">
        <f>'Текущие затраты'!W21</f>
        <v>8955.3011894379251</v>
      </c>
      <c r="X17" s="11">
        <f>'Текущие затраты'!X21</f>
        <v>12364.845548541634</v>
      </c>
      <c r="Y17" s="11">
        <f>'Текущие затраты'!Y21</f>
        <v>13545.126259993334</v>
      </c>
      <c r="Z17" s="11">
        <f>'Текущие затраты'!Z21</f>
        <v>15868.491667089416</v>
      </c>
      <c r="AA17" s="11">
        <f>'Текущие затраты'!AA21</f>
        <v>20487.356205902943</v>
      </c>
      <c r="AB17" s="11">
        <f>'Текущие затраты'!AB21</f>
        <v>8000.5022961477453</v>
      </c>
      <c r="AC17" s="11">
        <f>'Текущие затраты'!AC21</f>
        <v>9181.5288255790783</v>
      </c>
      <c r="AD17" s="11">
        <f>'Текущие затраты'!AD21</f>
        <v>13829.677793528486</v>
      </c>
      <c r="AE17" s="11">
        <f>'Текущие затраты'!AE21</f>
        <v>16201.851692835109</v>
      </c>
      <c r="AF17" s="11">
        <f>'Текущие затраты'!AF21</f>
        <v>13945.165207047361</v>
      </c>
      <c r="AG17" s="11">
        <f>'Текущие затраты'!AG21</f>
        <v>16337.148405756177</v>
      </c>
      <c r="AH17" s="11">
        <f>'Текущие затраты'!AH21</f>
        <v>11718.014183890591</v>
      </c>
      <c r="AI17" s="11">
        <f>'Текущие затраты'!AI21</f>
        <v>9413.4713943921106</v>
      </c>
      <c r="AJ17" s="11">
        <f>'Текущие затраты'!AJ21</f>
        <v>14179.041287803115</v>
      </c>
      <c r="AK17" s="11">
        <f>'Текущие затраты'!AK21</f>
        <v>14238.120626502294</v>
      </c>
      <c r="AL17" s="11">
        <f>'Текущие затраты'!AL21</f>
        <v>16680.353817298175</v>
      </c>
      <c r="AM17" s="11">
        <f>'Текущие затраты'!AM21</f>
        <v>21535.528231976034</v>
      </c>
      <c r="AN17" s="11">
        <f>'Текущие затраты'!AN21</f>
        <v>8409.8231776258253</v>
      </c>
      <c r="AO17" s="11">
        <f>'Текущие затраты'!AO21</f>
        <v>9651.2732657515426</v>
      </c>
      <c r="AP17" s="11">
        <f>'Текущие затраты'!AP21</f>
        <v>14537.230356538263</v>
      </c>
      <c r="AQ17" s="11">
        <f>'Текущие затраты'!AQ21</f>
        <v>17030.769174638921</v>
      </c>
      <c r="AR17" s="11">
        <f>'Текущие затраты'!AR21</f>
        <v>14658.626325314217</v>
      </c>
      <c r="AS17" s="11">
        <f>'Текущие затраты'!AS21</f>
        <v>14719.703935003025</v>
      </c>
      <c r="AT17" s="11">
        <f>'Текущие затраты'!AT21</f>
        <v>12317.530028943504</v>
      </c>
      <c r="AU17" s="11">
        <f>'Текущие затраты'!AU21</f>
        <v>9895.0824565846142</v>
      </c>
      <c r="AV17" s="11">
        <f>'Текущие затраты'!AV21</f>
        <v>14904.467950230572</v>
      </c>
      <c r="AW17" s="11">
        <f>'Текущие затраты'!AW21</f>
        <v>14966.5699000232</v>
      </c>
      <c r="AX17" s="11">
        <f>'Текущие затраты'!AX21</f>
        <v>17533.752375929958</v>
      </c>
      <c r="AY17" s="11">
        <f>'Текущие затраты'!AY21</f>
        <v>22637.326728209566</v>
      </c>
      <c r="AZ17" s="11">
        <f>'Текущие затраты'!AZ21</f>
        <v>8840.0856922429502</v>
      </c>
      <c r="BA17" s="11">
        <f>'Текущие затраты'!BA21</f>
        <v>10145.050723002623</v>
      </c>
      <c r="BB17" s="11">
        <f>'Текущие затраты'!BB21</f>
        <v>15280.9826515227</v>
      </c>
      <c r="BC17" s="11">
        <f>'Текущие затраты'!BC21</f>
        <v>17902.095647999166</v>
      </c>
      <c r="BD17" s="11">
        <f>'Текущие затраты'!BD21</f>
        <v>15408.589468456426</v>
      </c>
      <c r="BE17" s="11">
        <f>'Текущие затраты'!BE21</f>
        <v>15472.791924574994</v>
      </c>
      <c r="BF17" s="11">
        <f>'Текущие затраты'!BF21</f>
        <v>12947.71824243949</v>
      </c>
      <c r="BG17" s="11">
        <f>'Текущие затраты'!BG21</f>
        <v>10401.333654759725</v>
      </c>
      <c r="BH17" s="11">
        <f>'Текущие затраты'!BH21</f>
        <v>15667.008817481837</v>
      </c>
      <c r="BI17" s="11">
        <f>'Текущие затраты'!BI21</f>
        <v>15732.288020888009</v>
      </c>
      <c r="BJ17" s="11">
        <f>'Текущие затраты'!BJ21</f>
        <v>18430.812424470882</v>
      </c>
      <c r="BK17" s="11">
        <f>'Текущие затраты'!BK21</f>
        <v>23795.49532659366</v>
      </c>
      <c r="BL17" s="11">
        <f>'Текущие затраты'!BL21</f>
        <v>9292.3612536952533</v>
      </c>
      <c r="BM17" s="11">
        <f>'Текущие затраты'!BM21</f>
        <v>10664.090772097887</v>
      </c>
    </row>
    <row r="18" spans="2:65" x14ac:dyDescent="0.35">
      <c r="B18" s="26" t="s">
        <v>46</v>
      </c>
      <c r="D18" s="11">
        <f t="shared" si="58"/>
        <v>665852.57655349711</v>
      </c>
      <c r="E18" s="11"/>
      <c r="F18" s="11">
        <f>'Текущие затраты'!F22</f>
        <v>0</v>
      </c>
      <c r="G18" s="11">
        <f>'Текущие затраты'!G22</f>
        <v>10877.5</v>
      </c>
      <c r="H18" s="11">
        <f>'Текущие затраты'!H22</f>
        <v>10877.5</v>
      </c>
      <c r="I18" s="11">
        <f>'Текущие затраты'!I22</f>
        <v>10877.5</v>
      </c>
      <c r="J18" s="11">
        <f>'Текущие затраты'!J22</f>
        <v>10877.5</v>
      </c>
      <c r="K18" s="11">
        <f>'Текущие затраты'!K22</f>
        <v>11202.696278634052</v>
      </c>
      <c r="L18" s="11">
        <f>'Текущие затраты'!L22</f>
        <v>12830.4910443463</v>
      </c>
      <c r="M18" s="11">
        <f>'Текущие затраты'!M22</f>
        <v>14487.599031610642</v>
      </c>
      <c r="N18" s="11">
        <f>'Текущие затраты'!N22</f>
        <v>15456.464581350527</v>
      </c>
      <c r="O18" s="11">
        <f>'Текущие затраты'!O22</f>
        <v>16441.10620233458</v>
      </c>
      <c r="P18" s="11">
        <f>'Текущие затраты'!P22</f>
        <v>16441.10620233458</v>
      </c>
      <c r="Q18" s="11">
        <f>'Текущие затраты'!Q22</f>
        <v>17094.68950397904</v>
      </c>
      <c r="R18" s="11">
        <f>'Текущие затраты'!R22</f>
        <v>17760.483963498558</v>
      </c>
      <c r="S18" s="11">
        <f>'Текущие затраты'!S22</f>
        <v>17487.524959587288</v>
      </c>
      <c r="T18" s="11">
        <f>'Текущие затраты'!T22</f>
        <v>17210.244104780752</v>
      </c>
      <c r="U18" s="11">
        <f>'Текущие затраты'!U22</f>
        <v>16928.572969773115</v>
      </c>
      <c r="V18" s="11">
        <f>'Текущие затраты'!V22</f>
        <v>16642.442041794522</v>
      </c>
      <c r="W18" s="11">
        <f>'Текущие затраты'!W22</f>
        <v>16351.780707456268</v>
      </c>
      <c r="X18" s="11">
        <f>'Текущие затраты'!X22</f>
        <v>16056.517235324325</v>
      </c>
      <c r="Y18" s="11">
        <f>'Текущие затраты'!Y22</f>
        <v>15756.578758216963</v>
      </c>
      <c r="Z18" s="11">
        <f>'Текущие затраты'!Z22</f>
        <v>15451.891255222063</v>
      </c>
      <c r="AA18" s="11">
        <f>'Текущие затраты'!AA22</f>
        <v>15142.379533429745</v>
      </c>
      <c r="AB18" s="11">
        <f>'Текущие затраты'!AB22</f>
        <v>14827.967209375716</v>
      </c>
      <c r="AC18" s="11">
        <f>'Текущие затраты'!AC22</f>
        <v>14508.57669019083</v>
      </c>
      <c r="AD18" s="11">
        <f>'Текущие затраты'!AD22</f>
        <v>14184.129154452186</v>
      </c>
      <c r="AE18" s="11">
        <f>'Текущие затраты'!AE22</f>
        <v>13854.544532731014</v>
      </c>
      <c r="AF18" s="11">
        <f>'Текущие затраты'!AF22</f>
        <v>13519.741487832587</v>
      </c>
      <c r="AG18" s="11">
        <f>'Текущие затраты'!AG22</f>
        <v>13179.637394723271</v>
      </c>
      <c r="AH18" s="11">
        <f>'Текущие затраты'!AH22</f>
        <v>12834.148320139722</v>
      </c>
      <c r="AI18" s="11">
        <f>'Текущие затраты'!AI22</f>
        <v>12483.189001875269</v>
      </c>
      <c r="AJ18" s="11">
        <f>'Текущие затраты'!AJ22</f>
        <v>12126.672827738294</v>
      </c>
      <c r="AK18" s="11">
        <f>'Текущие затраты'!AK22</f>
        <v>11764.511814177482</v>
      </c>
      <c r="AL18" s="11">
        <f>'Текущие затраты'!AL22</f>
        <v>11396.616584568626</v>
      </c>
      <c r="AM18" s="11">
        <f>'Текущие затраты'!AM22</f>
        <v>11022.89634715763</v>
      </c>
      <c r="AN18" s="11">
        <f>'Текущие затраты'!AN22</f>
        <v>10643.258872654294</v>
      </c>
      <c r="AO18" s="11">
        <f>'Текущие затраты'!AO22</f>
        <v>10391.925804339206</v>
      </c>
      <c r="AP18" s="11">
        <f>'Текущие затраты'!AP22</f>
        <v>10949.014711485301</v>
      </c>
      <c r="AQ18" s="11">
        <f>'Текущие затраты'!AQ22</f>
        <v>10568.20744441715</v>
      </c>
      <c r="AR18" s="11">
        <f>'Текущие затраты'!AR22</f>
        <v>10181.370728953756</v>
      </c>
      <c r="AS18" s="11">
        <f>'Текущие затраты'!AS22</f>
        <v>9788.4090988288572</v>
      </c>
      <c r="AT18" s="11">
        <f>'Текущие затраты'!AT22</f>
        <v>9389.2255762269815</v>
      </c>
      <c r="AU18" s="11">
        <f>'Текущие затраты'!AU22</f>
        <v>8983.7216478505743</v>
      </c>
      <c r="AV18" s="11">
        <f>'Текущие затраты'!AV22</f>
        <v>9012.1632997349279</v>
      </c>
      <c r="AW18" s="11">
        <f>'Текущие затраты'!AW22</f>
        <v>8600.6892186473979</v>
      </c>
      <c r="AX18" s="11">
        <f>'Текущие затраты'!AX22</f>
        <v>8182.7001312759821</v>
      </c>
      <c r="AY18" s="11">
        <f>'Текущие затраты'!AY22</f>
        <v>7758.0928833545186</v>
      </c>
      <c r="AZ18" s="11">
        <f>'Текущие затраты'!AZ22</f>
        <v>7326.7626873409654</v>
      </c>
      <c r="BA18" s="11">
        <f>'Текущие затраты'!BA22</f>
        <v>7493.3835101741024</v>
      </c>
      <c r="BB18" s="11">
        <f>'Текущие затраты'!BB22</f>
        <v>7976.6420559758071</v>
      </c>
      <c r="BC18" s="11">
        <f>'Текущие затраты'!BC22</f>
        <v>7548.7722218620902</v>
      </c>
      <c r="BD18" s="11">
        <f>'Текущие затраты'!BD22</f>
        <v>7114.1277820415735</v>
      </c>
      <c r="BE18" s="11">
        <f>'Текущие затраты'!BE22</f>
        <v>6672.6014719238983</v>
      </c>
      <c r="BF18" s="11">
        <f>'Текущие затраты'!BF22</f>
        <v>6224.0843285626934</v>
      </c>
      <c r="BG18" s="11">
        <f>'Текущие затраты'!BG22</f>
        <v>5768.4656637649359</v>
      </c>
      <c r="BH18" s="11">
        <f>'Текущие затраты'!BH22</f>
        <v>5652.6844950835839</v>
      </c>
      <c r="BI18" s="11">
        <f>'Текущие затраты'!BI22</f>
        <v>5188.0186662557408</v>
      </c>
      <c r="BJ18" s="11">
        <f>'Текущие затраты'!BJ22</f>
        <v>4715.9956284714563</v>
      </c>
      <c r="BK18" s="11">
        <f>'Текущие затраты'!BK22</f>
        <v>4236.4988925889211</v>
      </c>
      <c r="BL18" s="11">
        <f>'Текущие затраты'!BL22</f>
        <v>3749.410125054912</v>
      </c>
      <c r="BM18" s="11">
        <f>'Текущие затраты'!BM22</f>
        <v>3781.149867991317</v>
      </c>
    </row>
    <row r="19" spans="2:65" x14ac:dyDescent="0.35">
      <c r="B19" s="15" t="s">
        <v>95</v>
      </c>
      <c r="C19" s="16"/>
      <c r="D19" s="17">
        <f>SUM(F19:BM19)</f>
        <v>-687000</v>
      </c>
      <c r="E19" s="17"/>
      <c r="F19" s="17">
        <f>-F20</f>
        <v>-687000</v>
      </c>
      <c r="G19" s="17">
        <f t="shared" ref="G19:BM19" si="61">-G20</f>
        <v>0</v>
      </c>
      <c r="H19" s="17">
        <f t="shared" si="61"/>
        <v>0</v>
      </c>
      <c r="I19" s="17">
        <f t="shared" si="61"/>
        <v>0</v>
      </c>
      <c r="J19" s="17">
        <f t="shared" si="61"/>
        <v>0</v>
      </c>
      <c r="K19" s="17">
        <f t="shared" si="61"/>
        <v>0</v>
      </c>
      <c r="L19" s="17">
        <f t="shared" si="61"/>
        <v>0</v>
      </c>
      <c r="M19" s="17">
        <f t="shared" si="61"/>
        <v>0</v>
      </c>
      <c r="N19" s="17">
        <f t="shared" si="61"/>
        <v>0</v>
      </c>
      <c r="O19" s="17">
        <f t="shared" si="61"/>
        <v>0</v>
      </c>
      <c r="P19" s="17">
        <f t="shared" si="61"/>
        <v>0</v>
      </c>
      <c r="Q19" s="17">
        <f t="shared" si="61"/>
        <v>0</v>
      </c>
      <c r="R19" s="17">
        <f t="shared" si="61"/>
        <v>0</v>
      </c>
      <c r="S19" s="17">
        <f t="shared" si="61"/>
        <v>0</v>
      </c>
      <c r="T19" s="17">
        <f t="shared" si="61"/>
        <v>0</v>
      </c>
      <c r="U19" s="17">
        <f t="shared" si="61"/>
        <v>0</v>
      </c>
      <c r="V19" s="17">
        <f t="shared" si="61"/>
        <v>0</v>
      </c>
      <c r="W19" s="17">
        <f t="shared" si="61"/>
        <v>0</v>
      </c>
      <c r="X19" s="17">
        <f t="shared" si="61"/>
        <v>0</v>
      </c>
      <c r="Y19" s="17">
        <f t="shared" si="61"/>
        <v>0</v>
      </c>
      <c r="Z19" s="17">
        <f t="shared" si="61"/>
        <v>0</v>
      </c>
      <c r="AA19" s="17">
        <f t="shared" si="61"/>
        <v>0</v>
      </c>
      <c r="AB19" s="17">
        <f t="shared" si="61"/>
        <v>0</v>
      </c>
      <c r="AC19" s="17">
        <f t="shared" si="61"/>
        <v>0</v>
      </c>
      <c r="AD19" s="17">
        <f t="shared" si="61"/>
        <v>0</v>
      </c>
      <c r="AE19" s="17">
        <f t="shared" si="61"/>
        <v>0</v>
      </c>
      <c r="AF19" s="17">
        <f t="shared" si="61"/>
        <v>0</v>
      </c>
      <c r="AG19" s="17">
        <f t="shared" si="61"/>
        <v>0</v>
      </c>
      <c r="AH19" s="17">
        <f t="shared" si="61"/>
        <v>0</v>
      </c>
      <c r="AI19" s="17">
        <f t="shared" si="61"/>
        <v>0</v>
      </c>
      <c r="AJ19" s="17">
        <f t="shared" si="61"/>
        <v>0</v>
      </c>
      <c r="AK19" s="17">
        <f t="shared" si="61"/>
        <v>0</v>
      </c>
      <c r="AL19" s="17">
        <f t="shared" si="61"/>
        <v>0</v>
      </c>
      <c r="AM19" s="17">
        <f t="shared" si="61"/>
        <v>0</v>
      </c>
      <c r="AN19" s="17">
        <f t="shared" si="61"/>
        <v>0</v>
      </c>
      <c r="AO19" s="17">
        <f t="shared" si="61"/>
        <v>0</v>
      </c>
      <c r="AP19" s="17">
        <f t="shared" si="61"/>
        <v>0</v>
      </c>
      <c r="AQ19" s="17">
        <f t="shared" si="61"/>
        <v>0</v>
      </c>
      <c r="AR19" s="17">
        <f t="shared" si="61"/>
        <v>0</v>
      </c>
      <c r="AS19" s="17">
        <f t="shared" si="61"/>
        <v>0</v>
      </c>
      <c r="AT19" s="17">
        <f t="shared" si="61"/>
        <v>0</v>
      </c>
      <c r="AU19" s="17">
        <f t="shared" si="61"/>
        <v>0</v>
      </c>
      <c r="AV19" s="17">
        <f t="shared" si="61"/>
        <v>0</v>
      </c>
      <c r="AW19" s="17">
        <f t="shared" si="61"/>
        <v>0</v>
      </c>
      <c r="AX19" s="17">
        <f t="shared" si="61"/>
        <v>0</v>
      </c>
      <c r="AY19" s="17">
        <f t="shared" si="61"/>
        <v>0</v>
      </c>
      <c r="AZ19" s="17">
        <f t="shared" si="61"/>
        <v>0</v>
      </c>
      <c r="BA19" s="17">
        <f t="shared" si="61"/>
        <v>0</v>
      </c>
      <c r="BB19" s="17">
        <f t="shared" si="61"/>
        <v>0</v>
      </c>
      <c r="BC19" s="17">
        <f t="shared" si="61"/>
        <v>0</v>
      </c>
      <c r="BD19" s="17">
        <f t="shared" si="61"/>
        <v>0</v>
      </c>
      <c r="BE19" s="17">
        <f t="shared" si="61"/>
        <v>0</v>
      </c>
      <c r="BF19" s="17">
        <f t="shared" si="61"/>
        <v>0</v>
      </c>
      <c r="BG19" s="17">
        <f t="shared" si="61"/>
        <v>0</v>
      </c>
      <c r="BH19" s="17">
        <f t="shared" si="61"/>
        <v>0</v>
      </c>
      <c r="BI19" s="17">
        <f t="shared" si="61"/>
        <v>0</v>
      </c>
      <c r="BJ19" s="17">
        <f t="shared" si="61"/>
        <v>0</v>
      </c>
      <c r="BK19" s="17">
        <f t="shared" si="61"/>
        <v>0</v>
      </c>
      <c r="BL19" s="17">
        <f t="shared" si="61"/>
        <v>0</v>
      </c>
      <c r="BM19" s="17">
        <f t="shared" si="61"/>
        <v>0</v>
      </c>
    </row>
    <row r="20" spans="2:65" x14ac:dyDescent="0.35">
      <c r="B20" s="5" t="s">
        <v>50</v>
      </c>
      <c r="D20" s="11">
        <f t="shared" si="58"/>
        <v>687000</v>
      </c>
      <c r="E20" s="11"/>
      <c r="F20" s="11">
        <f>SUM(F21:F22)</f>
        <v>687000</v>
      </c>
      <c r="G20" s="11">
        <f t="shared" ref="G20:AO20" si="62">SUM(G21:G22)</f>
        <v>0</v>
      </c>
      <c r="H20" s="11">
        <f t="shared" si="62"/>
        <v>0</v>
      </c>
      <c r="I20" s="11">
        <f t="shared" si="62"/>
        <v>0</v>
      </c>
      <c r="J20" s="11">
        <f t="shared" si="62"/>
        <v>0</v>
      </c>
      <c r="K20" s="11">
        <f t="shared" si="62"/>
        <v>0</v>
      </c>
      <c r="L20" s="11">
        <f t="shared" si="62"/>
        <v>0</v>
      </c>
      <c r="M20" s="11">
        <f t="shared" si="62"/>
        <v>0</v>
      </c>
      <c r="N20" s="11">
        <f t="shared" si="62"/>
        <v>0</v>
      </c>
      <c r="O20" s="11">
        <f t="shared" si="62"/>
        <v>0</v>
      </c>
      <c r="P20" s="11">
        <f t="shared" si="62"/>
        <v>0</v>
      </c>
      <c r="Q20" s="11">
        <f t="shared" si="62"/>
        <v>0</v>
      </c>
      <c r="R20" s="11">
        <f t="shared" si="62"/>
        <v>0</v>
      </c>
      <c r="S20" s="11">
        <f t="shared" si="62"/>
        <v>0</v>
      </c>
      <c r="T20" s="11">
        <f t="shared" si="62"/>
        <v>0</v>
      </c>
      <c r="U20" s="11">
        <f t="shared" si="62"/>
        <v>0</v>
      </c>
      <c r="V20" s="11">
        <f t="shared" si="62"/>
        <v>0</v>
      </c>
      <c r="W20" s="11">
        <f t="shared" si="62"/>
        <v>0</v>
      </c>
      <c r="X20" s="11">
        <f t="shared" si="62"/>
        <v>0</v>
      </c>
      <c r="Y20" s="11">
        <f t="shared" si="62"/>
        <v>0</v>
      </c>
      <c r="Z20" s="11">
        <f t="shared" si="62"/>
        <v>0</v>
      </c>
      <c r="AA20" s="11">
        <f t="shared" si="62"/>
        <v>0</v>
      </c>
      <c r="AB20" s="11">
        <f t="shared" si="62"/>
        <v>0</v>
      </c>
      <c r="AC20" s="11">
        <f t="shared" si="62"/>
        <v>0</v>
      </c>
      <c r="AD20" s="11">
        <f t="shared" si="62"/>
        <v>0</v>
      </c>
      <c r="AE20" s="11">
        <f t="shared" si="62"/>
        <v>0</v>
      </c>
      <c r="AF20" s="11">
        <f t="shared" si="62"/>
        <v>0</v>
      </c>
      <c r="AG20" s="11">
        <f t="shared" si="62"/>
        <v>0</v>
      </c>
      <c r="AH20" s="11">
        <f t="shared" si="62"/>
        <v>0</v>
      </c>
      <c r="AI20" s="11">
        <f t="shared" si="62"/>
        <v>0</v>
      </c>
      <c r="AJ20" s="11">
        <f t="shared" si="62"/>
        <v>0</v>
      </c>
      <c r="AK20" s="11">
        <f t="shared" si="62"/>
        <v>0</v>
      </c>
      <c r="AL20" s="11">
        <f t="shared" si="62"/>
        <v>0</v>
      </c>
      <c r="AM20" s="11">
        <f t="shared" si="62"/>
        <v>0</v>
      </c>
      <c r="AN20" s="11">
        <f t="shared" si="62"/>
        <v>0</v>
      </c>
      <c r="AO20" s="11">
        <f t="shared" si="62"/>
        <v>0</v>
      </c>
      <c r="AP20" s="11">
        <f t="shared" ref="AP20:BI20" si="63">SUM(AP21:AP22)</f>
        <v>0</v>
      </c>
      <c r="AQ20" s="11">
        <f t="shared" si="63"/>
        <v>0</v>
      </c>
      <c r="AR20" s="11">
        <f t="shared" si="63"/>
        <v>0</v>
      </c>
      <c r="AS20" s="11">
        <f t="shared" si="63"/>
        <v>0</v>
      </c>
      <c r="AT20" s="11">
        <f t="shared" si="63"/>
        <v>0</v>
      </c>
      <c r="AU20" s="11">
        <f t="shared" si="63"/>
        <v>0</v>
      </c>
      <c r="AV20" s="11">
        <f t="shared" si="63"/>
        <v>0</v>
      </c>
      <c r="AW20" s="11">
        <f t="shared" si="63"/>
        <v>0</v>
      </c>
      <c r="AX20" s="11">
        <f t="shared" si="63"/>
        <v>0</v>
      </c>
      <c r="AY20" s="11">
        <f t="shared" si="63"/>
        <v>0</v>
      </c>
      <c r="AZ20" s="11">
        <f t="shared" si="63"/>
        <v>0</v>
      </c>
      <c r="BA20" s="11">
        <f t="shared" si="63"/>
        <v>0</v>
      </c>
      <c r="BB20" s="11">
        <f t="shared" si="63"/>
        <v>0</v>
      </c>
      <c r="BC20" s="11">
        <f t="shared" si="63"/>
        <v>0</v>
      </c>
      <c r="BD20" s="11">
        <f t="shared" si="63"/>
        <v>0</v>
      </c>
      <c r="BE20" s="11">
        <f t="shared" si="63"/>
        <v>0</v>
      </c>
      <c r="BF20" s="11">
        <f t="shared" si="63"/>
        <v>0</v>
      </c>
      <c r="BG20" s="11">
        <f t="shared" si="63"/>
        <v>0</v>
      </c>
      <c r="BH20" s="11">
        <f t="shared" si="63"/>
        <v>0</v>
      </c>
      <c r="BI20" s="11">
        <f t="shared" si="63"/>
        <v>0</v>
      </c>
      <c r="BJ20" s="11">
        <f t="shared" ref="BJ20:BM20" si="64">SUM(BJ21:BJ22)</f>
        <v>0</v>
      </c>
      <c r="BK20" s="11">
        <f t="shared" si="64"/>
        <v>0</v>
      </c>
      <c r="BL20" s="11">
        <f t="shared" si="64"/>
        <v>0</v>
      </c>
      <c r="BM20" s="11">
        <f t="shared" si="64"/>
        <v>0</v>
      </c>
    </row>
    <row r="21" spans="2:65" x14ac:dyDescent="0.35">
      <c r="B21" s="26" t="s">
        <v>54</v>
      </c>
      <c r="D21" s="11">
        <f t="shared" si="58"/>
        <v>687000</v>
      </c>
      <c r="E21" s="11"/>
      <c r="F21" s="11">
        <f>'Затраты на старте'!F34</f>
        <v>687000</v>
      </c>
      <c r="G21" s="11">
        <f>'Затраты на старте'!G34</f>
        <v>0</v>
      </c>
      <c r="H21" s="11">
        <f>'Затраты на старте'!H34</f>
        <v>0</v>
      </c>
      <c r="I21" s="11">
        <f>'Затраты на старте'!I34</f>
        <v>0</v>
      </c>
      <c r="J21" s="11">
        <f>'Затраты на старте'!J34</f>
        <v>0</v>
      </c>
      <c r="K21" s="11">
        <f>'Затраты на старте'!K34</f>
        <v>0</v>
      </c>
      <c r="L21" s="11">
        <f>'Затраты на старте'!L34</f>
        <v>0</v>
      </c>
      <c r="M21" s="11">
        <f>'Затраты на старте'!M34</f>
        <v>0</v>
      </c>
      <c r="N21" s="11">
        <f>'Затраты на старте'!N34</f>
        <v>0</v>
      </c>
      <c r="O21" s="11">
        <f>'Затраты на старте'!O34</f>
        <v>0</v>
      </c>
      <c r="P21" s="11">
        <f>'Затраты на старте'!P34</f>
        <v>0</v>
      </c>
      <c r="Q21" s="11">
        <f>'Затраты на старте'!Q34</f>
        <v>0</v>
      </c>
      <c r="R21" s="11">
        <f>'Затраты на старте'!R34</f>
        <v>0</v>
      </c>
      <c r="S21" s="11">
        <f>'Затраты на старте'!S34</f>
        <v>0</v>
      </c>
      <c r="T21" s="11">
        <f>'Затраты на старте'!T34</f>
        <v>0</v>
      </c>
      <c r="U21" s="11">
        <f>'Затраты на старте'!U34</f>
        <v>0</v>
      </c>
      <c r="V21" s="11">
        <f>'Затраты на старте'!V34</f>
        <v>0</v>
      </c>
      <c r="W21" s="11">
        <f>'Затраты на старте'!W34</f>
        <v>0</v>
      </c>
      <c r="X21" s="11">
        <f>'Затраты на старте'!X34</f>
        <v>0</v>
      </c>
      <c r="Y21" s="11">
        <f>'Затраты на старте'!Y34</f>
        <v>0</v>
      </c>
      <c r="Z21" s="11">
        <f>'Затраты на старте'!Z34</f>
        <v>0</v>
      </c>
      <c r="AA21" s="11">
        <f>'Затраты на старте'!AA34</f>
        <v>0</v>
      </c>
      <c r="AB21" s="11">
        <f>'Затраты на старте'!AB34</f>
        <v>0</v>
      </c>
      <c r="AC21" s="11">
        <f>'Затраты на старте'!AC34</f>
        <v>0</v>
      </c>
      <c r="AD21" s="11">
        <f>'Затраты на старте'!AD34</f>
        <v>0</v>
      </c>
      <c r="AE21" s="11">
        <f>'Затраты на старте'!AE34</f>
        <v>0</v>
      </c>
      <c r="AF21" s="11">
        <f>'Затраты на старте'!AF34</f>
        <v>0</v>
      </c>
      <c r="AG21" s="11">
        <f>'Затраты на старте'!AG34</f>
        <v>0</v>
      </c>
      <c r="AH21" s="11">
        <f>'Затраты на старте'!AH34</f>
        <v>0</v>
      </c>
      <c r="AI21" s="11">
        <f>'Затраты на старте'!AI34</f>
        <v>0</v>
      </c>
      <c r="AJ21" s="11">
        <f>'Затраты на старте'!AJ34</f>
        <v>0</v>
      </c>
      <c r="AK21" s="11">
        <f>'Затраты на старте'!AK34</f>
        <v>0</v>
      </c>
      <c r="AL21" s="11">
        <f>'Затраты на старте'!AL34</f>
        <v>0</v>
      </c>
      <c r="AM21" s="11">
        <f>'Затраты на старте'!AM34</f>
        <v>0</v>
      </c>
      <c r="AN21" s="11">
        <f>'Затраты на старте'!AN34</f>
        <v>0</v>
      </c>
      <c r="AO21" s="11">
        <f>'Затраты на старте'!AO34</f>
        <v>0</v>
      </c>
      <c r="AP21" s="11">
        <f>'Затраты на старте'!AP34</f>
        <v>0</v>
      </c>
      <c r="AQ21" s="11">
        <f>'Затраты на старте'!AQ34</f>
        <v>0</v>
      </c>
      <c r="AR21" s="11">
        <f>'Затраты на старте'!AR34</f>
        <v>0</v>
      </c>
      <c r="AS21" s="11">
        <f>'Затраты на старте'!AS34</f>
        <v>0</v>
      </c>
      <c r="AT21" s="11">
        <f>'Затраты на старте'!AT34</f>
        <v>0</v>
      </c>
      <c r="AU21" s="11">
        <f>'Затраты на старте'!AU34</f>
        <v>0</v>
      </c>
      <c r="AV21" s="11">
        <f>'Затраты на старте'!AV34</f>
        <v>0</v>
      </c>
      <c r="AW21" s="11">
        <f>'Затраты на старте'!AW34</f>
        <v>0</v>
      </c>
      <c r="AX21" s="11">
        <f>'Затраты на старте'!AX34</f>
        <v>0</v>
      </c>
      <c r="AY21" s="11">
        <f>'Затраты на старте'!AY34</f>
        <v>0</v>
      </c>
      <c r="AZ21" s="11">
        <f>'Затраты на старте'!AZ34</f>
        <v>0</v>
      </c>
      <c r="BA21" s="11">
        <f>'Затраты на старте'!BA34</f>
        <v>0</v>
      </c>
      <c r="BB21" s="11">
        <f>'Затраты на старте'!BB34</f>
        <v>0</v>
      </c>
      <c r="BC21" s="11">
        <f>'Затраты на старте'!BC34</f>
        <v>0</v>
      </c>
      <c r="BD21" s="11">
        <f>'Затраты на старте'!BD34</f>
        <v>0</v>
      </c>
      <c r="BE21" s="11">
        <f>'Затраты на старте'!BE34</f>
        <v>0</v>
      </c>
      <c r="BF21" s="11">
        <f>'Затраты на старте'!BF34</f>
        <v>0</v>
      </c>
      <c r="BG21" s="11">
        <f>'Затраты на старте'!BG34</f>
        <v>0</v>
      </c>
      <c r="BH21" s="11">
        <f>'Затраты на старте'!BH34</f>
        <v>0</v>
      </c>
      <c r="BI21" s="11">
        <f>'Затраты на старте'!BI34</f>
        <v>0</v>
      </c>
      <c r="BJ21" s="11">
        <f>'Затраты на старте'!BJ34</f>
        <v>0</v>
      </c>
      <c r="BK21" s="11">
        <f>'Затраты на старте'!BK34</f>
        <v>0</v>
      </c>
      <c r="BL21" s="11">
        <f>'Затраты на старте'!BL34</f>
        <v>0</v>
      </c>
      <c r="BM21" s="11">
        <f>'Затраты на старте'!BM34</f>
        <v>0</v>
      </c>
    </row>
    <row r="22" spans="2:65" x14ac:dyDescent="0.35">
      <c r="B22" s="26" t="s">
        <v>77</v>
      </c>
      <c r="D22" s="11">
        <f t="shared" si="58"/>
        <v>0</v>
      </c>
      <c r="E22" s="11"/>
      <c r="F22" s="11">
        <f>IF(F2&lt;'Входящие данные'!$C$4,Кредит!F9,0)</f>
        <v>0</v>
      </c>
      <c r="G22" s="11">
        <f>IF(G2&lt;'Входящие данные'!$C$4,Кредит!G9,0)</f>
        <v>0</v>
      </c>
      <c r="H22" s="11">
        <f>IF(H2&lt;'Входящие данные'!$C$4,Кредит!H9,0)</f>
        <v>0</v>
      </c>
      <c r="I22" s="11">
        <f>IF(I2&lt;'Входящие данные'!$C$4,Кредит!I9,0)</f>
        <v>0</v>
      </c>
      <c r="J22" s="11">
        <f>IF(J2&lt;'Входящие данные'!$C$4,Кредит!J9,0)</f>
        <v>0</v>
      </c>
      <c r="K22" s="11">
        <f>IF(K2&lt;'Входящие данные'!$C$4,Кредит!K9,0)</f>
        <v>0</v>
      </c>
      <c r="L22" s="11">
        <f>IF(L2&lt;'Входящие данные'!$C$4,Кредит!L9,0)</f>
        <v>0</v>
      </c>
      <c r="M22" s="11">
        <f>IF(M2&lt;'Входящие данные'!$C$4,Кредит!M9,0)</f>
        <v>0</v>
      </c>
      <c r="N22" s="11">
        <f>IF(N2&lt;'Входящие данные'!$C$4,Кредит!N9,0)</f>
        <v>0</v>
      </c>
      <c r="O22" s="11">
        <f>IF(O2&lt;'Входящие данные'!$C$4,Кредит!O9,0)</f>
        <v>0</v>
      </c>
      <c r="P22" s="11">
        <f>IF(P2&lt;'Входящие данные'!$C$4,Кредит!P9,0)</f>
        <v>0</v>
      </c>
      <c r="Q22" s="11">
        <f>IF(Q2&lt;'Входящие данные'!$C$4,Кредит!Q9,0)</f>
        <v>0</v>
      </c>
      <c r="R22" s="11">
        <f>IF(R2&lt;'Входящие данные'!$C$4,Кредит!R9,0)</f>
        <v>0</v>
      </c>
      <c r="S22" s="11">
        <f>IF(S2&lt;'Входящие данные'!$C$4,Кредит!S9,0)</f>
        <v>0</v>
      </c>
      <c r="T22" s="11">
        <f>IF(T2&lt;'Входящие данные'!$C$4,Кредит!T9,0)</f>
        <v>0</v>
      </c>
      <c r="U22" s="11">
        <f>IF(U2&lt;'Входящие данные'!$C$4,Кредит!U9,0)</f>
        <v>0</v>
      </c>
      <c r="V22" s="11">
        <f>IF(V2&lt;'Входящие данные'!$C$4,Кредит!V9,0)</f>
        <v>0</v>
      </c>
      <c r="W22" s="11">
        <f>IF(W2&lt;'Входящие данные'!$C$4,Кредит!W9,0)</f>
        <v>0</v>
      </c>
      <c r="X22" s="11">
        <f>IF(X2&lt;'Входящие данные'!$C$4,Кредит!X9,0)</f>
        <v>0</v>
      </c>
      <c r="Y22" s="11">
        <f>IF(Y2&lt;'Входящие данные'!$C$4,Кредит!Y9,0)</f>
        <v>0</v>
      </c>
      <c r="Z22" s="11">
        <f>IF(Z2&lt;'Входящие данные'!$C$4,Кредит!Z9,0)</f>
        <v>0</v>
      </c>
      <c r="AA22" s="11">
        <f>IF(AA2&lt;'Входящие данные'!$C$4,Кредит!AA9,0)</f>
        <v>0</v>
      </c>
      <c r="AB22" s="11">
        <f>IF(AB2&lt;'Входящие данные'!$C$4,Кредит!AB9,0)</f>
        <v>0</v>
      </c>
      <c r="AC22" s="11">
        <f>IF(AC2&lt;'Входящие данные'!$C$4,Кредит!AC9,0)</f>
        <v>0</v>
      </c>
      <c r="AD22" s="11">
        <f>IF(AD2&lt;'Входящие данные'!$C$4,Кредит!AD9,0)</f>
        <v>0</v>
      </c>
      <c r="AE22" s="11">
        <f>IF(AE2&lt;'Входящие данные'!$C$4,Кредит!AE9,0)</f>
        <v>0</v>
      </c>
      <c r="AF22" s="11">
        <f>IF(AF2&lt;'Входящие данные'!$C$4,Кредит!AF9,0)</f>
        <v>0</v>
      </c>
      <c r="AG22" s="11">
        <f>IF(AG2&lt;'Входящие данные'!$C$4,Кредит!AG9,0)</f>
        <v>0</v>
      </c>
      <c r="AH22" s="11">
        <f>IF(AH2&lt;'Входящие данные'!$C$4,Кредит!AH9,0)</f>
        <v>0</v>
      </c>
      <c r="AI22" s="11">
        <f>IF(AI2&lt;'Входящие данные'!$C$4,Кредит!AI9,0)</f>
        <v>0</v>
      </c>
      <c r="AJ22" s="11">
        <f>IF(AJ2&lt;'Входящие данные'!$C$4,Кредит!AJ9,0)</f>
        <v>0</v>
      </c>
      <c r="AK22" s="11">
        <f>IF(AK2&lt;'Входящие данные'!$C$4,Кредит!AK9,0)</f>
        <v>0</v>
      </c>
      <c r="AL22" s="11">
        <f>IF(AL2&lt;'Входящие данные'!$C$4,Кредит!AL9,0)</f>
        <v>0</v>
      </c>
      <c r="AM22" s="11">
        <f>IF(AM2&lt;'Входящие данные'!$C$4,Кредит!AM9,0)</f>
        <v>0</v>
      </c>
      <c r="AN22" s="11">
        <f>IF(AN2&lt;'Входящие данные'!$C$4,Кредит!AN9,0)</f>
        <v>0</v>
      </c>
      <c r="AO22" s="11">
        <f>IF(AO2&lt;'Входящие данные'!$C$4,Кредит!AO9,0)</f>
        <v>0</v>
      </c>
      <c r="AP22" s="11">
        <f>IF(AP2&lt;'Входящие данные'!$C$4,Кредит!AP9,0)</f>
        <v>0</v>
      </c>
      <c r="AQ22" s="11">
        <f>IF(AQ2&lt;'Входящие данные'!$C$4,Кредит!AQ9,0)</f>
        <v>0</v>
      </c>
      <c r="AR22" s="11">
        <f>IF(AR2&lt;'Входящие данные'!$C$4,Кредит!AR9,0)</f>
        <v>0</v>
      </c>
      <c r="AS22" s="11">
        <f>IF(AS2&lt;'Входящие данные'!$C$4,Кредит!AS9,0)</f>
        <v>0</v>
      </c>
      <c r="AT22" s="11">
        <f>IF(AT2&lt;'Входящие данные'!$C$4,Кредит!AT9,0)</f>
        <v>0</v>
      </c>
      <c r="AU22" s="11">
        <f>IF(AU2&lt;'Входящие данные'!$C$4,Кредит!AU9,0)</f>
        <v>0</v>
      </c>
      <c r="AV22" s="11">
        <f>IF(AV2&lt;'Входящие данные'!$C$4,Кредит!AV9,0)</f>
        <v>0</v>
      </c>
      <c r="AW22" s="11">
        <f>IF(AW2&lt;'Входящие данные'!$C$4,Кредит!AW9,0)</f>
        <v>0</v>
      </c>
      <c r="AX22" s="11">
        <f>IF(AX2&lt;'Входящие данные'!$C$4,Кредит!AX9,0)</f>
        <v>0</v>
      </c>
      <c r="AY22" s="11">
        <f>IF(AY2&lt;'Входящие данные'!$C$4,Кредит!AY9,0)</f>
        <v>0</v>
      </c>
      <c r="AZ22" s="11">
        <f>IF(AZ2&lt;'Входящие данные'!$C$4,Кредит!AZ9,0)</f>
        <v>0</v>
      </c>
      <c r="BA22" s="11">
        <f>IF(BA2&lt;'Входящие данные'!$C$4,Кредит!BA9,0)</f>
        <v>0</v>
      </c>
      <c r="BB22" s="11">
        <f>IF(BB2&lt;'Входящие данные'!$C$4,Кредит!BB9,0)</f>
        <v>0</v>
      </c>
      <c r="BC22" s="11">
        <f>IF(BC2&lt;'Входящие данные'!$C$4,Кредит!BC9,0)</f>
        <v>0</v>
      </c>
      <c r="BD22" s="11">
        <f>IF(BD2&lt;'Входящие данные'!$C$4,Кредит!BD9,0)</f>
        <v>0</v>
      </c>
      <c r="BE22" s="11">
        <f>IF(BE2&lt;'Входящие данные'!$C$4,Кредит!BE9,0)</f>
        <v>0</v>
      </c>
      <c r="BF22" s="11">
        <f>IF(BF2&lt;'Входящие данные'!$C$4,Кредит!BF9,0)</f>
        <v>0</v>
      </c>
      <c r="BG22" s="11">
        <f>IF(BG2&lt;'Входящие данные'!$C$4,Кредит!BG9,0)</f>
        <v>0</v>
      </c>
      <c r="BH22" s="11">
        <f>IF(BH2&lt;'Входящие данные'!$C$4,Кредит!BH9,0)</f>
        <v>0</v>
      </c>
      <c r="BI22" s="11">
        <f>IF(BI2&lt;'Входящие данные'!$C$4,Кредит!BI9,0)</f>
        <v>0</v>
      </c>
      <c r="BJ22" s="11">
        <f>IF(BJ2&lt;'Входящие данные'!$C$4,Кредит!BJ9,0)</f>
        <v>0</v>
      </c>
      <c r="BK22" s="11">
        <f>IF(BK2&lt;'Входящие данные'!$C$4,Кредит!BK9,0)</f>
        <v>0</v>
      </c>
      <c r="BL22" s="11">
        <f>IF(BL2&lt;'Входящие данные'!$C$4,Кредит!BL9,0)</f>
        <v>0</v>
      </c>
      <c r="BM22" s="11">
        <f>IF(BM2&lt;'Входящие данные'!$C$4,Кредит!BM9,0)</f>
        <v>0</v>
      </c>
    </row>
    <row r="23" spans="2:65" x14ac:dyDescent="0.35">
      <c r="B23" s="15" t="s">
        <v>96</v>
      </c>
      <c r="C23" s="16"/>
      <c r="D23" s="17">
        <f>SUM(F23:BM23)</f>
        <v>-2329861.9750562268</v>
      </c>
      <c r="E23" s="17"/>
      <c r="F23" s="17">
        <f>F24-F27</f>
        <v>1187000</v>
      </c>
      <c r="G23" s="17">
        <f t="shared" ref="G23:Q23" si="65">G24-G27</f>
        <v>0</v>
      </c>
      <c r="H23" s="17">
        <f t="shared" si="65"/>
        <v>0</v>
      </c>
      <c r="I23" s="17">
        <f t="shared" si="65"/>
        <v>0</v>
      </c>
      <c r="J23" s="17">
        <f t="shared" si="65"/>
        <v>20538.712334782263</v>
      </c>
      <c r="K23" s="17">
        <f t="shared" si="65"/>
        <v>102808.09046603655</v>
      </c>
      <c r="L23" s="17">
        <f t="shared" si="65"/>
        <v>104659.45182722175</v>
      </c>
      <c r="M23" s="17">
        <f t="shared" si="65"/>
        <v>61191.508404624299</v>
      </c>
      <c r="N23" s="17">
        <f t="shared" si="65"/>
        <v>62187.891851624416</v>
      </c>
      <c r="O23" s="17">
        <f t="shared" si="65"/>
        <v>-1641.2253307288222</v>
      </c>
      <c r="P23" s="17">
        <f t="shared" si="65"/>
        <v>41278.945367018416</v>
      </c>
      <c r="Q23" s="17">
        <f t="shared" si="65"/>
        <v>42050.176390706562</v>
      </c>
      <c r="R23" s="17">
        <f t="shared" ref="R23" si="66">R24-R27</f>
        <v>-22597.508191142686</v>
      </c>
      <c r="S23" s="17">
        <f t="shared" ref="S23" si="67">S24-S27</f>
        <v>-66971.639733960037</v>
      </c>
      <c r="T23" s="17">
        <f t="shared" ref="T23" si="68">T24-T27</f>
        <v>-42959.208537459606</v>
      </c>
      <c r="U23" s="17">
        <f t="shared" ref="U23" si="69">U24-U27</f>
        <v>-118303.01111386341</v>
      </c>
      <c r="V23" s="17">
        <f t="shared" ref="V23" si="70">V24-V27</f>
        <v>-44318.404577558955</v>
      </c>
      <c r="W23" s="17">
        <f t="shared" ref="W23" si="71">W24-W27</f>
        <v>-19910.134936599261</v>
      </c>
      <c r="X23" s="17">
        <f t="shared" ref="X23" si="72">X24-X27</f>
        <v>-96109.716445333048</v>
      </c>
      <c r="Y23" s="17">
        <f t="shared" ref="Y23" si="73">Y24-Y27</f>
        <v>-122331.77600931571</v>
      </c>
      <c r="Z23" s="17">
        <f t="shared" ref="Z23" si="74">Z24-Z27</f>
        <v>-174187.33862660942</v>
      </c>
      <c r="AA23" s="17">
        <f t="shared" ref="AA23" si="75">AA24-AA27</f>
        <v>-277517.01739633374</v>
      </c>
      <c r="AB23" s="17">
        <f t="shared" ref="AB23" si="76">AB24-AB27</f>
        <v>-20172.032790624282</v>
      </c>
      <c r="AC23" s="17">
        <f t="shared" ref="AC23" si="77">AC24-AC27</f>
        <v>-23555.081971029693</v>
      </c>
      <c r="AD23" s="17">
        <f t="shared" ref="AD23" si="78">AD24-AD27</f>
        <v>-69063.618844697601</v>
      </c>
      <c r="AE23" s="17">
        <f t="shared" ref="AE23" si="79">AE24-AE27</f>
        <v>-121838.54138029035</v>
      </c>
      <c r="AF23" s="17">
        <f t="shared" ref="AF23" si="80">AF24-AF27</f>
        <v>-70821.79751845976</v>
      </c>
      <c r="AG23" s="17">
        <f t="shared" ref="AG23" si="81">AG24-AG27</f>
        <v>-124048.1206232362</v>
      </c>
      <c r="AH23" s="17">
        <f t="shared" ref="AH23" si="82">AH24-AH27</f>
        <v>-22165.85167986028</v>
      </c>
      <c r="AI23" s="17">
        <f t="shared" ref="AI23" si="83">AI24-AI27</f>
        <v>-22516.810998124733</v>
      </c>
      <c r="AJ23" s="17">
        <f t="shared" ref="AJ23" si="84">AJ24-AJ27</f>
        <v>-74437.7171196001</v>
      </c>
      <c r="AK23" s="17">
        <f t="shared" ref="AK23" si="85">AK24-AK27</f>
        <v>-75363.022788840535</v>
      </c>
      <c r="AL23" s="17">
        <f t="shared" ref="AL23" si="86">AL24-AL27</f>
        <v>-129735.60050558217</v>
      </c>
      <c r="AM23" s="17">
        <f t="shared" ref="AM23" si="87">AM24-AM27</f>
        <v>-238226.04027694897</v>
      </c>
      <c r="AN23" s="17">
        <f t="shared" ref="AN23" si="88">AN24-AN27</f>
        <v>-15873.667472531873</v>
      </c>
      <c r="AO23" s="17">
        <f t="shared" ref="AO23:BH23" si="89">AO24-AO27</f>
        <v>35184.562556595425</v>
      </c>
      <c r="AP23" s="17">
        <f t="shared" si="89"/>
        <v>-79039.566797068721</v>
      </c>
      <c r="AQ23" s="17">
        <f t="shared" si="89"/>
        <v>-134567.14128906239</v>
      </c>
      <c r="AR23" s="17">
        <f t="shared" si="89"/>
        <v>-80973.057726641491</v>
      </c>
      <c r="AS23" s="17">
        <f t="shared" si="89"/>
        <v>-81953.594599735923</v>
      </c>
      <c r="AT23" s="17">
        <f t="shared" si="89"/>
        <v>-27690.608255985971</v>
      </c>
      <c r="AU23" s="17">
        <f t="shared" si="89"/>
        <v>1796.3148558538596</v>
      </c>
      <c r="AV23" s="17">
        <f t="shared" si="89"/>
        <v>-84511.355566514248</v>
      </c>
      <c r="AW23" s="17">
        <f t="shared" si="89"/>
        <v>-85522.982252455578</v>
      </c>
      <c r="AX23" s="17">
        <f t="shared" si="89"/>
        <v>-142727.29172240046</v>
      </c>
      <c r="AY23" s="17">
        <f t="shared" si="89"/>
        <v>-256829.29477068133</v>
      </c>
      <c r="AZ23" s="17">
        <f t="shared" si="89"/>
        <v>10523.420389461276</v>
      </c>
      <c r="BA23" s="17">
        <f t="shared" si="89"/>
        <v>30521.592366423461</v>
      </c>
      <c r="BB23" s="17">
        <f t="shared" si="89"/>
        <v>-89195.846555287833</v>
      </c>
      <c r="BC23" s="17">
        <f t="shared" si="89"/>
        <v>-147610.86574303656</v>
      </c>
      <c r="BD23" s="17">
        <f t="shared" si="89"/>
        <v>-91300.605990960539</v>
      </c>
      <c r="BE23" s="17">
        <f t="shared" si="89"/>
        <v>-92368.186546157536</v>
      </c>
      <c r="BF23" s="17">
        <f t="shared" si="89"/>
        <v>-35355.645485457069</v>
      </c>
      <c r="BG23" s="17">
        <f t="shared" si="89"/>
        <v>-7312.4948640853618</v>
      </c>
      <c r="BH23" s="17">
        <f t="shared" si="89"/>
        <v>-95286.185725533986</v>
      </c>
      <c r="BI23" s="17">
        <f t="shared" ref="BI23:BM23" si="90">BI24-BI27</f>
        <v>-96390.239439280398</v>
      </c>
      <c r="BJ23" s="17">
        <f t="shared" si="90"/>
        <v>-156573.29469693528</v>
      </c>
      <c r="BK23" s="17">
        <f t="shared" si="90"/>
        <v>-276576.54870663129</v>
      </c>
      <c r="BL23" s="17">
        <f t="shared" si="90"/>
        <v>2004.6153433518921</v>
      </c>
      <c r="BM23" s="17">
        <f t="shared" si="90"/>
        <v>24842.434392716033</v>
      </c>
    </row>
    <row r="24" spans="2:65" x14ac:dyDescent="0.35">
      <c r="B24" s="5" t="s">
        <v>47</v>
      </c>
      <c r="D24" s="11">
        <f t="shared" si="58"/>
        <v>1925263.4760306291</v>
      </c>
      <c r="E24" s="11"/>
      <c r="F24" s="11">
        <f>SUM(F25:F26)</f>
        <v>1187000</v>
      </c>
      <c r="G24" s="11">
        <f t="shared" ref="G24:BM24" si="91">SUM(G25:G26)</f>
        <v>0</v>
      </c>
      <c r="H24" s="11">
        <f t="shared" si="91"/>
        <v>0</v>
      </c>
      <c r="I24" s="11">
        <f t="shared" si="91"/>
        <v>0</v>
      </c>
      <c r="J24" s="11">
        <f t="shared" si="91"/>
        <v>20538.712334782263</v>
      </c>
      <c r="K24" s="11">
        <f t="shared" si="91"/>
        <v>102808.09046603655</v>
      </c>
      <c r="L24" s="11">
        <f t="shared" si="91"/>
        <v>104659.45182722175</v>
      </c>
      <c r="M24" s="11">
        <f t="shared" si="91"/>
        <v>61191.508404624299</v>
      </c>
      <c r="N24" s="11">
        <f t="shared" si="91"/>
        <v>62187.891851624416</v>
      </c>
      <c r="O24" s="11">
        <f t="shared" si="91"/>
        <v>0</v>
      </c>
      <c r="P24" s="11">
        <f t="shared" si="91"/>
        <v>41278.945367018416</v>
      </c>
      <c r="Q24" s="11">
        <f t="shared" si="91"/>
        <v>42050.176390706562</v>
      </c>
      <c r="R24" s="11">
        <f t="shared" si="91"/>
        <v>0</v>
      </c>
      <c r="S24" s="11">
        <f t="shared" si="91"/>
        <v>0</v>
      </c>
      <c r="T24" s="11">
        <f t="shared" si="91"/>
        <v>0</v>
      </c>
      <c r="U24" s="11">
        <f t="shared" si="91"/>
        <v>0</v>
      </c>
      <c r="V24" s="11">
        <f t="shared" si="91"/>
        <v>0</v>
      </c>
      <c r="W24" s="11">
        <f t="shared" si="91"/>
        <v>0</v>
      </c>
      <c r="X24" s="11">
        <f t="shared" si="91"/>
        <v>0</v>
      </c>
      <c r="Y24" s="11">
        <f t="shared" si="91"/>
        <v>0</v>
      </c>
      <c r="Z24" s="11">
        <f t="shared" si="91"/>
        <v>0</v>
      </c>
      <c r="AA24" s="11">
        <f t="shared" si="91"/>
        <v>0</v>
      </c>
      <c r="AB24" s="11">
        <f t="shared" si="91"/>
        <v>0</v>
      </c>
      <c r="AC24" s="11">
        <f t="shared" si="91"/>
        <v>0</v>
      </c>
      <c r="AD24" s="11">
        <f t="shared" si="91"/>
        <v>0</v>
      </c>
      <c r="AE24" s="11">
        <f t="shared" si="91"/>
        <v>0</v>
      </c>
      <c r="AF24" s="11">
        <f t="shared" si="91"/>
        <v>0</v>
      </c>
      <c r="AG24" s="11">
        <f t="shared" si="91"/>
        <v>0</v>
      </c>
      <c r="AH24" s="11">
        <f t="shared" si="91"/>
        <v>0</v>
      </c>
      <c r="AI24" s="11">
        <f t="shared" si="91"/>
        <v>0</v>
      </c>
      <c r="AJ24" s="11">
        <f t="shared" si="91"/>
        <v>0</v>
      </c>
      <c r="AK24" s="11">
        <f t="shared" si="91"/>
        <v>0</v>
      </c>
      <c r="AL24" s="11">
        <f t="shared" si="91"/>
        <v>0</v>
      </c>
      <c r="AM24" s="11">
        <f t="shared" si="91"/>
        <v>0</v>
      </c>
      <c r="AN24" s="11">
        <f t="shared" si="91"/>
        <v>8483.0736548138302</v>
      </c>
      <c r="AO24" s="11">
        <f t="shared" si="91"/>
        <v>59792.636752256221</v>
      </c>
      <c r="AP24" s="11">
        <f t="shared" si="91"/>
        <v>0</v>
      </c>
      <c r="AQ24" s="11">
        <f t="shared" si="91"/>
        <v>0</v>
      </c>
      <c r="AR24" s="11">
        <f t="shared" si="91"/>
        <v>0</v>
      </c>
      <c r="AS24" s="11">
        <f t="shared" si="91"/>
        <v>0</v>
      </c>
      <c r="AT24" s="11">
        <f t="shared" si="91"/>
        <v>0</v>
      </c>
      <c r="AU24" s="11">
        <f t="shared" si="91"/>
        <v>27812.593208003287</v>
      </c>
      <c r="AV24" s="11">
        <f t="shared" si="91"/>
        <v>0</v>
      </c>
      <c r="AW24" s="11">
        <f t="shared" si="91"/>
        <v>0</v>
      </c>
      <c r="AX24" s="11">
        <f t="shared" si="91"/>
        <v>0</v>
      </c>
      <c r="AY24" s="11">
        <f t="shared" si="91"/>
        <v>0</v>
      </c>
      <c r="AZ24" s="11">
        <f t="shared" si="91"/>
        <v>38196.657702120312</v>
      </c>
      <c r="BA24" s="11">
        <f t="shared" si="91"/>
        <v>58028.208856249359</v>
      </c>
      <c r="BB24" s="11">
        <f t="shared" si="91"/>
        <v>0</v>
      </c>
      <c r="BC24" s="11">
        <f t="shared" si="91"/>
        <v>0</v>
      </c>
      <c r="BD24" s="11">
        <f t="shared" si="91"/>
        <v>0</v>
      </c>
      <c r="BE24" s="11">
        <f t="shared" si="91"/>
        <v>0</v>
      </c>
      <c r="BF24" s="11">
        <f t="shared" si="91"/>
        <v>0</v>
      </c>
      <c r="BG24" s="11">
        <f t="shared" si="91"/>
        <v>21919.039472149703</v>
      </c>
      <c r="BH24" s="11">
        <f t="shared" si="91"/>
        <v>0</v>
      </c>
      <c r="BI24" s="11">
        <f t="shared" si="91"/>
        <v>0</v>
      </c>
      <c r="BJ24" s="11">
        <f t="shared" si="91"/>
        <v>0</v>
      </c>
      <c r="BK24" s="11">
        <f t="shared" si="91"/>
        <v>0</v>
      </c>
      <c r="BL24" s="11">
        <f t="shared" si="91"/>
        <v>33255.205218296978</v>
      </c>
      <c r="BM24" s="11">
        <f t="shared" si="91"/>
        <v>56061.284524724717</v>
      </c>
    </row>
    <row r="25" spans="2:65" x14ac:dyDescent="0.35">
      <c r="B25" s="26" t="s">
        <v>48</v>
      </c>
      <c r="D25" s="11">
        <f>SUM(F25:BM25)</f>
        <v>500000</v>
      </c>
      <c r="E25" s="11"/>
      <c r="F25" s="11">
        <f>IF(F2=Старт,'Входящие данные'!C11,0)</f>
        <v>500000</v>
      </c>
      <c r="G25" s="11">
        <f>IF(G2=Старт,'Входящие данные'!D11,0)</f>
        <v>0</v>
      </c>
      <c r="H25" s="11">
        <f>IF(H2=Старт,'Входящие данные'!E11,0)</f>
        <v>0</v>
      </c>
      <c r="I25" s="11">
        <f>IF(I2=Старт,'Входящие данные'!F11,0)</f>
        <v>0</v>
      </c>
      <c r="J25" s="11">
        <f>IF(J2=Старт,'Входящие данные'!G11,0)</f>
        <v>0</v>
      </c>
      <c r="K25" s="11">
        <f>IF(K2=Старт,'Входящие данные'!H11,0)</f>
        <v>0</v>
      </c>
      <c r="L25" s="11">
        <f>IF(L2=Старт,'Входящие данные'!I11,0)</f>
        <v>0</v>
      </c>
      <c r="M25" s="11">
        <f>IF(M2=Старт,'Входящие данные'!J11,0)</f>
        <v>0</v>
      </c>
      <c r="N25" s="11">
        <f>IF(N2=Старт,'Входящие данные'!K11,0)</f>
        <v>0</v>
      </c>
      <c r="O25" s="11">
        <f>IF(O2=Старт,'Входящие данные'!L11,0)</f>
        <v>0</v>
      </c>
      <c r="P25" s="11">
        <f>IF(P2=Старт,'Входящие данные'!M11,0)</f>
        <v>0</v>
      </c>
      <c r="Q25" s="11">
        <f>IF(Q2=Старт,'Входящие данные'!N11,0)</f>
        <v>0</v>
      </c>
      <c r="R25" s="11">
        <f>IF(R2=Старт,'Входящие данные'!O11,0)</f>
        <v>0</v>
      </c>
      <c r="S25" s="11">
        <f>IF(S2=Старт,'Входящие данные'!P11,0)</f>
        <v>0</v>
      </c>
      <c r="T25" s="11">
        <f>IF(T2=Старт,'Входящие данные'!Q11,0)</f>
        <v>0</v>
      </c>
      <c r="U25" s="11">
        <f>IF(U2=Старт,'Входящие данные'!R11,0)</f>
        <v>0</v>
      </c>
      <c r="V25" s="11">
        <f>IF(V2=Старт,'Входящие данные'!S11,0)</f>
        <v>0</v>
      </c>
      <c r="W25" s="11">
        <f>IF(W2=Старт,'Входящие данные'!T11,0)</f>
        <v>0</v>
      </c>
      <c r="X25" s="11">
        <f>IF(X2=Старт,'Входящие данные'!U11,0)</f>
        <v>0</v>
      </c>
      <c r="Y25" s="11">
        <f>IF(Y2=Старт,'Входящие данные'!V11,0)</f>
        <v>0</v>
      </c>
      <c r="Z25" s="11">
        <f>IF(Z2=Старт,'Входящие данные'!W11,0)</f>
        <v>0</v>
      </c>
      <c r="AA25" s="11">
        <f>IF(AA2=Старт,'Входящие данные'!X11,0)</f>
        <v>0</v>
      </c>
      <c r="AB25" s="11">
        <f>IF(AB2=Старт,'Входящие данные'!Y11,0)</f>
        <v>0</v>
      </c>
      <c r="AC25" s="11">
        <f>IF(AC2=Старт,'Входящие данные'!Z11,0)</f>
        <v>0</v>
      </c>
      <c r="AD25" s="11">
        <f>IF(AD2=Старт,'Входящие данные'!AA11,0)</f>
        <v>0</v>
      </c>
      <c r="AE25" s="11">
        <f>IF(AE2=Старт,'Входящие данные'!AB11,0)</f>
        <v>0</v>
      </c>
      <c r="AF25" s="11">
        <f>IF(AF2=Старт,'Входящие данные'!AC11,0)</f>
        <v>0</v>
      </c>
      <c r="AG25" s="11">
        <f>IF(AG2=Старт,'Входящие данные'!AD11,0)</f>
        <v>0</v>
      </c>
      <c r="AH25" s="11">
        <f>IF(AH2=Старт,'Входящие данные'!AE11,0)</f>
        <v>0</v>
      </c>
      <c r="AI25" s="11">
        <f>IF(AI2=Старт,'Входящие данные'!AF11,0)</f>
        <v>0</v>
      </c>
      <c r="AJ25" s="11">
        <f>IF(AJ2=Старт,'Входящие данные'!AG11,0)</f>
        <v>0</v>
      </c>
      <c r="AK25" s="11">
        <f>IF(AK2=Старт,'Входящие данные'!AH11,0)</f>
        <v>0</v>
      </c>
      <c r="AL25" s="11">
        <f>IF(AL2=Старт,'Входящие данные'!AI11,0)</f>
        <v>0</v>
      </c>
      <c r="AM25" s="11">
        <f>IF(AM2=Старт,'Входящие данные'!AJ11,0)</f>
        <v>0</v>
      </c>
      <c r="AN25" s="11">
        <f>IF(AN2=Старт,'Входящие данные'!AK11,0)</f>
        <v>0</v>
      </c>
      <c r="AO25" s="11">
        <f>IF(AO2=Старт,'Входящие данные'!AL11,0)</f>
        <v>0</v>
      </c>
      <c r="AP25" s="11">
        <f>IF(AP2=Старт,'Входящие данные'!AM11,0)</f>
        <v>0</v>
      </c>
      <c r="AQ25" s="11">
        <f>IF(AQ2=Старт,'Входящие данные'!AN11,0)</f>
        <v>0</v>
      </c>
      <c r="AR25" s="11">
        <f>IF(AR2=Старт,'Входящие данные'!AO11,0)</f>
        <v>0</v>
      </c>
      <c r="AS25" s="11">
        <f>IF(AS2=Старт,'Входящие данные'!AP11,0)</f>
        <v>0</v>
      </c>
      <c r="AT25" s="11">
        <f>IF(AT2=Старт,'Входящие данные'!AQ11,0)</f>
        <v>0</v>
      </c>
      <c r="AU25" s="11">
        <f>IF(AU2=Старт,'Входящие данные'!AR11,0)</f>
        <v>0</v>
      </c>
      <c r="AV25" s="11">
        <f>IF(AV2=Старт,'Входящие данные'!AS11,0)</f>
        <v>0</v>
      </c>
      <c r="AW25" s="11">
        <f>IF(AW2=Старт,'Входящие данные'!AT11,0)</f>
        <v>0</v>
      </c>
      <c r="AX25" s="11">
        <f>IF(AX2=Старт,'Входящие данные'!AU11,0)</f>
        <v>0</v>
      </c>
      <c r="AY25" s="11">
        <f>IF(AY2=Старт,'Входящие данные'!AV11,0)</f>
        <v>0</v>
      </c>
      <c r="AZ25" s="11">
        <f>IF(AZ2=Старт,'Входящие данные'!AW11,0)</f>
        <v>0</v>
      </c>
      <c r="BA25" s="11">
        <f>IF(BA2=Старт,'Входящие данные'!AX11,0)</f>
        <v>0</v>
      </c>
      <c r="BB25" s="11">
        <f>IF(BB2=Старт,'Входящие данные'!AY11,0)</f>
        <v>0</v>
      </c>
      <c r="BC25" s="11">
        <f>IF(BC2=Старт,'Входящие данные'!AZ11,0)</f>
        <v>0</v>
      </c>
      <c r="BD25" s="11">
        <f>IF(BD2=Старт,'Входящие данные'!BA11,0)</f>
        <v>0</v>
      </c>
      <c r="BE25" s="11">
        <f>IF(BE2=Старт,'Входящие данные'!BB11,0)</f>
        <v>0</v>
      </c>
      <c r="BF25" s="11">
        <f>IF(BF2=Старт,'Входящие данные'!BC11,0)</f>
        <v>0</v>
      </c>
      <c r="BG25" s="11">
        <f>IF(BG2=Старт,'Входящие данные'!BD11,0)</f>
        <v>0</v>
      </c>
      <c r="BH25" s="11">
        <f>IF(BH2=Старт,'Входящие данные'!BE11,0)</f>
        <v>0</v>
      </c>
      <c r="BI25" s="11">
        <f>IF(BI2=Старт,'Входящие данные'!BF11,0)</f>
        <v>0</v>
      </c>
      <c r="BJ25" s="11">
        <f>IF(BJ2=Старт,'Входящие данные'!BG11,0)</f>
        <v>0</v>
      </c>
      <c r="BK25" s="11">
        <f>IF(BK2=Старт,'Входящие данные'!BH11,0)</f>
        <v>0</v>
      </c>
      <c r="BL25" s="11">
        <f>IF(BL2=Старт,'Входящие данные'!BI11,0)</f>
        <v>0</v>
      </c>
      <c r="BM25" s="11">
        <f>IF(BM2=Старт,'Входящие данные'!BJ11,0)</f>
        <v>0</v>
      </c>
    </row>
    <row r="26" spans="2:65" x14ac:dyDescent="0.35">
      <c r="B26" s="26" t="s">
        <v>49</v>
      </c>
      <c r="D26" s="11">
        <f t="shared" si="58"/>
        <v>1425263.4760306289</v>
      </c>
      <c r="E26" s="11"/>
      <c r="F26" s="11">
        <f>Кредит!F8</f>
        <v>687000</v>
      </c>
      <c r="G26" s="11">
        <f>Кредит!G8</f>
        <v>0</v>
      </c>
      <c r="H26" s="11">
        <f>Кредит!H8</f>
        <v>0</v>
      </c>
      <c r="I26" s="11">
        <f>Кредит!I8</f>
        <v>0</v>
      </c>
      <c r="J26" s="11">
        <f>Кредит!J8</f>
        <v>20538.712334782263</v>
      </c>
      <c r="K26" s="11">
        <f>Кредит!K8</f>
        <v>102808.09046603655</v>
      </c>
      <c r="L26" s="11">
        <f>Кредит!L8</f>
        <v>104659.45182722175</v>
      </c>
      <c r="M26" s="11">
        <f>Кредит!M8</f>
        <v>61191.508404624299</v>
      </c>
      <c r="N26" s="11">
        <f>Кредит!N8</f>
        <v>62187.891851624416</v>
      </c>
      <c r="O26" s="11">
        <f>Кредит!O8</f>
        <v>0</v>
      </c>
      <c r="P26" s="11">
        <f>Кредит!P8</f>
        <v>41278.945367018416</v>
      </c>
      <c r="Q26" s="11">
        <f>Кредит!Q8</f>
        <v>42050.176390706562</v>
      </c>
      <c r="R26" s="11">
        <f>Кредит!R8</f>
        <v>0</v>
      </c>
      <c r="S26" s="11">
        <f>Кредит!S8</f>
        <v>0</v>
      </c>
      <c r="T26" s="11">
        <f>Кредит!T8</f>
        <v>0</v>
      </c>
      <c r="U26" s="11">
        <f>Кредит!U8</f>
        <v>0</v>
      </c>
      <c r="V26" s="11">
        <f>Кредит!V8</f>
        <v>0</v>
      </c>
      <c r="W26" s="11">
        <f>Кредит!W8</f>
        <v>0</v>
      </c>
      <c r="X26" s="11">
        <f>Кредит!X8</f>
        <v>0</v>
      </c>
      <c r="Y26" s="11">
        <f>Кредит!Y8</f>
        <v>0</v>
      </c>
      <c r="Z26" s="11">
        <f>Кредит!Z8</f>
        <v>0</v>
      </c>
      <c r="AA26" s="11">
        <f>Кредит!AA8</f>
        <v>0</v>
      </c>
      <c r="AB26" s="11">
        <f>Кредит!AB8</f>
        <v>0</v>
      </c>
      <c r="AC26" s="11">
        <f>Кредит!AC8</f>
        <v>0</v>
      </c>
      <c r="AD26" s="11">
        <f>Кредит!AD8</f>
        <v>0</v>
      </c>
      <c r="AE26" s="11">
        <f>Кредит!AE8</f>
        <v>0</v>
      </c>
      <c r="AF26" s="11">
        <f>Кредит!AF8</f>
        <v>0</v>
      </c>
      <c r="AG26" s="11">
        <f>Кредит!AG8</f>
        <v>0</v>
      </c>
      <c r="AH26" s="11">
        <f>Кредит!AH8</f>
        <v>0</v>
      </c>
      <c r="AI26" s="11">
        <f>Кредит!AI8</f>
        <v>0</v>
      </c>
      <c r="AJ26" s="11">
        <f>Кредит!AJ8</f>
        <v>0</v>
      </c>
      <c r="AK26" s="11">
        <f>Кредит!AK8</f>
        <v>0</v>
      </c>
      <c r="AL26" s="11">
        <f>Кредит!AL8</f>
        <v>0</v>
      </c>
      <c r="AM26" s="11">
        <f>Кредит!AM8</f>
        <v>0</v>
      </c>
      <c r="AN26" s="11">
        <f>Кредит!AN8</f>
        <v>8483.0736548138302</v>
      </c>
      <c r="AO26" s="11">
        <f>Кредит!AO8</f>
        <v>59792.636752256221</v>
      </c>
      <c r="AP26" s="11">
        <f>Кредит!AP8</f>
        <v>0</v>
      </c>
      <c r="AQ26" s="11">
        <f>Кредит!AQ8</f>
        <v>0</v>
      </c>
      <c r="AR26" s="11">
        <f>Кредит!AR8</f>
        <v>0</v>
      </c>
      <c r="AS26" s="11">
        <f>Кредит!AS8</f>
        <v>0</v>
      </c>
      <c r="AT26" s="11">
        <f>Кредит!AT8</f>
        <v>0</v>
      </c>
      <c r="AU26" s="11">
        <f>Кредит!AU8</f>
        <v>27812.593208003287</v>
      </c>
      <c r="AV26" s="11">
        <f>Кредит!AV8</f>
        <v>0</v>
      </c>
      <c r="AW26" s="11">
        <f>Кредит!AW8</f>
        <v>0</v>
      </c>
      <c r="AX26" s="11">
        <f>Кредит!AX8</f>
        <v>0</v>
      </c>
      <c r="AY26" s="11">
        <f>Кредит!AY8</f>
        <v>0</v>
      </c>
      <c r="AZ26" s="11">
        <f>Кредит!AZ8</f>
        <v>38196.657702120312</v>
      </c>
      <c r="BA26" s="11">
        <f>Кредит!BA8</f>
        <v>58028.208856249359</v>
      </c>
      <c r="BB26" s="11">
        <f>Кредит!BB8</f>
        <v>0</v>
      </c>
      <c r="BC26" s="11">
        <f>Кредит!BC8</f>
        <v>0</v>
      </c>
      <c r="BD26" s="11">
        <f>Кредит!BD8</f>
        <v>0</v>
      </c>
      <c r="BE26" s="11">
        <f>Кредит!BE8</f>
        <v>0</v>
      </c>
      <c r="BF26" s="11">
        <f>Кредит!BF8</f>
        <v>0</v>
      </c>
      <c r="BG26" s="11">
        <f>Кредит!BG8</f>
        <v>21919.039472149703</v>
      </c>
      <c r="BH26" s="11">
        <f>Кредит!BH8</f>
        <v>0</v>
      </c>
      <c r="BI26" s="11">
        <f>Кредит!BI8</f>
        <v>0</v>
      </c>
      <c r="BJ26" s="11">
        <f>Кредит!BJ8</f>
        <v>0</v>
      </c>
      <c r="BK26" s="11">
        <f>Кредит!BK8</f>
        <v>0</v>
      </c>
      <c r="BL26" s="11">
        <f>Кредит!BL8</f>
        <v>33255.205218296978</v>
      </c>
      <c r="BM26" s="11">
        <f>Кредит!BM8</f>
        <v>56061.284524724717</v>
      </c>
    </row>
    <row r="27" spans="2:65" x14ac:dyDescent="0.35">
      <c r="B27" s="5" t="s">
        <v>50</v>
      </c>
      <c r="D27" s="11">
        <f t="shared" si="58"/>
        <v>4255125.4510868564</v>
      </c>
      <c r="E27" s="11"/>
      <c r="F27" s="11">
        <f>SUM(F28:F29)</f>
        <v>0</v>
      </c>
      <c r="G27" s="11">
        <f t="shared" ref="G27:BM27" si="92">SUM(G28:G29)</f>
        <v>0</v>
      </c>
      <c r="H27" s="11">
        <f t="shared" si="92"/>
        <v>0</v>
      </c>
      <c r="I27" s="11">
        <f t="shared" si="92"/>
        <v>0</v>
      </c>
      <c r="J27" s="11">
        <f t="shared" si="92"/>
        <v>0</v>
      </c>
      <c r="K27" s="11">
        <f t="shared" si="92"/>
        <v>0</v>
      </c>
      <c r="L27" s="11">
        <f t="shared" si="92"/>
        <v>0</v>
      </c>
      <c r="M27" s="11">
        <f t="shared" si="92"/>
        <v>0</v>
      </c>
      <c r="N27" s="11">
        <f t="shared" si="92"/>
        <v>0</v>
      </c>
      <c r="O27" s="11">
        <f t="shared" si="92"/>
        <v>1641.2253307288222</v>
      </c>
      <c r="P27" s="11">
        <f t="shared" si="92"/>
        <v>0</v>
      </c>
      <c r="Q27" s="11">
        <f t="shared" si="92"/>
        <v>0</v>
      </c>
      <c r="R27" s="11">
        <f t="shared" si="92"/>
        <v>22597.508191142686</v>
      </c>
      <c r="S27" s="11">
        <f t="shared" si="92"/>
        <v>66971.639733960037</v>
      </c>
      <c r="T27" s="11">
        <f t="shared" si="92"/>
        <v>42959.208537459606</v>
      </c>
      <c r="U27" s="11">
        <f t="shared" si="92"/>
        <v>118303.01111386341</v>
      </c>
      <c r="V27" s="11">
        <f t="shared" si="92"/>
        <v>44318.404577558955</v>
      </c>
      <c r="W27" s="11">
        <f t="shared" si="92"/>
        <v>19910.134936599261</v>
      </c>
      <c r="X27" s="11">
        <f t="shared" si="92"/>
        <v>96109.716445333048</v>
      </c>
      <c r="Y27" s="11">
        <f t="shared" si="92"/>
        <v>122331.77600931571</v>
      </c>
      <c r="Z27" s="11">
        <f t="shared" si="92"/>
        <v>174187.33862660942</v>
      </c>
      <c r="AA27" s="11">
        <f t="shared" si="92"/>
        <v>277517.01739633374</v>
      </c>
      <c r="AB27" s="11">
        <f t="shared" si="92"/>
        <v>20172.032790624282</v>
      </c>
      <c r="AC27" s="11">
        <f t="shared" si="92"/>
        <v>23555.081971029693</v>
      </c>
      <c r="AD27" s="11">
        <f t="shared" si="92"/>
        <v>69063.618844697601</v>
      </c>
      <c r="AE27" s="11">
        <f t="shared" si="92"/>
        <v>121838.54138029035</v>
      </c>
      <c r="AF27" s="11">
        <f t="shared" si="92"/>
        <v>70821.79751845976</v>
      </c>
      <c r="AG27" s="11">
        <f t="shared" si="92"/>
        <v>124048.1206232362</v>
      </c>
      <c r="AH27" s="11">
        <f t="shared" si="92"/>
        <v>22165.85167986028</v>
      </c>
      <c r="AI27" s="11">
        <f t="shared" si="92"/>
        <v>22516.810998124733</v>
      </c>
      <c r="AJ27" s="11">
        <f t="shared" si="92"/>
        <v>74437.7171196001</v>
      </c>
      <c r="AK27" s="11">
        <f t="shared" si="92"/>
        <v>75363.022788840535</v>
      </c>
      <c r="AL27" s="11">
        <f t="shared" si="92"/>
        <v>129735.60050558217</v>
      </c>
      <c r="AM27" s="11">
        <f t="shared" si="92"/>
        <v>238226.04027694897</v>
      </c>
      <c r="AN27" s="11">
        <f t="shared" si="92"/>
        <v>24356.741127345704</v>
      </c>
      <c r="AO27" s="11">
        <f t="shared" si="92"/>
        <v>24608.074195660796</v>
      </c>
      <c r="AP27" s="11">
        <f t="shared" si="92"/>
        <v>79039.566797068721</v>
      </c>
      <c r="AQ27" s="11">
        <f t="shared" si="92"/>
        <v>134567.14128906239</v>
      </c>
      <c r="AR27" s="11">
        <f t="shared" si="92"/>
        <v>80973.057726641491</v>
      </c>
      <c r="AS27" s="11">
        <f t="shared" si="92"/>
        <v>81953.594599735923</v>
      </c>
      <c r="AT27" s="11">
        <f t="shared" si="92"/>
        <v>27690.608255985971</v>
      </c>
      <c r="AU27" s="11">
        <f t="shared" si="92"/>
        <v>26016.278352149428</v>
      </c>
      <c r="AV27" s="11">
        <f t="shared" si="92"/>
        <v>84511.355566514248</v>
      </c>
      <c r="AW27" s="11">
        <f t="shared" si="92"/>
        <v>85522.982252455578</v>
      </c>
      <c r="AX27" s="11">
        <f t="shared" si="92"/>
        <v>142727.29172240046</v>
      </c>
      <c r="AY27" s="11">
        <f t="shared" si="92"/>
        <v>256829.29477068133</v>
      </c>
      <c r="AZ27" s="11">
        <f t="shared" si="92"/>
        <v>27673.237312659036</v>
      </c>
      <c r="BA27" s="11">
        <f t="shared" si="92"/>
        <v>27506.616489825898</v>
      </c>
      <c r="BB27" s="11">
        <f t="shared" si="92"/>
        <v>89195.846555287833</v>
      </c>
      <c r="BC27" s="11">
        <f t="shared" si="92"/>
        <v>147610.86574303656</v>
      </c>
      <c r="BD27" s="11">
        <f t="shared" si="92"/>
        <v>91300.605990960539</v>
      </c>
      <c r="BE27" s="11">
        <f t="shared" si="92"/>
        <v>92368.186546157536</v>
      </c>
      <c r="BF27" s="11">
        <f t="shared" si="92"/>
        <v>35355.645485457069</v>
      </c>
      <c r="BG27" s="11">
        <f t="shared" si="92"/>
        <v>29231.534336235065</v>
      </c>
      <c r="BH27" s="11">
        <f t="shared" si="92"/>
        <v>95286.185725533986</v>
      </c>
      <c r="BI27" s="11">
        <f t="shared" si="92"/>
        <v>96390.239439280398</v>
      </c>
      <c r="BJ27" s="11">
        <f t="shared" si="92"/>
        <v>156573.29469693528</v>
      </c>
      <c r="BK27" s="11">
        <f t="shared" si="92"/>
        <v>276576.54870663129</v>
      </c>
      <c r="BL27" s="11">
        <f t="shared" si="92"/>
        <v>31250.589874945086</v>
      </c>
      <c r="BM27" s="11">
        <f t="shared" si="92"/>
        <v>31218.850132008683</v>
      </c>
    </row>
    <row r="28" spans="2:65" x14ac:dyDescent="0.35">
      <c r="B28" s="26" t="s">
        <v>44</v>
      </c>
      <c r="D28" s="11">
        <f t="shared" si="58"/>
        <v>1161611.5762910927</v>
      </c>
      <c r="E28" s="11"/>
      <c r="F28" s="11">
        <f>Кредит!F10</f>
        <v>0</v>
      </c>
      <c r="G28" s="11">
        <f>Кредит!G10</f>
        <v>0</v>
      </c>
      <c r="H28" s="11">
        <f>Кредит!H10</f>
        <v>0</v>
      </c>
      <c r="I28" s="11">
        <f>Кредит!I10</f>
        <v>0</v>
      </c>
      <c r="J28" s="11">
        <f>Кредит!J10</f>
        <v>0</v>
      </c>
      <c r="K28" s="11">
        <f>Кредит!K10</f>
        <v>0</v>
      </c>
      <c r="L28" s="11">
        <f>Кредит!L10</f>
        <v>0</v>
      </c>
      <c r="M28" s="11">
        <f>Кредит!M10</f>
        <v>0</v>
      </c>
      <c r="N28" s="11">
        <f>Кредит!N10</f>
        <v>0</v>
      </c>
      <c r="O28" s="11">
        <f>Кредит!O10</f>
        <v>0</v>
      </c>
      <c r="P28" s="11">
        <f>Кредит!P10</f>
        <v>0</v>
      </c>
      <c r="Q28" s="11">
        <f>Кредит!Q10</f>
        <v>0</v>
      </c>
      <c r="R28" s="11">
        <f>Кредит!R10</f>
        <v>17239.516036501442</v>
      </c>
      <c r="S28" s="11">
        <f>Кредит!S10</f>
        <v>17512.475040412712</v>
      </c>
      <c r="T28" s="11">
        <f>Кредит!T10</f>
        <v>17789.755895219248</v>
      </c>
      <c r="U28" s="11">
        <f>Кредит!U10</f>
        <v>18071.427030226885</v>
      </c>
      <c r="V28" s="11">
        <f>Кредит!V10</f>
        <v>18357.557958205478</v>
      </c>
      <c r="W28" s="11">
        <f>Кредит!W10</f>
        <v>18648.219292543734</v>
      </c>
      <c r="X28" s="11">
        <f>Кредит!X10</f>
        <v>18943.482764675675</v>
      </c>
      <c r="Y28" s="11">
        <f>Кредит!Y10</f>
        <v>19243.421241783035</v>
      </c>
      <c r="Z28" s="11">
        <f>Кредит!Z10</f>
        <v>19548.108744777935</v>
      </c>
      <c r="AA28" s="11">
        <f>Кредит!AA10</f>
        <v>19857.620466570253</v>
      </c>
      <c r="AB28" s="11">
        <f>Кредит!AB10</f>
        <v>20172.032790624282</v>
      </c>
      <c r="AC28" s="11">
        <f>Кредит!AC10</f>
        <v>20491.423309809172</v>
      </c>
      <c r="AD28" s="11">
        <f>Кредит!AD10</f>
        <v>20815.870845547812</v>
      </c>
      <c r="AE28" s="11">
        <f>Кредит!AE10</f>
        <v>21145.455467268985</v>
      </c>
      <c r="AF28" s="11">
        <f>Кредит!AF10</f>
        <v>21480.258512167413</v>
      </c>
      <c r="AG28" s="11">
        <f>Кредит!AG10</f>
        <v>21820.362605276729</v>
      </c>
      <c r="AH28" s="11">
        <f>Кредит!AH10</f>
        <v>22165.85167986028</v>
      </c>
      <c r="AI28" s="11">
        <f>Кредит!AI10</f>
        <v>22516.810998124733</v>
      </c>
      <c r="AJ28" s="11">
        <f>Кредит!AJ10</f>
        <v>22873.327172261706</v>
      </c>
      <c r="AK28" s="11">
        <f>Кредит!AK10</f>
        <v>23235.48818582252</v>
      </c>
      <c r="AL28" s="11">
        <f>Кредит!AL10</f>
        <v>23603.383415431374</v>
      </c>
      <c r="AM28" s="11">
        <f>Кредит!AM10</f>
        <v>23977.103652842372</v>
      </c>
      <c r="AN28" s="11">
        <f>Кредит!AN10</f>
        <v>24356.741127345704</v>
      </c>
      <c r="AO28" s="11">
        <f>Кредит!AO10</f>
        <v>24608.074195660796</v>
      </c>
      <c r="AP28" s="11">
        <f>Кредит!AP10</f>
        <v>24050.985288514697</v>
      </c>
      <c r="AQ28" s="11">
        <f>Кредит!AQ10</f>
        <v>24431.792555582848</v>
      </c>
      <c r="AR28" s="11">
        <f>Кредит!AR10</f>
        <v>24818.629271046244</v>
      </c>
      <c r="AS28" s="11">
        <f>Кредит!AS10</f>
        <v>25211.590901171141</v>
      </c>
      <c r="AT28" s="11">
        <f>Кредит!AT10</f>
        <v>25610.774423773018</v>
      </c>
      <c r="AU28" s="11">
        <f>Кредит!AU10</f>
        <v>26016.278352149428</v>
      </c>
      <c r="AV28" s="11">
        <f>Кредит!AV10</f>
        <v>25987.83670026507</v>
      </c>
      <c r="AW28" s="11">
        <f>Кредит!AW10</f>
        <v>26399.3107813526</v>
      </c>
      <c r="AX28" s="11">
        <f>Кредит!AX10</f>
        <v>26817.299868724018</v>
      </c>
      <c r="AY28" s="11">
        <f>Кредит!AY10</f>
        <v>27241.907116645481</v>
      </c>
      <c r="AZ28" s="11">
        <f>Кредит!AZ10</f>
        <v>27673.237312659036</v>
      </c>
      <c r="BA28" s="11">
        <f>Кредит!BA10</f>
        <v>27506.616489825898</v>
      </c>
      <c r="BB28" s="11">
        <f>Кредит!BB10</f>
        <v>27023.357944024192</v>
      </c>
      <c r="BC28" s="11">
        <f>Кредит!BC10</f>
        <v>27451.227778137909</v>
      </c>
      <c r="BD28" s="11">
        <f>Кредит!BD10</f>
        <v>27885.872217958426</v>
      </c>
      <c r="BE28" s="11">
        <f>Кредит!BE10</f>
        <v>28327.398528076101</v>
      </c>
      <c r="BF28" s="11">
        <f>Кредит!BF10</f>
        <v>28775.915671437306</v>
      </c>
      <c r="BG28" s="11">
        <f>Кредит!BG10</f>
        <v>29231.534336235065</v>
      </c>
      <c r="BH28" s="11">
        <f>Кредит!BH10</f>
        <v>29347.315504916416</v>
      </c>
      <c r="BI28" s="11">
        <f>Кредит!BI10</f>
        <v>29811.981333744261</v>
      </c>
      <c r="BJ28" s="11">
        <f>Кредит!BJ10</f>
        <v>30284.004371528543</v>
      </c>
      <c r="BK28" s="11">
        <f>Кредит!BK10</f>
        <v>30763.501107411081</v>
      </c>
      <c r="BL28" s="11">
        <f>Кредит!BL10</f>
        <v>31250.589874945086</v>
      </c>
      <c r="BM28" s="11">
        <f>Кредит!BM10</f>
        <v>31218.850132008683</v>
      </c>
    </row>
    <row r="29" spans="2:65" s="70" customFormat="1" x14ac:dyDescent="0.35">
      <c r="B29" s="72" t="s">
        <v>182</v>
      </c>
      <c r="D29" s="71">
        <f t="shared" si="58"/>
        <v>3093513.8747957633</v>
      </c>
      <c r="E29" s="71"/>
      <c r="F29" s="71">
        <f>IF((F5-F28)&gt;0,(F5-F28)*90%,0)</f>
        <v>0</v>
      </c>
      <c r="G29" s="71">
        <f t="shared" ref="G29:BM29" si="93">IF((G5-G28)&gt;0,(G5-G28)*90%,0)</f>
        <v>0</v>
      </c>
      <c r="H29" s="71">
        <f t="shared" si="93"/>
        <v>0</v>
      </c>
      <c r="I29" s="71">
        <f t="shared" si="93"/>
        <v>0</v>
      </c>
      <c r="J29" s="71">
        <f t="shared" si="93"/>
        <v>0</v>
      </c>
      <c r="K29" s="71">
        <f t="shared" si="93"/>
        <v>0</v>
      </c>
      <c r="L29" s="71">
        <f t="shared" si="93"/>
        <v>0</v>
      </c>
      <c r="M29" s="71">
        <f t="shared" si="93"/>
        <v>0</v>
      </c>
      <c r="N29" s="71">
        <f t="shared" si="93"/>
        <v>0</v>
      </c>
      <c r="O29" s="71">
        <f t="shared" si="93"/>
        <v>1641.2253307288222</v>
      </c>
      <c r="P29" s="71">
        <f t="shared" si="93"/>
        <v>0</v>
      </c>
      <c r="Q29" s="71">
        <f t="shared" si="93"/>
        <v>0</v>
      </c>
      <c r="R29" s="71">
        <f t="shared" si="93"/>
        <v>5357.9921546412434</v>
      </c>
      <c r="S29" s="71">
        <f t="shared" si="93"/>
        <v>49459.164693547333</v>
      </c>
      <c r="T29" s="71">
        <f t="shared" si="93"/>
        <v>25169.452642240361</v>
      </c>
      <c r="U29" s="71">
        <f t="shared" si="93"/>
        <v>100231.58408363652</v>
      </c>
      <c r="V29" s="71">
        <f t="shared" si="93"/>
        <v>25960.846619353477</v>
      </c>
      <c r="W29" s="71">
        <f t="shared" si="93"/>
        <v>1261.9156440555271</v>
      </c>
      <c r="X29" s="71">
        <f t="shared" si="93"/>
        <v>77166.233680657373</v>
      </c>
      <c r="Y29" s="71">
        <f t="shared" si="93"/>
        <v>103088.35476753268</v>
      </c>
      <c r="Z29" s="71">
        <f t="shared" si="93"/>
        <v>154639.22988183147</v>
      </c>
      <c r="AA29" s="71">
        <f t="shared" si="93"/>
        <v>257659.39692976349</v>
      </c>
      <c r="AB29" s="71">
        <f t="shared" si="93"/>
        <v>0</v>
      </c>
      <c r="AC29" s="71">
        <f t="shared" si="93"/>
        <v>3063.6586612205206</v>
      </c>
      <c r="AD29" s="71">
        <f t="shared" si="93"/>
        <v>48247.747999149782</v>
      </c>
      <c r="AE29" s="71">
        <f t="shared" si="93"/>
        <v>100693.08591302136</v>
      </c>
      <c r="AF29" s="71">
        <f t="shared" si="93"/>
        <v>49341.539006292354</v>
      </c>
      <c r="AG29" s="71">
        <f t="shared" si="93"/>
        <v>102227.75801795948</v>
      </c>
      <c r="AH29" s="71">
        <f t="shared" si="93"/>
        <v>0</v>
      </c>
      <c r="AI29" s="71">
        <f t="shared" si="93"/>
        <v>0</v>
      </c>
      <c r="AJ29" s="71">
        <f t="shared" si="93"/>
        <v>51564.389947338401</v>
      </c>
      <c r="AK29" s="71">
        <f t="shared" si="93"/>
        <v>52127.534603018015</v>
      </c>
      <c r="AL29" s="71">
        <f t="shared" si="93"/>
        <v>106132.21709015079</v>
      </c>
      <c r="AM29" s="71">
        <f t="shared" si="93"/>
        <v>214248.9366241066</v>
      </c>
      <c r="AN29" s="71">
        <f t="shared" si="93"/>
        <v>0</v>
      </c>
      <c r="AO29" s="71">
        <f t="shared" si="93"/>
        <v>0</v>
      </c>
      <c r="AP29" s="71">
        <f t="shared" si="93"/>
        <v>54988.581508554016</v>
      </c>
      <c r="AQ29" s="71">
        <f t="shared" si="93"/>
        <v>110135.34873347954</v>
      </c>
      <c r="AR29" s="71">
        <f t="shared" si="93"/>
        <v>56154.428455595247</v>
      </c>
      <c r="AS29" s="71">
        <f t="shared" si="93"/>
        <v>56742.003698564775</v>
      </c>
      <c r="AT29" s="71">
        <f t="shared" si="93"/>
        <v>2079.8338322129512</v>
      </c>
      <c r="AU29" s="71">
        <f t="shared" si="93"/>
        <v>0</v>
      </c>
      <c r="AV29" s="71">
        <f t="shared" si="93"/>
        <v>58523.518866249178</v>
      </c>
      <c r="AW29" s="71">
        <f t="shared" si="93"/>
        <v>59123.671471102985</v>
      </c>
      <c r="AX29" s="71">
        <f t="shared" si="93"/>
        <v>115909.99185367645</v>
      </c>
      <c r="AY29" s="71">
        <f t="shared" si="93"/>
        <v>229587.38765403585</v>
      </c>
      <c r="AZ29" s="71">
        <f t="shared" si="93"/>
        <v>0</v>
      </c>
      <c r="BA29" s="71">
        <f t="shared" si="93"/>
        <v>0</v>
      </c>
      <c r="BB29" s="71">
        <f t="shared" si="93"/>
        <v>62172.488611263638</v>
      </c>
      <c r="BC29" s="71">
        <f t="shared" si="93"/>
        <v>120159.63796489863</v>
      </c>
      <c r="BD29" s="71">
        <f t="shared" si="93"/>
        <v>63414.73377300211</v>
      </c>
      <c r="BE29" s="71">
        <f t="shared" si="93"/>
        <v>64040.788018081432</v>
      </c>
      <c r="BF29" s="71">
        <f t="shared" si="93"/>
        <v>6579.7298140197645</v>
      </c>
      <c r="BG29" s="71">
        <f t="shared" si="93"/>
        <v>0</v>
      </c>
      <c r="BH29" s="71">
        <f t="shared" si="93"/>
        <v>65938.870220617566</v>
      </c>
      <c r="BI29" s="71">
        <f t="shared" si="93"/>
        <v>66578.258105536137</v>
      </c>
      <c r="BJ29" s="71">
        <f t="shared" si="93"/>
        <v>126289.29032540674</v>
      </c>
      <c r="BK29" s="71">
        <f t="shared" si="93"/>
        <v>245813.04759922021</v>
      </c>
      <c r="BL29" s="71">
        <f t="shared" si="93"/>
        <v>0</v>
      </c>
      <c r="BM29" s="71">
        <f t="shared" si="93"/>
        <v>0</v>
      </c>
    </row>
    <row r="30" spans="2:65" x14ac:dyDescent="0.35">
      <c r="B30" s="15" t="s">
        <v>97</v>
      </c>
      <c r="C30" s="16"/>
      <c r="D30" s="17">
        <f>SUM(F30:BM30)</f>
        <v>0</v>
      </c>
      <c r="E30" s="17"/>
      <c r="F30" s="17">
        <f>F5+F19+F23</f>
        <v>500000</v>
      </c>
      <c r="G30" s="17">
        <f>G5+G19+G23</f>
        <v>-152744.20521875002</v>
      </c>
      <c r="H30" s="17">
        <f>H5+H19+H23</f>
        <v>-153181.07536257815</v>
      </c>
      <c r="I30" s="17">
        <f>I5+I19+I23</f>
        <v>-112353.62465498384</v>
      </c>
      <c r="J30" s="17">
        <f>J5+J19+J23</f>
        <v>-81721.094763687957</v>
      </c>
      <c r="K30" s="17">
        <f>K5+K19+K23</f>
        <v>0</v>
      </c>
      <c r="L30" s="17">
        <f>L5+L19+L23</f>
        <v>0</v>
      </c>
      <c r="M30" s="17">
        <f>M5+M19+M23</f>
        <v>0</v>
      </c>
      <c r="N30" s="17">
        <f>N5+N19+N23</f>
        <v>0</v>
      </c>
      <c r="O30" s="17">
        <f>O5+O19+O23</f>
        <v>182.35837008098019</v>
      </c>
      <c r="P30" s="17">
        <f>P5+P19+P23</f>
        <v>-182.35837008098315</v>
      </c>
      <c r="Q30" s="17">
        <f>Q5+Q19+Q23</f>
        <v>0</v>
      </c>
      <c r="R30" s="17">
        <f>R5+R19+R23</f>
        <v>595.33246162680371</v>
      </c>
      <c r="S30" s="17">
        <f>S5+S19+S23</f>
        <v>5495.4627437274903</v>
      </c>
      <c r="T30" s="17">
        <f>T5+T19+T23</f>
        <v>2796.6058491378208</v>
      </c>
      <c r="U30" s="17">
        <f>U5+U19+U23</f>
        <v>11136.842675959604</v>
      </c>
      <c r="V30" s="17">
        <f>V5+V19+V23</f>
        <v>2884.5385132614974</v>
      </c>
      <c r="W30" s="17">
        <f>W5+W19+W23</f>
        <v>140.21284933950301</v>
      </c>
      <c r="X30" s="17">
        <f>X5+X19+X23</f>
        <v>8574.025964517481</v>
      </c>
      <c r="Y30" s="17">
        <f>Y5+Y19+Y23</f>
        <v>11454.261640836979</v>
      </c>
      <c r="Z30" s="17">
        <f>Z5+Z19+Z23</f>
        <v>17182.136653536814</v>
      </c>
      <c r="AA30" s="17">
        <f>AA5+AA19+AA23</f>
        <v>28628.821881084819</v>
      </c>
      <c r="AB30" s="17">
        <f>AB5+AB19+AB23</f>
        <v>-25408.875613650169</v>
      </c>
      <c r="AC30" s="17">
        <f>AC5+AC19+AC23</f>
        <v>340.40651791339042</v>
      </c>
      <c r="AD30" s="17">
        <f>AD5+AD19+AD23</f>
        <v>5360.8608887944138</v>
      </c>
      <c r="AE30" s="17">
        <f>AE5+AE19+AE23</f>
        <v>11188.120657002379</v>
      </c>
      <c r="AF30" s="17">
        <f>AF5+AF19+AF23</f>
        <v>5482.3932229213824</v>
      </c>
      <c r="AG30" s="17">
        <f>AG5+AG19+AG23</f>
        <v>11358.639779773279</v>
      </c>
      <c r="AH30" s="17">
        <f>AH5+AH19+AH23</f>
        <v>-2340.8569335768843</v>
      </c>
      <c r="AI30" s="17">
        <f>AI5+AI19+AI23</f>
        <v>-60603.33420266254</v>
      </c>
      <c r="AJ30" s="17">
        <f>AJ5+AJ19+AJ23</f>
        <v>5729.3766608153819</v>
      </c>
      <c r="AK30" s="17">
        <f>AK5+AK19+AK23</f>
        <v>5791.9482892242231</v>
      </c>
      <c r="AL30" s="17">
        <f>AL5+AL19+AL23</f>
        <v>11792.468565572286</v>
      </c>
      <c r="AM30" s="17">
        <f>AM5+AM19+AM23</f>
        <v>23805.437402678508</v>
      </c>
      <c r="AN30" s="17">
        <f>AN5+AN19+AN23</f>
        <v>-81384.826467834442</v>
      </c>
      <c r="AO30" s="17">
        <f>AO5+AO19+AO23</f>
        <v>0</v>
      </c>
      <c r="AP30" s="17">
        <f>AP5+AP19+AP23</f>
        <v>6109.842389839323</v>
      </c>
      <c r="AQ30" s="17">
        <f>AQ5+AQ19+AQ23</f>
        <v>12237.260970386618</v>
      </c>
      <c r="AR30" s="17">
        <f>AR5+AR19+AR23</f>
        <v>6239.3809395105782</v>
      </c>
      <c r="AS30" s="17">
        <f>AS5+AS19+AS23</f>
        <v>6304.6670776183018</v>
      </c>
      <c r="AT30" s="17">
        <f>AT5+AT19+AT23</f>
        <v>231.09264802365942</v>
      </c>
      <c r="AU30" s="17">
        <f>AU5+AU19+AU23</f>
        <v>-31122.244025378481</v>
      </c>
      <c r="AV30" s="17">
        <f>AV5+AV19+AV23</f>
        <v>6502.6132073610206</v>
      </c>
      <c r="AW30" s="17">
        <f>AW5+AW19+AW23</f>
        <v>6569.2968301225628</v>
      </c>
      <c r="AX30" s="17">
        <f>AX5+AX19+AX23</f>
        <v>12878.887983741821</v>
      </c>
      <c r="AY30" s="17">
        <f>AY5+AY19+AY23</f>
        <v>25509.709739337297</v>
      </c>
      <c r="AZ30" s="17">
        <f>AZ5+AZ19+AZ23</f>
        <v>-51460.507760562701</v>
      </c>
      <c r="BA30" s="17">
        <f>BA5+BA19+BA23</f>
        <v>0</v>
      </c>
      <c r="BB30" s="17">
        <f>BB5+BB19+BB23</f>
        <v>6908.0542901403969</v>
      </c>
      <c r="BC30" s="17">
        <f>BC5+BC19+BC23</f>
        <v>13351.070884988701</v>
      </c>
      <c r="BD30" s="17">
        <f>BD5+BD19+BD23</f>
        <v>7046.0815303335694</v>
      </c>
      <c r="BE30" s="17">
        <f>BE5+BE19+BE23</f>
        <v>7115.6431131201534</v>
      </c>
      <c r="BF30" s="17">
        <f>BF5+BF19+BF23</f>
        <v>731.08109044664161</v>
      </c>
      <c r="BG30" s="17">
        <f>BG5+BG19+BG23</f>
        <v>-35151.930909029463</v>
      </c>
      <c r="BH30" s="17">
        <f>BH5+BH19+BH23</f>
        <v>7326.5411356241675</v>
      </c>
      <c r="BI30" s="17">
        <f>BI5+BI19+BI23</f>
        <v>7397.5842339484516</v>
      </c>
      <c r="BJ30" s="17">
        <f>BJ5+BJ19+BJ23</f>
        <v>14032.14336948964</v>
      </c>
      <c r="BK30" s="17">
        <f>BK5+BK19+BK23</f>
        <v>27312.560844357824</v>
      </c>
      <c r="BL30" s="17">
        <f>BL5+BL19+BL23</f>
        <v>-56068.829583420084</v>
      </c>
      <c r="BM30" s="17">
        <f>BM5+BM19+BM23</f>
        <v>0</v>
      </c>
    </row>
    <row r="31" spans="2:65" s="70" customFormat="1" ht="29" x14ac:dyDescent="0.35">
      <c r="B31" s="69" t="s">
        <v>51</v>
      </c>
      <c r="D31" s="71">
        <f>D30</f>
        <v>0</v>
      </c>
      <c r="E31" s="71"/>
      <c r="F31" s="71">
        <f>E31+F30</f>
        <v>500000</v>
      </c>
      <c r="G31" s="71">
        <f t="shared" ref="G31:Q31" si="94">F31+G30</f>
        <v>347255.79478124995</v>
      </c>
      <c r="H31" s="71">
        <f t="shared" si="94"/>
        <v>194074.7194186718</v>
      </c>
      <c r="I31" s="71">
        <f t="shared" si="94"/>
        <v>81721.094763687957</v>
      </c>
      <c r="J31" s="71">
        <f t="shared" si="94"/>
        <v>0</v>
      </c>
      <c r="K31" s="71">
        <f t="shared" si="94"/>
        <v>0</v>
      </c>
      <c r="L31" s="71">
        <f t="shared" si="94"/>
        <v>0</v>
      </c>
      <c r="M31" s="71">
        <f t="shared" si="94"/>
        <v>0</v>
      </c>
      <c r="N31" s="71">
        <f t="shared" si="94"/>
        <v>0</v>
      </c>
      <c r="O31" s="71">
        <f t="shared" si="94"/>
        <v>182.35837008098019</v>
      </c>
      <c r="P31" s="71">
        <f t="shared" si="94"/>
        <v>-2.9558577807620168E-12</v>
      </c>
      <c r="Q31" s="71">
        <f t="shared" si="94"/>
        <v>-2.9558577807620168E-12</v>
      </c>
      <c r="R31" s="71">
        <f t="shared" ref="R31" si="95">Q31+R30</f>
        <v>595.33246162680075</v>
      </c>
      <c r="S31" s="71">
        <f t="shared" ref="S31" si="96">R31+S30</f>
        <v>6090.7952053542913</v>
      </c>
      <c r="T31" s="71">
        <f t="shared" ref="T31" si="97">S31+T30</f>
        <v>8887.4010544921111</v>
      </c>
      <c r="U31" s="71">
        <f t="shared" ref="U31" si="98">T31+U30</f>
        <v>20024.243730451715</v>
      </c>
      <c r="V31" s="71">
        <f t="shared" ref="V31" si="99">U31+V30</f>
        <v>22908.782243713213</v>
      </c>
      <c r="W31" s="71">
        <f t="shared" ref="W31" si="100">V31+W30</f>
        <v>23048.995093052716</v>
      </c>
      <c r="X31" s="71">
        <f t="shared" ref="X31" si="101">W31+X30</f>
        <v>31623.021057570197</v>
      </c>
      <c r="Y31" s="71">
        <f t="shared" ref="Y31" si="102">X31+Y30</f>
        <v>43077.282698407173</v>
      </c>
      <c r="Z31" s="71">
        <f t="shared" ref="Z31" si="103">Y31+Z30</f>
        <v>60259.419351943987</v>
      </c>
      <c r="AA31" s="71">
        <f t="shared" ref="AA31" si="104">Z31+AA30</f>
        <v>88888.241233028806</v>
      </c>
      <c r="AB31" s="71">
        <f t="shared" ref="AB31" si="105">AA31+AB30</f>
        <v>63479.365619378637</v>
      </c>
      <c r="AC31" s="71">
        <f t="shared" ref="AC31" si="106">AB31+AC30</f>
        <v>63819.772137292028</v>
      </c>
      <c r="AD31" s="71">
        <f t="shared" ref="AD31" si="107">AC31+AD30</f>
        <v>69180.633026086434</v>
      </c>
      <c r="AE31" s="71">
        <f t="shared" ref="AE31" si="108">AD31+AE30</f>
        <v>80368.753683088813</v>
      </c>
      <c r="AF31" s="71">
        <f t="shared" ref="AF31" si="109">AE31+AF30</f>
        <v>85851.146906010195</v>
      </c>
      <c r="AG31" s="71">
        <f t="shared" ref="AG31" si="110">AF31+AG30</f>
        <v>97209.786685783474</v>
      </c>
      <c r="AH31" s="71">
        <f t="shared" ref="AH31" si="111">AG31+AH30</f>
        <v>94868.92975220659</v>
      </c>
      <c r="AI31" s="71">
        <f t="shared" ref="AI31" si="112">AH31+AI30</f>
        <v>34265.59554954405</v>
      </c>
      <c r="AJ31" s="71">
        <f t="shared" ref="AJ31" si="113">AI31+AJ30</f>
        <v>39994.972210359432</v>
      </c>
      <c r="AK31" s="71">
        <f t="shared" ref="AK31" si="114">AJ31+AK30</f>
        <v>45786.920499583655</v>
      </c>
      <c r="AL31" s="71">
        <f t="shared" ref="AL31" si="115">AK31+AL30</f>
        <v>57579.389065155941</v>
      </c>
      <c r="AM31" s="71">
        <f t="shared" ref="AM31" si="116">AL31+AM30</f>
        <v>81384.826467834442</v>
      </c>
      <c r="AN31" s="71">
        <f t="shared" ref="AN31" si="117">AM31+AN30</f>
        <v>0</v>
      </c>
      <c r="AO31" s="71">
        <f t="shared" ref="AO31" si="118">AN31+AO30</f>
        <v>0</v>
      </c>
      <c r="AP31" s="71">
        <f t="shared" ref="AP31" si="119">AO31+AP30</f>
        <v>6109.842389839323</v>
      </c>
      <c r="AQ31" s="71">
        <f t="shared" ref="AQ31" si="120">AP31+AQ30</f>
        <v>18347.103360225941</v>
      </c>
      <c r="AR31" s="71">
        <f t="shared" ref="AR31" si="121">AQ31+AR30</f>
        <v>24586.484299736519</v>
      </c>
      <c r="AS31" s="71">
        <f t="shared" ref="AS31" si="122">AR31+AS30</f>
        <v>30891.151377354821</v>
      </c>
      <c r="AT31" s="71">
        <f t="shared" ref="AT31" si="123">AS31+AT30</f>
        <v>31122.244025378481</v>
      </c>
      <c r="AU31" s="71">
        <f t="shared" ref="AU31" si="124">AT31+AU30</f>
        <v>0</v>
      </c>
      <c r="AV31" s="71">
        <f t="shared" ref="AV31" si="125">AU31+AV30</f>
        <v>6502.6132073610206</v>
      </c>
      <c r="AW31" s="71">
        <f t="shared" ref="AW31" si="126">AV31+AW30</f>
        <v>13071.910037483583</v>
      </c>
      <c r="AX31" s="71">
        <f t="shared" ref="AX31" si="127">AW31+AX30</f>
        <v>25950.798021225404</v>
      </c>
      <c r="AY31" s="71">
        <f t="shared" ref="AY31" si="128">AX31+AY30</f>
        <v>51460.507760562701</v>
      </c>
      <c r="AZ31" s="71">
        <f t="shared" ref="AZ31" si="129">AY31+AZ30</f>
        <v>0</v>
      </c>
      <c r="BA31" s="71">
        <f t="shared" ref="BA31" si="130">AZ31+BA30</f>
        <v>0</v>
      </c>
      <c r="BB31" s="71">
        <f t="shared" ref="BB31" si="131">BA31+BB30</f>
        <v>6908.0542901403969</v>
      </c>
      <c r="BC31" s="71">
        <f t="shared" ref="BC31" si="132">BB31+BC30</f>
        <v>20259.125175129098</v>
      </c>
      <c r="BD31" s="71">
        <f t="shared" ref="BD31" si="133">BC31+BD30</f>
        <v>27305.206705462668</v>
      </c>
      <c r="BE31" s="71">
        <f t="shared" ref="BE31" si="134">BD31+BE30</f>
        <v>34420.849818582821</v>
      </c>
      <c r="BF31" s="71">
        <f t="shared" ref="BF31" si="135">BE31+BF30</f>
        <v>35151.930909029463</v>
      </c>
      <c r="BG31" s="71">
        <f t="shared" ref="BG31" si="136">BF31+BG30</f>
        <v>0</v>
      </c>
      <c r="BH31" s="71">
        <f t="shared" ref="BH31" si="137">BG31+BH30</f>
        <v>7326.5411356241675</v>
      </c>
      <c r="BI31" s="71">
        <f t="shared" ref="BI31" si="138">BH31+BI30</f>
        <v>14724.125369572619</v>
      </c>
      <c r="BJ31" s="71">
        <f t="shared" ref="BJ31" si="139">BI31+BJ30</f>
        <v>28756.26873906226</v>
      </c>
      <c r="BK31" s="71">
        <f t="shared" ref="BK31" si="140">BJ31+BK30</f>
        <v>56068.829583420084</v>
      </c>
      <c r="BL31" s="71">
        <f t="shared" ref="BL31" si="141">BK31+BL30</f>
        <v>0</v>
      </c>
      <c r="BM31" s="71">
        <f t="shared" ref="BM31" si="142">BL31+BM30</f>
        <v>0</v>
      </c>
    </row>
    <row r="32" spans="2:65" x14ac:dyDescent="0.35">
      <c r="B32" s="15" t="s">
        <v>98</v>
      </c>
      <c r="C32" s="16"/>
      <c r="D32" s="17">
        <f>SUM(F32:BM32)</f>
        <v>2995714.5516097243</v>
      </c>
      <c r="E32" s="17"/>
      <c r="F32" s="17">
        <f>F5+F18-F21</f>
        <v>-687000</v>
      </c>
      <c r="G32" s="17">
        <f>G5+G18-G21</f>
        <v>-141866.70521875002</v>
      </c>
      <c r="H32" s="17">
        <f>H5+H18-H21</f>
        <v>-142303.57536257815</v>
      </c>
      <c r="I32" s="17">
        <f>I5+I18-I21</f>
        <v>-101476.12465498384</v>
      </c>
      <c r="J32" s="17">
        <f>J5+J18-J21</f>
        <v>-91382.307098470221</v>
      </c>
      <c r="K32" s="17">
        <f>K5+K18-K21</f>
        <v>-91605.394187402504</v>
      </c>
      <c r="L32" s="17">
        <f>L5+L18-L21</f>
        <v>-91828.960782875452</v>
      </c>
      <c r="M32" s="17">
        <f>M5+M18-M21</f>
        <v>-46703.909373013659</v>
      </c>
      <c r="N32" s="17">
        <f>N5+N18-N21</f>
        <v>-46731.427270273889</v>
      </c>
      <c r="O32" s="17">
        <f>O5+O18-O21</f>
        <v>18264.689903144383</v>
      </c>
      <c r="P32" s="17">
        <f>P5+P18-P21</f>
        <v>-25020.197534764819</v>
      </c>
      <c r="Q32" s="17">
        <f>Q5+Q18-Q21</f>
        <v>-24955.486886727522</v>
      </c>
      <c r="R32" s="17">
        <f>R5+R18-R21</f>
        <v>40953.324616268044</v>
      </c>
      <c r="S32" s="17">
        <f>S5+S18-S21</f>
        <v>89954.627437274816</v>
      </c>
      <c r="T32" s="17">
        <f>T5+T18-T21</f>
        <v>62966.058491378179</v>
      </c>
      <c r="U32" s="17">
        <f>U5+U18-U21</f>
        <v>146368.42675959613</v>
      </c>
      <c r="V32" s="17">
        <f>V5+V18-V21</f>
        <v>63845.385132614974</v>
      </c>
      <c r="W32" s="17">
        <f>W5+W18-W21</f>
        <v>36402.12849339503</v>
      </c>
      <c r="X32" s="17">
        <f>X5+X18-X21</f>
        <v>120740.25964517485</v>
      </c>
      <c r="Y32" s="17">
        <f>Y5+Y18-Y21</f>
        <v>149542.61640836965</v>
      </c>
      <c r="Z32" s="17">
        <f>Z5+Z18-Z21</f>
        <v>206821.36653536829</v>
      </c>
      <c r="AA32" s="17">
        <f>AA5+AA18-AA21</f>
        <v>321288.21881084831</v>
      </c>
      <c r="AB32" s="17">
        <f>AB5+AB18-AB21</f>
        <v>9591.1243863498294</v>
      </c>
      <c r="AC32" s="17">
        <f>AC5+AC18-AC21</f>
        <v>38404.065179133911</v>
      </c>
      <c r="AD32" s="17">
        <f>AD5+AD18-AD21</f>
        <v>88608.608887944196</v>
      </c>
      <c r="AE32" s="17">
        <f>AE5+AE18-AE21</f>
        <v>146881.20657002373</v>
      </c>
      <c r="AF32" s="17">
        <f>AF5+AF18-AF21</f>
        <v>89823.932229213737</v>
      </c>
      <c r="AG32" s="17">
        <f>AG5+AG18-AG21</f>
        <v>148586.39779773276</v>
      </c>
      <c r="AH32" s="17">
        <f>AH5+AH18-AH21</f>
        <v>32659.143066423116</v>
      </c>
      <c r="AI32" s="17">
        <f>AI5+AI18-AI21</f>
        <v>-25603.33420266254</v>
      </c>
      <c r="AJ32" s="17">
        <f>AJ5+AJ18-AJ21</f>
        <v>92293.766608153775</v>
      </c>
      <c r="AK32" s="17">
        <f>AK5+AK18-AK21</f>
        <v>92919.482892242246</v>
      </c>
      <c r="AL32" s="17">
        <f>AL5+AL18-AL21</f>
        <v>152924.68565572309</v>
      </c>
      <c r="AM32" s="17">
        <f>AM5+AM18-AM21</f>
        <v>273054.37402678514</v>
      </c>
      <c r="AN32" s="17">
        <f>AN5+AN18-AN21</f>
        <v>-54867.900122648272</v>
      </c>
      <c r="AO32" s="17">
        <f>AO5+AO18-AO21</f>
        <v>-24792.636752256221</v>
      </c>
      <c r="AP32" s="17">
        <f>AP5+AP18-AP21</f>
        <v>96098.423898393346</v>
      </c>
      <c r="AQ32" s="17">
        <f>AQ5+AQ18-AQ21</f>
        <v>157372.60970386615</v>
      </c>
      <c r="AR32" s="17">
        <f>AR5+AR18-AR21</f>
        <v>97393.809395105825</v>
      </c>
      <c r="AS32" s="17">
        <f>AS5+AS18-AS21</f>
        <v>98046.670776183077</v>
      </c>
      <c r="AT32" s="17">
        <f>AT5+AT18-AT21</f>
        <v>37310.926480236609</v>
      </c>
      <c r="AU32" s="17">
        <f>AU5+AU18-AU21</f>
        <v>-23934.837233381768</v>
      </c>
      <c r="AV32" s="17">
        <f>AV5+AV18-AV21</f>
        <v>100026.13207361019</v>
      </c>
      <c r="AW32" s="17">
        <f>AW5+AW18-AW21</f>
        <v>100692.96830122554</v>
      </c>
      <c r="AX32" s="17">
        <f>AX5+AX18-AX21</f>
        <v>163788.87983741827</v>
      </c>
      <c r="AY32" s="17">
        <f>AY5+AY18-AY21</f>
        <v>290097.09739337314</v>
      </c>
      <c r="AZ32" s="17">
        <f>AZ5+AZ18-AZ21</f>
        <v>-54657.165462683006</v>
      </c>
      <c r="BA32" s="17">
        <f>BA5+BA18-BA21</f>
        <v>-23028.208856249355</v>
      </c>
      <c r="BB32" s="17">
        <f>BB5+BB18-BB21</f>
        <v>104080.54290140404</v>
      </c>
      <c r="BC32" s="17">
        <f>BC5+BC18-BC21</f>
        <v>168510.70884988733</v>
      </c>
      <c r="BD32" s="17">
        <f>BD5+BD18-BD21</f>
        <v>105460.81530333568</v>
      </c>
      <c r="BE32" s="17">
        <f>BE5+BE18-BE21</f>
        <v>106156.43113120159</v>
      </c>
      <c r="BF32" s="17">
        <f>BF5+BF18-BF21</f>
        <v>42310.810904466402</v>
      </c>
      <c r="BG32" s="17">
        <f>BG5+BG18-BG21</f>
        <v>-22070.970381179166</v>
      </c>
      <c r="BH32" s="17">
        <f>BH5+BH18-BH21</f>
        <v>108265.41135624173</v>
      </c>
      <c r="BI32" s="17">
        <f>BI5+BI18-BI21</f>
        <v>108975.84233948459</v>
      </c>
      <c r="BJ32" s="17">
        <f>BJ5+BJ18-BJ21</f>
        <v>175321.43369489638</v>
      </c>
      <c r="BK32" s="17">
        <f>BK5+BK18-BK21</f>
        <v>308125.60844357806</v>
      </c>
      <c r="BL32" s="17">
        <f>BL5+BL18-BL21</f>
        <v>-54324.034801717062</v>
      </c>
      <c r="BM32" s="17">
        <f>BM5+BM18-BM21</f>
        <v>-21061.284524724721</v>
      </c>
    </row>
    <row r="33" spans="2:65" x14ac:dyDescent="0.35">
      <c r="B33" s="1" t="s">
        <v>129</v>
      </c>
      <c r="F33" s="11">
        <f>F32</f>
        <v>-687000</v>
      </c>
      <c r="G33" s="11">
        <f>F33+G32</f>
        <v>-828866.70521875005</v>
      </c>
      <c r="H33" s="11">
        <f t="shared" ref="H33:AO33" si="143">G33+H32</f>
        <v>-971170.2805813282</v>
      </c>
      <c r="I33" s="11">
        <f t="shared" si="143"/>
        <v>-1072646.405236312</v>
      </c>
      <c r="J33" s="11">
        <f t="shared" si="143"/>
        <v>-1164028.7123347821</v>
      </c>
      <c r="K33" s="11">
        <f t="shared" si="143"/>
        <v>-1255634.1065221846</v>
      </c>
      <c r="L33" s="11">
        <f t="shared" si="143"/>
        <v>-1347463.0673050601</v>
      </c>
      <c r="M33" s="11">
        <f t="shared" si="143"/>
        <v>-1394166.9766780739</v>
      </c>
      <c r="N33" s="11">
        <f t="shared" si="143"/>
        <v>-1440898.4039483478</v>
      </c>
      <c r="O33" s="11">
        <f t="shared" si="143"/>
        <v>-1422633.7140452033</v>
      </c>
      <c r="P33" s="11">
        <f t="shared" si="143"/>
        <v>-1447653.9115799682</v>
      </c>
      <c r="Q33" s="11">
        <f t="shared" si="143"/>
        <v>-1472609.3984666958</v>
      </c>
      <c r="R33" s="11">
        <f t="shared" si="143"/>
        <v>-1431656.0738504278</v>
      </c>
      <c r="S33" s="11">
        <f t="shared" si="143"/>
        <v>-1341701.4464131529</v>
      </c>
      <c r="T33" s="11">
        <f t="shared" si="143"/>
        <v>-1278735.3879217748</v>
      </c>
      <c r="U33" s="11">
        <f t="shared" si="143"/>
        <v>-1132366.9611621785</v>
      </c>
      <c r="V33" s="11">
        <f t="shared" si="143"/>
        <v>-1068521.5760295636</v>
      </c>
      <c r="W33" s="11">
        <f t="shared" si="143"/>
        <v>-1032119.4475361685</v>
      </c>
      <c r="X33" s="11">
        <f t="shared" si="143"/>
        <v>-911379.18789099366</v>
      </c>
      <c r="Y33" s="11">
        <f t="shared" si="143"/>
        <v>-761836.57148262404</v>
      </c>
      <c r="Z33" s="11">
        <f t="shared" si="143"/>
        <v>-555015.20494725578</v>
      </c>
      <c r="AA33" s="11">
        <f t="shared" si="143"/>
        <v>-233726.98613640747</v>
      </c>
      <c r="AB33" s="11">
        <f t="shared" si="143"/>
        <v>-224135.86175005764</v>
      </c>
      <c r="AC33" s="11">
        <f t="shared" si="143"/>
        <v>-185731.79657092373</v>
      </c>
      <c r="AD33" s="11">
        <f t="shared" si="143"/>
        <v>-97123.187682979536</v>
      </c>
      <c r="AE33" s="11">
        <f t="shared" si="143"/>
        <v>49758.018887044193</v>
      </c>
      <c r="AF33" s="11">
        <f t="shared" si="143"/>
        <v>139581.95111625793</v>
      </c>
      <c r="AG33" s="11">
        <f t="shared" si="143"/>
        <v>288168.34891399066</v>
      </c>
      <c r="AH33" s="11">
        <f t="shared" si="143"/>
        <v>320827.49198041379</v>
      </c>
      <c r="AI33" s="11">
        <f t="shared" si="143"/>
        <v>295224.15777775127</v>
      </c>
      <c r="AJ33" s="11">
        <f t="shared" si="143"/>
        <v>387517.92438590503</v>
      </c>
      <c r="AK33" s="11">
        <f t="shared" si="143"/>
        <v>480437.40727814729</v>
      </c>
      <c r="AL33" s="11">
        <f t="shared" si="143"/>
        <v>633362.09293387039</v>
      </c>
      <c r="AM33" s="11">
        <f t="shared" si="143"/>
        <v>906416.46696065553</v>
      </c>
      <c r="AN33" s="11">
        <f t="shared" si="143"/>
        <v>851548.5668380073</v>
      </c>
      <c r="AO33" s="11">
        <f t="shared" si="143"/>
        <v>826755.93008575111</v>
      </c>
      <c r="AP33" s="11">
        <f t="shared" ref="AP33" si="144">AO33+AP32</f>
        <v>922854.35398414452</v>
      </c>
      <c r="AQ33" s="11">
        <f t="shared" ref="AQ33" si="145">AP33+AQ32</f>
        <v>1080226.9636880106</v>
      </c>
      <c r="AR33" s="11">
        <f t="shared" ref="AR33" si="146">AQ33+AR32</f>
        <v>1177620.7730831164</v>
      </c>
      <c r="AS33" s="11">
        <f t="shared" ref="AS33" si="147">AR33+AS32</f>
        <v>1275667.4438592994</v>
      </c>
      <c r="AT33" s="11">
        <f t="shared" ref="AT33" si="148">AS33+AT32</f>
        <v>1312978.3703395361</v>
      </c>
      <c r="AU33" s="11">
        <f t="shared" ref="AU33" si="149">AT33+AU32</f>
        <v>1289043.5331061543</v>
      </c>
      <c r="AV33" s="11">
        <f t="shared" ref="AV33" si="150">AU33+AV32</f>
        <v>1389069.6651797644</v>
      </c>
      <c r="AW33" s="11">
        <f t="shared" ref="AW33" si="151">AV33+AW32</f>
        <v>1489762.6334809898</v>
      </c>
      <c r="AX33" s="11">
        <f t="shared" ref="AX33" si="152">AW33+AX32</f>
        <v>1653551.513318408</v>
      </c>
      <c r="AY33" s="11">
        <f t="shared" ref="AY33" si="153">AX33+AY32</f>
        <v>1943648.6107117813</v>
      </c>
      <c r="AZ33" s="11">
        <f t="shared" ref="AZ33" si="154">AY33+AZ32</f>
        <v>1888991.4452490984</v>
      </c>
      <c r="BA33" s="11">
        <f t="shared" ref="BA33" si="155">AZ33+BA32</f>
        <v>1865963.2363928489</v>
      </c>
      <c r="BB33" s="11">
        <f t="shared" ref="BB33" si="156">BA33+BB32</f>
        <v>1970043.7792942529</v>
      </c>
      <c r="BC33" s="11">
        <f t="shared" ref="BC33" si="157">BB33+BC32</f>
        <v>2138554.4881441402</v>
      </c>
      <c r="BD33" s="11">
        <f t="shared" ref="BD33" si="158">BC33+BD32</f>
        <v>2244015.3034474761</v>
      </c>
      <c r="BE33" s="11">
        <f t="shared" ref="BE33" si="159">BD33+BE32</f>
        <v>2350171.7345786779</v>
      </c>
      <c r="BF33" s="11">
        <f t="shared" ref="BF33" si="160">BE33+BF32</f>
        <v>2392482.5454831445</v>
      </c>
      <c r="BG33" s="11">
        <f t="shared" ref="BG33" si="161">BF33+BG32</f>
        <v>2370411.5751019651</v>
      </c>
      <c r="BH33" s="11">
        <f t="shared" ref="BH33" si="162">BG33+BH32</f>
        <v>2478676.986458207</v>
      </c>
      <c r="BI33" s="11">
        <f t="shared" ref="BI33" si="163">BH33+BI32</f>
        <v>2587652.8287976915</v>
      </c>
      <c r="BJ33" s="11">
        <f t="shared" ref="BJ33" si="164">BI33+BJ32</f>
        <v>2762974.2624925878</v>
      </c>
      <c r="BK33" s="11">
        <f t="shared" ref="BK33" si="165">BJ33+BK32</f>
        <v>3071099.870936166</v>
      </c>
      <c r="BL33" s="11">
        <f t="shared" ref="BL33" si="166">BK33+BL32</f>
        <v>3016775.8361344491</v>
      </c>
      <c r="BM33" s="11">
        <f t="shared" ref="BM33" si="167">BL33+BM32</f>
        <v>2995714.5516097243</v>
      </c>
    </row>
    <row r="34" spans="2:65" x14ac:dyDescent="0.35">
      <c r="B34" s="1" t="s">
        <v>130</v>
      </c>
      <c r="D34" s="39">
        <f>MAX(F34:BM34)</f>
        <v>45412</v>
      </c>
      <c r="F34" s="39">
        <f t="shared" ref="F34:AM34" si="168">IF(AND(F33&gt;=0,E33&lt;=0),$F$3:$BM$3,0)</f>
        <v>0</v>
      </c>
      <c r="G34" s="39">
        <f t="shared" si="168"/>
        <v>0</v>
      </c>
      <c r="H34" s="39">
        <f t="shared" si="168"/>
        <v>0</v>
      </c>
      <c r="I34" s="39">
        <f t="shared" si="168"/>
        <v>0</v>
      </c>
      <c r="J34" s="39">
        <f t="shared" si="168"/>
        <v>0</v>
      </c>
      <c r="K34" s="39">
        <f t="shared" si="168"/>
        <v>0</v>
      </c>
      <c r="L34" s="39">
        <f t="shared" si="168"/>
        <v>0</v>
      </c>
      <c r="M34" s="39">
        <f t="shared" si="168"/>
        <v>0</v>
      </c>
      <c r="N34" s="39">
        <f t="shared" si="168"/>
        <v>0</v>
      </c>
      <c r="O34" s="39">
        <f t="shared" si="168"/>
        <v>0</v>
      </c>
      <c r="P34" s="39">
        <f t="shared" si="168"/>
        <v>0</v>
      </c>
      <c r="Q34" s="39">
        <f t="shared" si="168"/>
        <v>0</v>
      </c>
      <c r="R34" s="39">
        <f t="shared" si="168"/>
        <v>0</v>
      </c>
      <c r="S34" s="39">
        <f t="shared" si="168"/>
        <v>0</v>
      </c>
      <c r="T34" s="39">
        <f t="shared" si="168"/>
        <v>0</v>
      </c>
      <c r="U34" s="39">
        <f t="shared" si="168"/>
        <v>0</v>
      </c>
      <c r="V34" s="39">
        <f t="shared" si="168"/>
        <v>0</v>
      </c>
      <c r="W34" s="39">
        <f t="shared" si="168"/>
        <v>0</v>
      </c>
      <c r="X34" s="39">
        <f t="shared" si="168"/>
        <v>0</v>
      </c>
      <c r="Y34" s="39">
        <f t="shared" si="168"/>
        <v>0</v>
      </c>
      <c r="Z34" s="39">
        <f t="shared" si="168"/>
        <v>0</v>
      </c>
      <c r="AA34" s="39">
        <f t="shared" si="168"/>
        <v>0</v>
      </c>
      <c r="AB34" s="39">
        <f t="shared" si="168"/>
        <v>0</v>
      </c>
      <c r="AC34" s="39">
        <f t="shared" si="168"/>
        <v>0</v>
      </c>
      <c r="AD34" s="39">
        <f t="shared" si="168"/>
        <v>0</v>
      </c>
      <c r="AE34" s="39">
        <f t="shared" si="168"/>
        <v>45412</v>
      </c>
      <c r="AF34" s="39">
        <f t="shared" si="168"/>
        <v>0</v>
      </c>
      <c r="AG34" s="39">
        <f t="shared" si="168"/>
        <v>0</v>
      </c>
      <c r="AH34" s="39">
        <f t="shared" si="168"/>
        <v>0</v>
      </c>
      <c r="AI34" s="39">
        <f t="shared" si="168"/>
        <v>0</v>
      </c>
      <c r="AJ34" s="39">
        <f t="shared" si="168"/>
        <v>0</v>
      </c>
      <c r="AK34" s="39">
        <f t="shared" si="168"/>
        <v>0</v>
      </c>
      <c r="AL34" s="39">
        <f t="shared" si="168"/>
        <v>0</v>
      </c>
      <c r="AM34" s="39">
        <f t="shared" si="168"/>
        <v>0</v>
      </c>
      <c r="AN34" s="39">
        <f>IF(AND(AN33&gt;=0,AM33&lt;=0),$F$3:$BM$3,0)</f>
        <v>0</v>
      </c>
      <c r="AO34" s="39">
        <f t="shared" ref="AO34:BM34" si="169">IF(AND(AO33&gt;=0,AN33&lt;=0),$F$3:$BM$3,0)</f>
        <v>0</v>
      </c>
      <c r="AP34" s="39">
        <f t="shared" si="169"/>
        <v>0</v>
      </c>
      <c r="AQ34" s="39">
        <f t="shared" si="169"/>
        <v>0</v>
      </c>
      <c r="AR34" s="39">
        <f t="shared" si="169"/>
        <v>0</v>
      </c>
      <c r="AS34" s="39">
        <f t="shared" si="169"/>
        <v>0</v>
      </c>
      <c r="AT34" s="39">
        <f t="shared" si="169"/>
        <v>0</v>
      </c>
      <c r="AU34" s="39">
        <f t="shared" si="169"/>
        <v>0</v>
      </c>
      <c r="AV34" s="39">
        <f t="shared" si="169"/>
        <v>0</v>
      </c>
      <c r="AW34" s="39">
        <f t="shared" si="169"/>
        <v>0</v>
      </c>
      <c r="AX34" s="39">
        <f t="shared" si="169"/>
        <v>0</v>
      </c>
      <c r="AY34" s="39">
        <f t="shared" si="169"/>
        <v>0</v>
      </c>
      <c r="AZ34" s="39">
        <f t="shared" si="169"/>
        <v>0</v>
      </c>
      <c r="BA34" s="39">
        <f t="shared" si="169"/>
        <v>0</v>
      </c>
      <c r="BB34" s="39">
        <f t="shared" si="169"/>
        <v>0</v>
      </c>
      <c r="BC34" s="39">
        <f t="shared" si="169"/>
        <v>0</v>
      </c>
      <c r="BD34" s="39">
        <f t="shared" si="169"/>
        <v>0</v>
      </c>
      <c r="BE34" s="39">
        <f t="shared" si="169"/>
        <v>0</v>
      </c>
      <c r="BF34" s="39">
        <f t="shared" si="169"/>
        <v>0</v>
      </c>
      <c r="BG34" s="39">
        <f t="shared" si="169"/>
        <v>0</v>
      </c>
      <c r="BH34" s="39">
        <f t="shared" si="169"/>
        <v>0</v>
      </c>
      <c r="BI34" s="39">
        <f t="shared" si="169"/>
        <v>0</v>
      </c>
      <c r="BJ34" s="39">
        <f t="shared" si="169"/>
        <v>0</v>
      </c>
      <c r="BK34" s="39">
        <f t="shared" si="169"/>
        <v>0</v>
      </c>
      <c r="BL34" s="39">
        <f t="shared" si="169"/>
        <v>0</v>
      </c>
      <c r="BM34" s="39">
        <f t="shared" si="169"/>
        <v>0</v>
      </c>
    </row>
    <row r="35" spans="2:65" x14ac:dyDescent="0.35">
      <c r="B35" s="1"/>
      <c r="F35" s="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</row>
    <row r="36" spans="2:65" ht="29" x14ac:dyDescent="0.35">
      <c r="B36" s="5" t="s">
        <v>128</v>
      </c>
      <c r="D36" s="18">
        <f>XNPV('Входящие данные'!C12,CashFlow!F32:BM32,CashFlow!F2:BM2)</f>
        <v>1004190.7155174469</v>
      </c>
      <c r="E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</row>
    <row r="37" spans="2:65" x14ac:dyDescent="0.35">
      <c r="B37" s="1"/>
      <c r="G37" s="11"/>
    </row>
    <row r="38" spans="2:65" x14ac:dyDescent="0.35">
      <c r="B38" s="5" t="s">
        <v>99</v>
      </c>
      <c r="D38" s="19">
        <f>IFERROR(XIRR(F32:BM32,F3:BM3),"")</f>
        <v>0.57722875475883484</v>
      </c>
      <c r="E38" s="11"/>
    </row>
    <row r="40" spans="2:65" x14ac:dyDescent="0.35">
      <c r="B40" s="5" t="s">
        <v>131</v>
      </c>
      <c r="D40" s="18">
        <f>IF(D34=0,"не окуп",(D34-Старт)/30.4)</f>
        <v>26.019736842105264</v>
      </c>
    </row>
    <row r="42" spans="2:65" ht="28" x14ac:dyDescent="0.35">
      <c r="B42" s="5" t="s">
        <v>175</v>
      </c>
      <c r="D42" s="18">
        <f>('Текущие затраты'!C23+Кредит!C5)/(1-'Входящие данные'!C16)</f>
        <v>477332.84313725488</v>
      </c>
      <c r="E42" s="24"/>
      <c r="F42" s="24"/>
      <c r="G42" s="24"/>
      <c r="H42" s="24"/>
      <c r="I42" s="24"/>
    </row>
    <row r="44" spans="2:65" x14ac:dyDescent="0.35">
      <c r="B44" s="5" t="s">
        <v>183</v>
      </c>
      <c r="D44" s="18">
        <f>AVERAGE(F29:BM29)</f>
        <v>51558.564579929385</v>
      </c>
    </row>
  </sheetData>
  <conditionalFormatting sqref="A31:XFD31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showGridLines="0" workbookViewId="0">
      <selection activeCell="D20" sqref="D20"/>
    </sheetView>
  </sheetViews>
  <sheetFormatPr defaultRowHeight="14.5" x14ac:dyDescent="0.35"/>
  <cols>
    <col min="1" max="1" width="3.6328125" style="1" customWidth="1"/>
    <col min="2" max="2" width="42.6328125" style="1" customWidth="1"/>
    <col min="3" max="5" width="8.7265625" style="1"/>
    <col min="6" max="12" width="10.6328125" style="1" customWidth="1"/>
    <col min="13" max="16384" width="8.7265625" style="1"/>
  </cols>
  <sheetData>
    <row r="2" spans="2:12" x14ac:dyDescent="0.35">
      <c r="F2" s="2">
        <f>Старт</f>
        <v>44621</v>
      </c>
      <c r="G2" s="2">
        <f>EDATE(F2,1)</f>
        <v>44652</v>
      </c>
      <c r="H2" s="2">
        <f t="shared" ref="H2:I2" si="0">EDATE(G2,1)</f>
        <v>44682</v>
      </c>
      <c r="I2" s="2">
        <f t="shared" si="0"/>
        <v>44713</v>
      </c>
      <c r="J2" s="2">
        <f t="shared" ref="J2" si="1">EDATE(I2,1)</f>
        <v>44743</v>
      </c>
      <c r="K2" s="2">
        <f t="shared" ref="K2" si="2">EDATE(J2,1)</f>
        <v>44774</v>
      </c>
      <c r="L2" s="2">
        <f t="shared" ref="L2" si="3">EDATE(K2,1)</f>
        <v>44805</v>
      </c>
    </row>
    <row r="3" spans="2:12" ht="15.5" x14ac:dyDescent="0.35">
      <c r="B3" s="33" t="s">
        <v>54</v>
      </c>
      <c r="F3" s="2">
        <f>EDATE(F2,1)-1</f>
        <v>44651</v>
      </c>
      <c r="G3" s="2">
        <f>EDATE(G2,1)-1</f>
        <v>44681</v>
      </c>
      <c r="H3" s="2">
        <f>EDATE(H2,1)-1</f>
        <v>44712</v>
      </c>
      <c r="I3" s="2">
        <f>EDATE(I2,1)-1</f>
        <v>44742</v>
      </c>
      <c r="J3" s="2">
        <f t="shared" ref="J3:L3" si="4">EDATE(J2,1)-1</f>
        <v>44773</v>
      </c>
      <c r="K3" s="2">
        <f t="shared" si="4"/>
        <v>44804</v>
      </c>
      <c r="L3" s="2">
        <f t="shared" si="4"/>
        <v>44834</v>
      </c>
    </row>
    <row r="4" spans="2:12" x14ac:dyDescent="0.35">
      <c r="C4" s="1" t="s">
        <v>11</v>
      </c>
      <c r="D4" s="1" t="s">
        <v>9</v>
      </c>
      <c r="E4" s="1" t="s">
        <v>10</v>
      </c>
    </row>
    <row r="5" spans="2:12" x14ac:dyDescent="0.35">
      <c r="B5" s="16" t="s">
        <v>81</v>
      </c>
      <c r="C5" s="16"/>
      <c r="D5" s="17"/>
      <c r="E5" s="17"/>
      <c r="F5" s="17">
        <f>SUM(F6:F8)</f>
        <v>55000</v>
      </c>
      <c r="G5" s="17">
        <f t="shared" ref="G5:I5" si="5">SUM(G6:G8)</f>
        <v>0</v>
      </c>
      <c r="H5" s="17">
        <f t="shared" si="5"/>
        <v>0</v>
      </c>
      <c r="I5" s="17">
        <f t="shared" si="5"/>
        <v>0</v>
      </c>
      <c r="J5" s="17">
        <f t="shared" ref="J5:L5" si="6">SUM(J6:J8)</f>
        <v>0</v>
      </c>
      <c r="K5" s="17">
        <f t="shared" si="6"/>
        <v>0</v>
      </c>
      <c r="L5" s="17">
        <f t="shared" si="6"/>
        <v>0</v>
      </c>
    </row>
    <row r="6" spans="2:12" x14ac:dyDescent="0.35">
      <c r="B6" s="1" t="s">
        <v>12</v>
      </c>
      <c r="C6" s="1" t="s">
        <v>13</v>
      </c>
      <c r="D6" s="11">
        <v>100</v>
      </c>
      <c r="E6" s="11">
        <v>350</v>
      </c>
      <c r="F6" s="11">
        <f>D6*E6</f>
        <v>35000</v>
      </c>
      <c r="G6" s="11"/>
      <c r="H6" s="11"/>
      <c r="I6" s="11"/>
      <c r="J6" s="11"/>
      <c r="K6" s="11"/>
      <c r="L6" s="11"/>
    </row>
    <row r="7" spans="2:12" x14ac:dyDescent="0.35">
      <c r="B7" s="1" t="s">
        <v>14</v>
      </c>
      <c r="C7" s="1" t="s">
        <v>15</v>
      </c>
      <c r="D7" s="11">
        <v>5</v>
      </c>
      <c r="E7" s="11">
        <v>2000</v>
      </c>
      <c r="F7" s="11">
        <f t="shared" ref="F7:F33" si="7">D7*E7</f>
        <v>10000</v>
      </c>
      <c r="G7" s="11"/>
      <c r="H7" s="11"/>
      <c r="I7" s="11"/>
      <c r="J7" s="11"/>
      <c r="K7" s="11"/>
      <c r="L7" s="11"/>
    </row>
    <row r="8" spans="2:12" x14ac:dyDescent="0.35">
      <c r="B8" s="1" t="s">
        <v>85</v>
      </c>
      <c r="C8" s="1" t="s">
        <v>17</v>
      </c>
      <c r="D8" s="11">
        <v>2</v>
      </c>
      <c r="E8" s="11">
        <v>5000</v>
      </c>
      <c r="F8" s="11">
        <f t="shared" si="7"/>
        <v>10000</v>
      </c>
      <c r="G8" s="11"/>
      <c r="H8" s="11"/>
      <c r="I8" s="11"/>
      <c r="J8" s="11"/>
      <c r="K8" s="11"/>
      <c r="L8" s="11"/>
    </row>
    <row r="9" spans="2:12" x14ac:dyDescent="0.35">
      <c r="B9" s="16" t="s">
        <v>5</v>
      </c>
      <c r="C9" s="16"/>
      <c r="D9" s="17"/>
      <c r="E9" s="17"/>
      <c r="F9" s="17">
        <f t="shared" ref="F9:G9" si="8">SUM(F10:F22)</f>
        <v>304000</v>
      </c>
      <c r="G9" s="17">
        <f t="shared" si="8"/>
        <v>0</v>
      </c>
      <c r="H9" s="17">
        <f>SUM(H10:H22)</f>
        <v>0</v>
      </c>
      <c r="I9" s="17">
        <f>SUM(I10:I22)</f>
        <v>0</v>
      </c>
      <c r="J9" s="17">
        <f t="shared" ref="J9:L9" si="9">SUM(J10:J22)</f>
        <v>0</v>
      </c>
      <c r="K9" s="17">
        <f t="shared" si="9"/>
        <v>0</v>
      </c>
      <c r="L9" s="17">
        <f t="shared" si="9"/>
        <v>0</v>
      </c>
    </row>
    <row r="10" spans="2:12" x14ac:dyDescent="0.35">
      <c r="B10" s="1" t="s">
        <v>16</v>
      </c>
      <c r="C10" s="1" t="s">
        <v>17</v>
      </c>
      <c r="D10" s="11">
        <v>3</v>
      </c>
      <c r="E10" s="11">
        <v>15000</v>
      </c>
      <c r="F10" s="11">
        <f t="shared" si="7"/>
        <v>45000</v>
      </c>
      <c r="G10" s="11"/>
      <c r="H10" s="11"/>
      <c r="I10" s="11"/>
      <c r="J10" s="11"/>
      <c r="K10" s="11"/>
      <c r="L10" s="11"/>
    </row>
    <row r="11" spans="2:12" x14ac:dyDescent="0.35">
      <c r="B11" s="1" t="s">
        <v>55</v>
      </c>
      <c r="C11" s="1" t="s">
        <v>17</v>
      </c>
      <c r="D11" s="11">
        <v>2</v>
      </c>
      <c r="E11" s="11">
        <v>25000</v>
      </c>
      <c r="F11" s="11">
        <f t="shared" si="7"/>
        <v>50000</v>
      </c>
      <c r="G11" s="11"/>
      <c r="H11" s="11"/>
      <c r="I11" s="11"/>
      <c r="J11" s="11"/>
      <c r="K11" s="11"/>
      <c r="L11" s="11"/>
    </row>
    <row r="12" spans="2:12" x14ac:dyDescent="0.35">
      <c r="B12" s="1" t="s">
        <v>76</v>
      </c>
      <c r="C12" s="1" t="s">
        <v>17</v>
      </c>
      <c r="D12" s="11">
        <v>3</v>
      </c>
      <c r="E12" s="11">
        <v>5000</v>
      </c>
      <c r="F12" s="11">
        <f t="shared" si="7"/>
        <v>15000</v>
      </c>
      <c r="G12" s="11"/>
      <c r="H12" s="11"/>
      <c r="I12" s="11"/>
      <c r="J12" s="11"/>
      <c r="K12" s="11"/>
      <c r="L12" s="11"/>
    </row>
    <row r="13" spans="2:12" x14ac:dyDescent="0.35">
      <c r="B13" s="1" t="s">
        <v>137</v>
      </c>
      <c r="C13" s="1" t="s">
        <v>17</v>
      </c>
      <c r="D13" s="11">
        <v>3</v>
      </c>
      <c r="E13" s="11">
        <v>13000</v>
      </c>
      <c r="F13" s="11">
        <f t="shared" si="7"/>
        <v>39000</v>
      </c>
      <c r="G13" s="11"/>
      <c r="H13" s="11"/>
      <c r="I13" s="11"/>
      <c r="J13" s="11"/>
      <c r="K13" s="11"/>
      <c r="L13" s="11"/>
    </row>
    <row r="14" spans="2:12" x14ac:dyDescent="0.35">
      <c r="B14" s="1" t="s">
        <v>149</v>
      </c>
      <c r="C14" s="1" t="s">
        <v>17</v>
      </c>
      <c r="D14" s="11">
        <v>1</v>
      </c>
      <c r="E14" s="11">
        <v>18000</v>
      </c>
      <c r="F14" s="11">
        <f t="shared" si="7"/>
        <v>18000</v>
      </c>
      <c r="G14" s="11"/>
      <c r="H14" s="11"/>
      <c r="I14" s="11"/>
      <c r="J14" s="11"/>
      <c r="K14" s="11"/>
      <c r="L14" s="11"/>
    </row>
    <row r="15" spans="2:12" x14ac:dyDescent="0.35">
      <c r="B15" s="1" t="s">
        <v>89</v>
      </c>
      <c r="C15" s="1" t="s">
        <v>17</v>
      </c>
      <c r="D15" s="11">
        <v>1</v>
      </c>
      <c r="E15" s="11">
        <v>15000</v>
      </c>
      <c r="F15" s="11">
        <f t="shared" si="7"/>
        <v>15000</v>
      </c>
      <c r="G15" s="11"/>
      <c r="H15" s="11"/>
      <c r="I15" s="11"/>
      <c r="J15" s="11"/>
      <c r="K15" s="11"/>
      <c r="L15" s="11"/>
    </row>
    <row r="16" spans="2:12" x14ac:dyDescent="0.35">
      <c r="B16" s="1" t="s">
        <v>105</v>
      </c>
      <c r="C16" s="1" t="s">
        <v>17</v>
      </c>
      <c r="D16" s="11">
        <v>1</v>
      </c>
      <c r="E16" s="11">
        <v>3000</v>
      </c>
      <c r="F16" s="11">
        <f t="shared" si="7"/>
        <v>3000</v>
      </c>
      <c r="G16" s="11"/>
      <c r="H16" s="11"/>
      <c r="I16" s="11"/>
      <c r="J16" s="11"/>
      <c r="K16" s="11"/>
      <c r="L16" s="11"/>
    </row>
    <row r="17" spans="2:12" x14ac:dyDescent="0.35">
      <c r="B17" s="1" t="s">
        <v>154</v>
      </c>
      <c r="C17" s="1" t="s">
        <v>17</v>
      </c>
      <c r="D17" s="11">
        <v>1</v>
      </c>
      <c r="E17" s="11">
        <v>50000</v>
      </c>
      <c r="F17" s="11">
        <f t="shared" si="7"/>
        <v>50000</v>
      </c>
      <c r="G17" s="11"/>
      <c r="H17" s="11"/>
      <c r="I17" s="11"/>
      <c r="J17" s="11"/>
      <c r="K17" s="11"/>
      <c r="L17" s="11"/>
    </row>
    <row r="18" spans="2:12" x14ac:dyDescent="0.35">
      <c r="B18" s="1" t="s">
        <v>150</v>
      </c>
      <c r="C18" s="1" t="s">
        <v>151</v>
      </c>
      <c r="D18" s="11">
        <v>1</v>
      </c>
      <c r="E18" s="11">
        <v>5000</v>
      </c>
      <c r="F18" s="11">
        <f t="shared" si="7"/>
        <v>5000</v>
      </c>
      <c r="G18" s="11"/>
      <c r="H18" s="11"/>
      <c r="I18" s="11"/>
      <c r="J18" s="11"/>
      <c r="K18" s="11"/>
      <c r="L18" s="11"/>
    </row>
    <row r="19" spans="2:12" x14ac:dyDescent="0.35">
      <c r="B19" s="1" t="s">
        <v>106</v>
      </c>
      <c r="C19" s="1" t="s">
        <v>17</v>
      </c>
      <c r="D19" s="11">
        <v>1</v>
      </c>
      <c r="E19" s="11">
        <v>15000</v>
      </c>
      <c r="F19" s="11">
        <f t="shared" si="7"/>
        <v>15000</v>
      </c>
      <c r="G19" s="11"/>
      <c r="H19" s="11"/>
      <c r="I19" s="11"/>
      <c r="J19" s="11"/>
      <c r="K19" s="11"/>
      <c r="L19" s="11"/>
    </row>
    <row r="20" spans="2:12" x14ac:dyDescent="0.35">
      <c r="B20" s="1" t="s">
        <v>140</v>
      </c>
      <c r="C20" s="1" t="s">
        <v>17</v>
      </c>
      <c r="D20" s="11">
        <v>1</v>
      </c>
      <c r="E20" s="11">
        <v>9000</v>
      </c>
      <c r="F20" s="11">
        <f t="shared" si="7"/>
        <v>9000</v>
      </c>
      <c r="G20" s="11"/>
      <c r="H20" s="11"/>
      <c r="I20" s="11"/>
      <c r="J20" s="11"/>
      <c r="K20" s="11"/>
      <c r="L20" s="11"/>
    </row>
    <row r="21" spans="2:12" x14ac:dyDescent="0.35">
      <c r="B21" s="1" t="s">
        <v>138</v>
      </c>
      <c r="C21" s="1" t="s">
        <v>17</v>
      </c>
      <c r="D21" s="11">
        <v>1</v>
      </c>
      <c r="E21" s="11">
        <v>20000</v>
      </c>
      <c r="F21" s="11">
        <f t="shared" si="7"/>
        <v>20000</v>
      </c>
      <c r="G21" s="11"/>
      <c r="H21" s="11"/>
      <c r="I21" s="11"/>
      <c r="J21" s="11"/>
      <c r="K21" s="11"/>
      <c r="L21" s="11"/>
    </row>
    <row r="22" spans="2:12" x14ac:dyDescent="0.35">
      <c r="B22" s="1" t="s">
        <v>139</v>
      </c>
      <c r="C22" s="1" t="s">
        <v>17</v>
      </c>
      <c r="D22" s="11">
        <v>1</v>
      </c>
      <c r="E22" s="11">
        <v>20000</v>
      </c>
      <c r="F22" s="11">
        <f t="shared" si="7"/>
        <v>20000</v>
      </c>
      <c r="G22" s="11"/>
      <c r="H22" s="11"/>
      <c r="I22" s="11"/>
      <c r="J22" s="11"/>
      <c r="K22" s="11"/>
      <c r="L22" s="11"/>
    </row>
    <row r="23" spans="2:12" x14ac:dyDescent="0.35">
      <c r="B23" s="16" t="s">
        <v>82</v>
      </c>
      <c r="C23" s="16"/>
      <c r="D23" s="17"/>
      <c r="E23" s="17"/>
      <c r="F23" s="17">
        <f>SUM(F24:F27)</f>
        <v>59000</v>
      </c>
      <c r="G23" s="17">
        <f>SUM(G24:G27)</f>
        <v>0</v>
      </c>
      <c r="H23" s="17">
        <f>SUM(H24:H27)</f>
        <v>0</v>
      </c>
      <c r="I23" s="17">
        <f>SUM(I24:I27)</f>
        <v>0</v>
      </c>
      <c r="J23" s="17">
        <f t="shared" ref="J23:L23" si="10">SUM(J24:J27)</f>
        <v>0</v>
      </c>
      <c r="K23" s="17">
        <f t="shared" si="10"/>
        <v>0</v>
      </c>
      <c r="L23" s="17">
        <f t="shared" si="10"/>
        <v>0</v>
      </c>
    </row>
    <row r="24" spans="2:12" x14ac:dyDescent="0.35">
      <c r="B24" s="1" t="s">
        <v>18</v>
      </c>
      <c r="C24" s="1" t="s">
        <v>19</v>
      </c>
      <c r="D24" s="11">
        <v>40</v>
      </c>
      <c r="E24" s="11">
        <v>500</v>
      </c>
      <c r="F24" s="11">
        <f t="shared" si="7"/>
        <v>20000</v>
      </c>
      <c r="G24" s="11"/>
      <c r="H24" s="11"/>
      <c r="I24" s="11"/>
      <c r="J24" s="11"/>
      <c r="K24" s="11"/>
      <c r="L24" s="11"/>
    </row>
    <row r="25" spans="2:12" ht="29" x14ac:dyDescent="0.35">
      <c r="B25" s="5" t="s">
        <v>80</v>
      </c>
      <c r="D25" s="11">
        <v>1</v>
      </c>
      <c r="E25" s="11">
        <v>20000</v>
      </c>
      <c r="F25" s="11">
        <f t="shared" si="7"/>
        <v>20000</v>
      </c>
      <c r="G25" s="11"/>
      <c r="H25" s="11"/>
      <c r="I25" s="11"/>
      <c r="J25" s="11"/>
      <c r="K25" s="11"/>
      <c r="L25" s="11"/>
    </row>
    <row r="26" spans="2:12" x14ac:dyDescent="0.35">
      <c r="B26" s="1" t="s">
        <v>78</v>
      </c>
      <c r="C26" s="1" t="s">
        <v>17</v>
      </c>
      <c r="D26" s="11">
        <v>30</v>
      </c>
      <c r="E26" s="11">
        <v>300</v>
      </c>
      <c r="F26" s="11">
        <f t="shared" si="7"/>
        <v>9000</v>
      </c>
      <c r="G26" s="11"/>
      <c r="H26" s="11"/>
      <c r="I26" s="11"/>
      <c r="J26" s="11"/>
      <c r="K26" s="11"/>
      <c r="L26" s="11"/>
    </row>
    <row r="27" spans="2:12" x14ac:dyDescent="0.35">
      <c r="B27" s="1" t="s">
        <v>79</v>
      </c>
      <c r="D27" s="11">
        <v>1</v>
      </c>
      <c r="E27" s="11">
        <v>10000</v>
      </c>
      <c r="F27" s="11">
        <f t="shared" si="7"/>
        <v>10000</v>
      </c>
      <c r="G27" s="11"/>
      <c r="H27" s="11"/>
      <c r="I27" s="11"/>
      <c r="J27" s="11"/>
      <c r="K27" s="11"/>
      <c r="L27" s="11"/>
    </row>
    <row r="28" spans="2:12" x14ac:dyDescent="0.35">
      <c r="B28" s="16" t="s">
        <v>83</v>
      </c>
      <c r="C28" s="16"/>
      <c r="D28" s="17"/>
      <c r="E28" s="17"/>
      <c r="F28" s="17">
        <f>SUM(F29:F33)</f>
        <v>269000</v>
      </c>
      <c r="G28" s="17">
        <f>SUM(G29:G33)</f>
        <v>0</v>
      </c>
      <c r="H28" s="17">
        <f>SUM(H29:H33)</f>
        <v>0</v>
      </c>
      <c r="I28" s="17">
        <f>SUM(I29:I33)</f>
        <v>0</v>
      </c>
      <c r="J28" s="17">
        <f t="shared" ref="J28:L28" si="11">SUM(J29:J33)</f>
        <v>0</v>
      </c>
      <c r="K28" s="17">
        <f t="shared" si="11"/>
        <v>0</v>
      </c>
      <c r="L28" s="17">
        <f t="shared" si="11"/>
        <v>0</v>
      </c>
    </row>
    <row r="29" spans="2:12" x14ac:dyDescent="0.35">
      <c r="B29" s="1" t="s">
        <v>6</v>
      </c>
      <c r="C29" s="1" t="s">
        <v>20</v>
      </c>
      <c r="D29" s="11">
        <v>2</v>
      </c>
      <c r="E29" s="11">
        <v>50000</v>
      </c>
      <c r="F29" s="11">
        <f t="shared" si="7"/>
        <v>100000</v>
      </c>
      <c r="G29" s="11"/>
      <c r="H29" s="11"/>
      <c r="I29" s="11"/>
      <c r="J29" s="11"/>
      <c r="K29" s="11"/>
      <c r="L29" s="11"/>
    </row>
    <row r="30" spans="2:12" x14ac:dyDescent="0.35">
      <c r="B30" s="1" t="s">
        <v>7</v>
      </c>
      <c r="C30" s="1" t="s">
        <v>20</v>
      </c>
      <c r="D30" s="11">
        <v>1</v>
      </c>
      <c r="E30" s="11">
        <v>50000</v>
      </c>
      <c r="F30" s="11">
        <f t="shared" si="7"/>
        <v>50000</v>
      </c>
      <c r="G30" s="11"/>
      <c r="H30" s="11"/>
      <c r="I30" s="11"/>
      <c r="J30" s="11"/>
      <c r="K30" s="11"/>
      <c r="L30" s="11"/>
    </row>
    <row r="31" spans="2:12" x14ac:dyDescent="0.35">
      <c r="B31" s="1" t="s">
        <v>84</v>
      </c>
      <c r="C31" s="1" t="s">
        <v>20</v>
      </c>
      <c r="D31" s="11">
        <v>1</v>
      </c>
      <c r="E31" s="11">
        <v>9000</v>
      </c>
      <c r="F31" s="11">
        <f t="shared" si="7"/>
        <v>9000</v>
      </c>
      <c r="G31" s="11"/>
      <c r="H31" s="11"/>
      <c r="I31" s="11"/>
      <c r="J31" s="11"/>
      <c r="K31" s="11"/>
      <c r="L31" s="11"/>
    </row>
    <row r="32" spans="2:12" x14ac:dyDescent="0.35">
      <c r="B32" s="1" t="s">
        <v>8</v>
      </c>
      <c r="D32" s="11">
        <v>1</v>
      </c>
      <c r="E32" s="11">
        <v>10000</v>
      </c>
      <c r="F32" s="11">
        <f t="shared" si="7"/>
        <v>10000</v>
      </c>
      <c r="G32" s="11"/>
      <c r="H32" s="11"/>
      <c r="I32" s="11"/>
      <c r="J32" s="11"/>
      <c r="K32" s="11"/>
      <c r="L32" s="11"/>
    </row>
    <row r="33" spans="2:12" x14ac:dyDescent="0.35">
      <c r="B33" s="1" t="s">
        <v>27</v>
      </c>
      <c r="D33" s="11">
        <v>1</v>
      </c>
      <c r="E33" s="11">
        <v>100000</v>
      </c>
      <c r="F33" s="11">
        <f t="shared" si="7"/>
        <v>100000</v>
      </c>
      <c r="G33" s="11"/>
      <c r="H33" s="11"/>
      <c r="I33" s="11"/>
      <c r="J33" s="11"/>
      <c r="K33" s="11"/>
      <c r="L33" s="11"/>
    </row>
    <row r="34" spans="2:12" x14ac:dyDescent="0.35">
      <c r="B34" s="25" t="s">
        <v>36</v>
      </c>
      <c r="C34" s="25"/>
      <c r="D34" s="21"/>
      <c r="E34" s="21"/>
      <c r="F34" s="21">
        <f>F5+F9+F23+F28</f>
        <v>687000</v>
      </c>
      <c r="G34" s="21">
        <f>G5+G9+G23+G28</f>
        <v>0</v>
      </c>
      <c r="H34" s="21">
        <f>H5+H9+H23+H28</f>
        <v>0</v>
      </c>
      <c r="I34" s="21">
        <f>I5+I9+I23+I28</f>
        <v>0</v>
      </c>
      <c r="J34" s="21">
        <f t="shared" ref="J34:L34" si="12">J5+J9+J23+J28</f>
        <v>0</v>
      </c>
      <c r="K34" s="21">
        <f t="shared" si="12"/>
        <v>0</v>
      </c>
      <c r="L34" s="21">
        <f t="shared" si="1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M48"/>
  <sheetViews>
    <sheetView showGridLines="0" workbookViewId="0">
      <selection activeCell="I22" sqref="I22"/>
    </sheetView>
  </sheetViews>
  <sheetFormatPr defaultRowHeight="14.5" x14ac:dyDescent="0.35"/>
  <cols>
    <col min="1" max="1" width="3.6328125" style="1" customWidth="1"/>
    <col min="2" max="2" width="35.36328125" style="1" bestFit="1" customWidth="1"/>
    <col min="3" max="3" width="9.36328125" style="1" bestFit="1" customWidth="1"/>
    <col min="4" max="5" width="8.7265625" style="1" customWidth="1"/>
    <col min="6" max="65" width="10.6328125" style="1" customWidth="1"/>
    <col min="66" max="16384" width="8.7265625" style="1"/>
  </cols>
  <sheetData>
    <row r="3" spans="2:65" ht="15.5" x14ac:dyDescent="0.35">
      <c r="B3" s="33" t="s">
        <v>31</v>
      </c>
      <c r="F3" s="2">
        <f>Старт</f>
        <v>44621</v>
      </c>
      <c r="G3" s="2">
        <f>EDATE(F3,1)</f>
        <v>44652</v>
      </c>
      <c r="H3" s="2">
        <f t="shared" ref="H3:Q3" si="0">EDATE(G3,1)</f>
        <v>44682</v>
      </c>
      <c r="I3" s="2">
        <f t="shared" si="0"/>
        <v>44713</v>
      </c>
      <c r="J3" s="2">
        <f t="shared" si="0"/>
        <v>44743</v>
      </c>
      <c r="K3" s="2">
        <f t="shared" si="0"/>
        <v>44774</v>
      </c>
      <c r="L3" s="2">
        <f t="shared" si="0"/>
        <v>44805</v>
      </c>
      <c r="M3" s="2">
        <f t="shared" si="0"/>
        <v>44835</v>
      </c>
      <c r="N3" s="2">
        <f t="shared" si="0"/>
        <v>44866</v>
      </c>
      <c r="O3" s="2">
        <f t="shared" si="0"/>
        <v>44896</v>
      </c>
      <c r="P3" s="2">
        <f t="shared" si="0"/>
        <v>44927</v>
      </c>
      <c r="Q3" s="2">
        <f t="shared" si="0"/>
        <v>44958</v>
      </c>
      <c r="R3" s="2">
        <f t="shared" ref="R3:AJ3" si="1">EDATE(Q3,1)</f>
        <v>44986</v>
      </c>
      <c r="S3" s="2">
        <f t="shared" si="1"/>
        <v>45017</v>
      </c>
      <c r="T3" s="2">
        <f t="shared" si="1"/>
        <v>45047</v>
      </c>
      <c r="U3" s="2">
        <f t="shared" si="1"/>
        <v>45078</v>
      </c>
      <c r="V3" s="2">
        <f t="shared" si="1"/>
        <v>45108</v>
      </c>
      <c r="W3" s="2">
        <f t="shared" si="1"/>
        <v>45139</v>
      </c>
      <c r="X3" s="2">
        <f t="shared" si="1"/>
        <v>45170</v>
      </c>
      <c r="Y3" s="2">
        <f t="shared" si="1"/>
        <v>45200</v>
      </c>
      <c r="Z3" s="2">
        <f t="shared" si="1"/>
        <v>45231</v>
      </c>
      <c r="AA3" s="2">
        <f t="shared" si="1"/>
        <v>45261</v>
      </c>
      <c r="AB3" s="2">
        <f t="shared" si="1"/>
        <v>45292</v>
      </c>
      <c r="AC3" s="2">
        <f t="shared" si="1"/>
        <v>45323</v>
      </c>
      <c r="AD3" s="2">
        <f t="shared" si="1"/>
        <v>45352</v>
      </c>
      <c r="AE3" s="2">
        <f t="shared" si="1"/>
        <v>45383</v>
      </c>
      <c r="AF3" s="2">
        <f t="shared" si="1"/>
        <v>45413</v>
      </c>
      <c r="AG3" s="2">
        <f t="shared" si="1"/>
        <v>45444</v>
      </c>
      <c r="AH3" s="2">
        <f t="shared" si="1"/>
        <v>45474</v>
      </c>
      <c r="AI3" s="2">
        <f t="shared" si="1"/>
        <v>45505</v>
      </c>
      <c r="AJ3" s="2">
        <f t="shared" si="1"/>
        <v>45536</v>
      </c>
      <c r="AK3" s="2">
        <f t="shared" ref="AK3:AO3" si="2">EDATE(AJ3,1)</f>
        <v>45566</v>
      </c>
      <c r="AL3" s="2">
        <f t="shared" si="2"/>
        <v>45597</v>
      </c>
      <c r="AM3" s="2">
        <f t="shared" si="2"/>
        <v>45627</v>
      </c>
      <c r="AN3" s="2">
        <f t="shared" si="2"/>
        <v>45658</v>
      </c>
      <c r="AO3" s="2">
        <f t="shared" si="2"/>
        <v>45689</v>
      </c>
      <c r="AP3" s="2">
        <f t="shared" ref="AP3" si="3">EDATE(AO3,1)</f>
        <v>45717</v>
      </c>
      <c r="AQ3" s="2">
        <f t="shared" ref="AQ3" si="4">EDATE(AP3,1)</f>
        <v>45748</v>
      </c>
      <c r="AR3" s="2">
        <f t="shared" ref="AR3" si="5">EDATE(AQ3,1)</f>
        <v>45778</v>
      </c>
      <c r="AS3" s="2">
        <f t="shared" ref="AS3" si="6">EDATE(AR3,1)</f>
        <v>45809</v>
      </c>
      <c r="AT3" s="2">
        <f t="shared" ref="AT3" si="7">EDATE(AS3,1)</f>
        <v>45839</v>
      </c>
      <c r="AU3" s="2">
        <f t="shared" ref="AU3" si="8">EDATE(AT3,1)</f>
        <v>45870</v>
      </c>
      <c r="AV3" s="2">
        <f t="shared" ref="AV3" si="9">EDATE(AU3,1)</f>
        <v>45901</v>
      </c>
      <c r="AW3" s="2">
        <f t="shared" ref="AW3" si="10">EDATE(AV3,1)</f>
        <v>45931</v>
      </c>
      <c r="AX3" s="2">
        <f t="shared" ref="AX3" si="11">EDATE(AW3,1)</f>
        <v>45962</v>
      </c>
      <c r="AY3" s="2">
        <f t="shared" ref="AY3" si="12">EDATE(AX3,1)</f>
        <v>45992</v>
      </c>
      <c r="AZ3" s="2">
        <f t="shared" ref="AZ3" si="13">EDATE(AY3,1)</f>
        <v>46023</v>
      </c>
      <c r="BA3" s="2">
        <f t="shared" ref="BA3" si="14">EDATE(AZ3,1)</f>
        <v>46054</v>
      </c>
      <c r="BB3" s="2">
        <f t="shared" ref="BB3" si="15">EDATE(BA3,1)</f>
        <v>46082</v>
      </c>
      <c r="BC3" s="2">
        <f t="shared" ref="BC3" si="16">EDATE(BB3,1)</f>
        <v>46113</v>
      </c>
      <c r="BD3" s="2">
        <f t="shared" ref="BD3" si="17">EDATE(BC3,1)</f>
        <v>46143</v>
      </c>
      <c r="BE3" s="2">
        <f t="shared" ref="BE3" si="18">EDATE(BD3,1)</f>
        <v>46174</v>
      </c>
      <c r="BF3" s="2">
        <f t="shared" ref="BF3" si="19">EDATE(BE3,1)</f>
        <v>46204</v>
      </c>
      <c r="BG3" s="2">
        <f t="shared" ref="BG3" si="20">EDATE(BF3,1)</f>
        <v>46235</v>
      </c>
      <c r="BH3" s="2">
        <f t="shared" ref="BH3" si="21">EDATE(BG3,1)</f>
        <v>46266</v>
      </c>
      <c r="BI3" s="2">
        <f t="shared" ref="BI3" si="22">EDATE(BH3,1)</f>
        <v>46296</v>
      </c>
      <c r="BJ3" s="2">
        <f t="shared" ref="BJ3" si="23">EDATE(BI3,1)</f>
        <v>46327</v>
      </c>
      <c r="BK3" s="2">
        <f t="shared" ref="BK3" si="24">EDATE(BJ3,1)</f>
        <v>46357</v>
      </c>
      <c r="BL3" s="2">
        <f t="shared" ref="BL3" si="25">EDATE(BK3,1)</f>
        <v>46388</v>
      </c>
      <c r="BM3" s="2">
        <f t="shared" ref="BM3" si="26">EDATE(BL3,1)</f>
        <v>46419</v>
      </c>
    </row>
    <row r="4" spans="2:65" x14ac:dyDescent="0.35">
      <c r="F4" s="2">
        <f>EDATE(F3,1)-1</f>
        <v>44651</v>
      </c>
      <c r="G4" s="2">
        <f t="shared" ref="G4" si="27">EDATE(G3,1)-1</f>
        <v>44681</v>
      </c>
      <c r="H4" s="2">
        <f t="shared" ref="H4" si="28">EDATE(H3,1)-1</f>
        <v>44712</v>
      </c>
      <c r="I4" s="2">
        <f t="shared" ref="I4" si="29">EDATE(I3,1)-1</f>
        <v>44742</v>
      </c>
      <c r="J4" s="2">
        <f t="shared" ref="J4" si="30">EDATE(J3,1)-1</f>
        <v>44773</v>
      </c>
      <c r="K4" s="2">
        <f t="shared" ref="K4" si="31">EDATE(K3,1)-1</f>
        <v>44804</v>
      </c>
      <c r="L4" s="2">
        <f t="shared" ref="L4" si="32">EDATE(L3,1)-1</f>
        <v>44834</v>
      </c>
      <c r="M4" s="2">
        <f t="shared" ref="M4" si="33">EDATE(M3,1)-1</f>
        <v>44865</v>
      </c>
      <c r="N4" s="2">
        <f t="shared" ref="N4" si="34">EDATE(N3,1)-1</f>
        <v>44895</v>
      </c>
      <c r="O4" s="2">
        <f t="shared" ref="O4" si="35">EDATE(O3,1)-1</f>
        <v>44926</v>
      </c>
      <c r="P4" s="2">
        <f t="shared" ref="P4" si="36">EDATE(P3,1)-1</f>
        <v>44957</v>
      </c>
      <c r="Q4" s="2">
        <f t="shared" ref="Q4" si="37">EDATE(Q3,1)-1</f>
        <v>44985</v>
      </c>
      <c r="R4" s="2">
        <f t="shared" ref="R4" si="38">EDATE(R3,1)-1</f>
        <v>45016</v>
      </c>
      <c r="S4" s="2">
        <f t="shared" ref="S4" si="39">EDATE(S3,1)-1</f>
        <v>45046</v>
      </c>
      <c r="T4" s="2">
        <f t="shared" ref="T4" si="40">EDATE(T3,1)-1</f>
        <v>45077</v>
      </c>
      <c r="U4" s="2">
        <f t="shared" ref="U4" si="41">EDATE(U3,1)-1</f>
        <v>45107</v>
      </c>
      <c r="V4" s="2">
        <f t="shared" ref="V4" si="42">EDATE(V3,1)-1</f>
        <v>45138</v>
      </c>
      <c r="W4" s="2">
        <f t="shared" ref="W4" si="43">EDATE(W3,1)-1</f>
        <v>45169</v>
      </c>
      <c r="X4" s="2">
        <f t="shared" ref="X4" si="44">EDATE(X3,1)-1</f>
        <v>45199</v>
      </c>
      <c r="Y4" s="2">
        <f t="shared" ref="Y4" si="45">EDATE(Y3,1)-1</f>
        <v>45230</v>
      </c>
      <c r="Z4" s="2">
        <f t="shared" ref="Z4" si="46">EDATE(Z3,1)-1</f>
        <v>45260</v>
      </c>
      <c r="AA4" s="2">
        <f t="shared" ref="AA4" si="47">EDATE(AA3,1)-1</f>
        <v>45291</v>
      </c>
      <c r="AB4" s="2">
        <f t="shared" ref="AB4" si="48">EDATE(AB3,1)-1</f>
        <v>45322</v>
      </c>
      <c r="AC4" s="2">
        <f t="shared" ref="AC4" si="49">EDATE(AC3,1)-1</f>
        <v>45351</v>
      </c>
      <c r="AD4" s="2">
        <f t="shared" ref="AD4" si="50">EDATE(AD3,1)-1</f>
        <v>45382</v>
      </c>
      <c r="AE4" s="2">
        <f t="shared" ref="AE4" si="51">EDATE(AE3,1)-1</f>
        <v>45412</v>
      </c>
      <c r="AF4" s="2">
        <f t="shared" ref="AF4" si="52">EDATE(AF3,1)-1</f>
        <v>45443</v>
      </c>
      <c r="AG4" s="2">
        <f t="shared" ref="AG4" si="53">EDATE(AG3,1)-1</f>
        <v>45473</v>
      </c>
      <c r="AH4" s="2">
        <f t="shared" ref="AH4" si="54">EDATE(AH3,1)-1</f>
        <v>45504</v>
      </c>
      <c r="AI4" s="2">
        <f t="shared" ref="AI4" si="55">EDATE(AI3,1)-1</f>
        <v>45535</v>
      </c>
      <c r="AJ4" s="2">
        <f t="shared" ref="AJ4" si="56">EDATE(AJ3,1)-1</f>
        <v>45565</v>
      </c>
      <c r="AK4" s="2">
        <f t="shared" ref="AK4" si="57">EDATE(AK3,1)-1</f>
        <v>45596</v>
      </c>
      <c r="AL4" s="2">
        <f t="shared" ref="AL4" si="58">EDATE(AL3,1)-1</f>
        <v>45626</v>
      </c>
      <c r="AM4" s="2">
        <f t="shared" ref="AM4" si="59">EDATE(AM3,1)-1</f>
        <v>45657</v>
      </c>
      <c r="AN4" s="2">
        <f t="shared" ref="AN4" si="60">EDATE(AN3,1)-1</f>
        <v>45688</v>
      </c>
      <c r="AO4" s="2">
        <f t="shared" ref="AO4:BK4" si="61">EDATE(AO3,1)-1</f>
        <v>45716</v>
      </c>
      <c r="AP4" s="2">
        <f t="shared" si="61"/>
        <v>45747</v>
      </c>
      <c r="AQ4" s="2">
        <f t="shared" si="61"/>
        <v>45777</v>
      </c>
      <c r="AR4" s="2">
        <f t="shared" si="61"/>
        <v>45808</v>
      </c>
      <c r="AS4" s="2">
        <f t="shared" si="61"/>
        <v>45838</v>
      </c>
      <c r="AT4" s="2">
        <f t="shared" si="61"/>
        <v>45869</v>
      </c>
      <c r="AU4" s="2">
        <f t="shared" si="61"/>
        <v>45900</v>
      </c>
      <c r="AV4" s="2">
        <f t="shared" si="61"/>
        <v>45930</v>
      </c>
      <c r="AW4" s="2">
        <f t="shared" si="61"/>
        <v>45961</v>
      </c>
      <c r="AX4" s="2">
        <f t="shared" si="61"/>
        <v>45991</v>
      </c>
      <c r="AY4" s="2">
        <f t="shared" si="61"/>
        <v>46022</v>
      </c>
      <c r="AZ4" s="2">
        <f t="shared" si="61"/>
        <v>46053</v>
      </c>
      <c r="BA4" s="2">
        <f t="shared" si="61"/>
        <v>46081</v>
      </c>
      <c r="BB4" s="2">
        <f t="shared" si="61"/>
        <v>46112</v>
      </c>
      <c r="BC4" s="2">
        <f t="shared" si="61"/>
        <v>46142</v>
      </c>
      <c r="BD4" s="2">
        <f t="shared" si="61"/>
        <v>46173</v>
      </c>
      <c r="BE4" s="2">
        <f t="shared" si="61"/>
        <v>46203</v>
      </c>
      <c r="BF4" s="2">
        <f t="shared" si="61"/>
        <v>46234</v>
      </c>
      <c r="BG4" s="2">
        <f t="shared" si="61"/>
        <v>46265</v>
      </c>
      <c r="BH4" s="2">
        <f t="shared" si="61"/>
        <v>46295</v>
      </c>
      <c r="BI4" s="2">
        <f t="shared" si="61"/>
        <v>46326</v>
      </c>
      <c r="BJ4" s="2">
        <f t="shared" si="61"/>
        <v>46356</v>
      </c>
      <c r="BK4" s="2">
        <f t="shared" si="61"/>
        <v>46387</v>
      </c>
      <c r="BL4" s="2">
        <f t="shared" ref="BL4:BM4" si="62">EDATE(BL3,1)-1</f>
        <v>46418</v>
      </c>
      <c r="BM4" s="2">
        <f t="shared" si="62"/>
        <v>46446</v>
      </c>
    </row>
    <row r="5" spans="2:65" x14ac:dyDescent="0.35">
      <c r="C5" s="22" t="s">
        <v>110</v>
      </c>
      <c r="D5" s="5"/>
      <c r="E5" s="5"/>
    </row>
    <row r="6" spans="2:65" x14ac:dyDescent="0.35">
      <c r="B6" s="1" t="s">
        <v>32</v>
      </c>
      <c r="C6" s="6">
        <f>100%*(1+Анализ_чувствительности_посещаемость)</f>
        <v>1</v>
      </c>
      <c r="F6" s="6">
        <f>$C$6*0</f>
        <v>0</v>
      </c>
      <c r="G6" s="6">
        <f>$C$6*10%</f>
        <v>0.1</v>
      </c>
      <c r="H6" s="6">
        <f>$C$6*10%</f>
        <v>0.1</v>
      </c>
      <c r="I6" s="6">
        <f>$C$6*30%</f>
        <v>0.3</v>
      </c>
      <c r="J6" s="6">
        <f>$C$6*35%</f>
        <v>0.35</v>
      </c>
      <c r="K6" s="6">
        <f>$C$6*35%</f>
        <v>0.35</v>
      </c>
      <c r="L6" s="6">
        <f>$C$6*35%</f>
        <v>0.35</v>
      </c>
      <c r="M6" s="40">
        <f>$C$6*30%</f>
        <v>0.3</v>
      </c>
      <c r="N6" s="6">
        <f>$C$6*30%</f>
        <v>0.3</v>
      </c>
      <c r="O6" s="6">
        <f>$C$6*45%</f>
        <v>0.45</v>
      </c>
      <c r="P6" s="10">
        <f>$C$6*35%</f>
        <v>0.35</v>
      </c>
      <c r="Q6" s="6">
        <f>$C$6*35%</f>
        <v>0.35</v>
      </c>
      <c r="R6" s="40">
        <f>$C$6*50%</f>
        <v>0.5</v>
      </c>
      <c r="S6" s="40">
        <f>$C$6*50%</f>
        <v>0.5</v>
      </c>
      <c r="T6" s="10">
        <f>$C$6*45%</f>
        <v>0.45</v>
      </c>
      <c r="U6" s="40">
        <f>$C$6*60%</f>
        <v>0.6</v>
      </c>
      <c r="V6" s="6">
        <f>$C$6*45%</f>
        <v>0.45</v>
      </c>
      <c r="W6" s="40">
        <f>$C$6*40%</f>
        <v>0.4</v>
      </c>
      <c r="X6" s="10">
        <f>$C$6*55%</f>
        <v>0.55000000000000004</v>
      </c>
      <c r="Y6" s="6">
        <f>$C$6*60%</f>
        <v>0.6</v>
      </c>
      <c r="Z6" s="6">
        <f>$C$6*70%</f>
        <v>0.7</v>
      </c>
      <c r="AA6" s="6">
        <f>$C$6*90%</f>
        <v>0.9</v>
      </c>
      <c r="AB6" s="6">
        <f>$C$6*35%</f>
        <v>0.35</v>
      </c>
      <c r="AC6" s="6">
        <f>$C$6*40%</f>
        <v>0.4</v>
      </c>
      <c r="AD6" s="6">
        <f>$C$6*60%</f>
        <v>0.6</v>
      </c>
      <c r="AE6" s="6">
        <f>$C$6*70%</f>
        <v>0.7</v>
      </c>
      <c r="AF6" s="6">
        <f>$C$6*60%</f>
        <v>0.6</v>
      </c>
      <c r="AG6" s="6">
        <f>$C$6*70%</f>
        <v>0.7</v>
      </c>
      <c r="AH6" s="6">
        <f>$C$6*50%</f>
        <v>0.5</v>
      </c>
      <c r="AI6" s="6">
        <f>$C$6*40%</f>
        <v>0.4</v>
      </c>
      <c r="AJ6" s="6">
        <f>$C$6*60%</f>
        <v>0.6</v>
      </c>
      <c r="AK6" s="6">
        <f>$C$6*60%</f>
        <v>0.6</v>
      </c>
      <c r="AL6" s="6">
        <f>$C$6*70%</f>
        <v>0.7</v>
      </c>
      <c r="AM6" s="6">
        <f>$C$6*90%</f>
        <v>0.9</v>
      </c>
      <c r="AN6" s="6">
        <f>$C$6*35%</f>
        <v>0.35</v>
      </c>
      <c r="AO6" s="6">
        <f>$C$6*40%</f>
        <v>0.4</v>
      </c>
      <c r="AP6" s="6">
        <f>$C$6*60%</f>
        <v>0.6</v>
      </c>
      <c r="AQ6" s="6">
        <f>$C$6*70%</f>
        <v>0.7</v>
      </c>
      <c r="AR6" s="6">
        <f>$C$6*60%</f>
        <v>0.6</v>
      </c>
      <c r="AS6" s="6">
        <f>$C$6*60%</f>
        <v>0.6</v>
      </c>
      <c r="AT6" s="6">
        <f>$C$6*50%</f>
        <v>0.5</v>
      </c>
      <c r="AU6" s="6">
        <f>$C$6*40%</f>
        <v>0.4</v>
      </c>
      <c r="AV6" s="6">
        <f>$C$6*60%</f>
        <v>0.6</v>
      </c>
      <c r="AW6" s="6">
        <f>$C$6*60%</f>
        <v>0.6</v>
      </c>
      <c r="AX6" s="6">
        <f>$C$6*70%</f>
        <v>0.7</v>
      </c>
      <c r="AY6" s="6">
        <f>$C$6*90%</f>
        <v>0.9</v>
      </c>
      <c r="AZ6" s="6">
        <f>$C$6*35%</f>
        <v>0.35</v>
      </c>
      <c r="BA6" s="6">
        <f>$C$6*40%</f>
        <v>0.4</v>
      </c>
      <c r="BB6" s="6">
        <f>$C$6*60%</f>
        <v>0.6</v>
      </c>
      <c r="BC6" s="6">
        <f>$C$6*70%</f>
        <v>0.7</v>
      </c>
      <c r="BD6" s="6">
        <f>$C$6*60%</f>
        <v>0.6</v>
      </c>
      <c r="BE6" s="6">
        <f>$C$6*60%</f>
        <v>0.6</v>
      </c>
      <c r="BF6" s="6">
        <f>$C$6*50%</f>
        <v>0.5</v>
      </c>
      <c r="BG6" s="6">
        <f>$C$6*40%</f>
        <v>0.4</v>
      </c>
      <c r="BH6" s="6">
        <f>$C$6*60%</f>
        <v>0.6</v>
      </c>
      <c r="BI6" s="6">
        <f>$C$6*60%</f>
        <v>0.6</v>
      </c>
      <c r="BJ6" s="6">
        <f>$C$6*70%</f>
        <v>0.7</v>
      </c>
      <c r="BK6" s="6">
        <f>$C$6*90%</f>
        <v>0.9</v>
      </c>
      <c r="BL6" s="6">
        <f>$C$6*35%</f>
        <v>0.35</v>
      </c>
      <c r="BM6" s="6">
        <f>$C$6*40%</f>
        <v>0.4</v>
      </c>
    </row>
    <row r="7" spans="2:65" x14ac:dyDescent="0.35">
      <c r="B7" s="1" t="s">
        <v>87</v>
      </c>
      <c r="F7" s="27">
        <v>1</v>
      </c>
      <c r="G7" s="27">
        <f t="shared" ref="G7:AO7" si="63">F7*(1+$C$48/12)</f>
        <v>1.0041666666666667</v>
      </c>
      <c r="H7" s="27">
        <f t="shared" si="63"/>
        <v>1.0083506944444445</v>
      </c>
      <c r="I7" s="27">
        <f t="shared" si="63"/>
        <v>1.0125521556712964</v>
      </c>
      <c r="J7" s="27">
        <f t="shared" si="63"/>
        <v>1.0167711229865934</v>
      </c>
      <c r="K7" s="27">
        <f t="shared" si="63"/>
        <v>1.0210076693323709</v>
      </c>
      <c r="L7" s="27">
        <f t="shared" si="63"/>
        <v>1.0252618679545891</v>
      </c>
      <c r="M7" s="27">
        <f t="shared" si="63"/>
        <v>1.0295337924043999</v>
      </c>
      <c r="N7" s="27">
        <f t="shared" si="63"/>
        <v>1.0338235165394183</v>
      </c>
      <c r="O7" s="27">
        <f t="shared" si="63"/>
        <v>1.0381311145249992</v>
      </c>
      <c r="P7" s="27">
        <f t="shared" si="63"/>
        <v>1.0424566608355199</v>
      </c>
      <c r="Q7" s="27">
        <f t="shared" si="63"/>
        <v>1.0468002302556678</v>
      </c>
      <c r="R7" s="27">
        <f t="shared" si="63"/>
        <v>1.051161897881733</v>
      </c>
      <c r="S7" s="27">
        <f t="shared" si="63"/>
        <v>1.0555417391229069</v>
      </c>
      <c r="T7" s="27">
        <f t="shared" si="63"/>
        <v>1.0599398297025857</v>
      </c>
      <c r="U7" s="27">
        <f t="shared" si="63"/>
        <v>1.0643562456596798</v>
      </c>
      <c r="V7" s="27">
        <f t="shared" si="63"/>
        <v>1.0687910633499285</v>
      </c>
      <c r="W7" s="27">
        <f t="shared" si="63"/>
        <v>1.0732443594472199</v>
      </c>
      <c r="X7" s="27">
        <f t="shared" si="63"/>
        <v>1.0777162109449165</v>
      </c>
      <c r="Y7" s="27">
        <f t="shared" si="63"/>
        <v>1.0822066951571869</v>
      </c>
      <c r="Z7" s="27">
        <f t="shared" si="63"/>
        <v>1.0867158897203419</v>
      </c>
      <c r="AA7" s="27">
        <f t="shared" si="63"/>
        <v>1.0912438725941767</v>
      </c>
      <c r="AB7" s="27">
        <f t="shared" si="63"/>
        <v>1.095790722063319</v>
      </c>
      <c r="AC7" s="27">
        <f t="shared" si="63"/>
        <v>1.1003565167385827</v>
      </c>
      <c r="AD7" s="27">
        <f t="shared" si="63"/>
        <v>1.1049413355583269</v>
      </c>
      <c r="AE7" s="27">
        <f t="shared" si="63"/>
        <v>1.1095452577898199</v>
      </c>
      <c r="AF7" s="27">
        <f t="shared" si="63"/>
        <v>1.1141683630306107</v>
      </c>
      <c r="AG7" s="27">
        <f t="shared" si="63"/>
        <v>1.1188107312099049</v>
      </c>
      <c r="AH7" s="27">
        <f t="shared" si="63"/>
        <v>1.1234724425899463</v>
      </c>
      <c r="AI7" s="27">
        <f t="shared" si="63"/>
        <v>1.1281535777674043</v>
      </c>
      <c r="AJ7" s="27">
        <f t="shared" si="63"/>
        <v>1.1328542176747685</v>
      </c>
      <c r="AK7" s="27">
        <f t="shared" si="63"/>
        <v>1.1375744435817468</v>
      </c>
      <c r="AL7" s="27">
        <f t="shared" si="63"/>
        <v>1.1423143370966706</v>
      </c>
      <c r="AM7" s="27">
        <f t="shared" si="63"/>
        <v>1.1470739801679068</v>
      </c>
      <c r="AN7" s="27">
        <f t="shared" si="63"/>
        <v>1.151853455085273</v>
      </c>
      <c r="AO7" s="27">
        <f t="shared" si="63"/>
        <v>1.1566528444814617</v>
      </c>
      <c r="AP7" s="27">
        <f t="shared" ref="AP7" si="64">AO7*(1+$C$48/12)</f>
        <v>1.1614722313334678</v>
      </c>
      <c r="AQ7" s="27">
        <f t="shared" ref="AQ7" si="65">AP7*(1+$C$48/12)</f>
        <v>1.1663116989640239</v>
      </c>
      <c r="AR7" s="27">
        <f t="shared" ref="AR7" si="66">AQ7*(1+$C$48/12)</f>
        <v>1.1711713310430407</v>
      </c>
      <c r="AS7" s="27">
        <f t="shared" ref="AS7" si="67">AR7*(1+$C$48/12)</f>
        <v>1.1760512115890533</v>
      </c>
      <c r="AT7" s="27">
        <f t="shared" ref="AT7" si="68">AS7*(1+$C$48/12)</f>
        <v>1.1809514249706743</v>
      </c>
      <c r="AU7" s="27">
        <f t="shared" ref="AU7" si="69">AT7*(1+$C$48/12)</f>
        <v>1.185872055908052</v>
      </c>
      <c r="AV7" s="27">
        <f t="shared" ref="AV7" si="70">AU7*(1+$C$48/12)</f>
        <v>1.1908131894743355</v>
      </c>
      <c r="AW7" s="27">
        <f t="shared" ref="AW7" si="71">AV7*(1+$C$48/12)</f>
        <v>1.1957749110971452</v>
      </c>
      <c r="AX7" s="27">
        <f t="shared" ref="AX7" si="72">AW7*(1+$C$48/12)</f>
        <v>1.2007573065600499</v>
      </c>
      <c r="AY7" s="27">
        <f t="shared" ref="AY7" si="73">AX7*(1+$C$48/12)</f>
        <v>1.2057604620040501</v>
      </c>
      <c r="AZ7" s="27">
        <f t="shared" ref="AZ7" si="74">AY7*(1+$C$48/12)</f>
        <v>1.210784463929067</v>
      </c>
      <c r="BA7" s="27">
        <f t="shared" ref="BA7" si="75">AZ7*(1+$C$48/12)</f>
        <v>1.2158293991954381</v>
      </c>
      <c r="BB7" s="27">
        <f t="shared" ref="BB7" si="76">BA7*(1+$C$48/12)</f>
        <v>1.2208953550254191</v>
      </c>
      <c r="BC7" s="27">
        <f t="shared" ref="BC7" si="77">BB7*(1+$C$48/12)</f>
        <v>1.2259824190046917</v>
      </c>
      <c r="BD7" s="27">
        <f t="shared" ref="BD7" si="78">BC7*(1+$C$48/12)</f>
        <v>1.231090679083878</v>
      </c>
      <c r="BE7" s="27">
        <f t="shared" ref="BE7" si="79">BD7*(1+$C$48/12)</f>
        <v>1.2362202235800608</v>
      </c>
      <c r="BF7" s="27">
        <f t="shared" ref="BF7" si="80">BE7*(1+$C$48/12)</f>
        <v>1.241371141178311</v>
      </c>
      <c r="BG7" s="27">
        <f t="shared" ref="BG7" si="81">BF7*(1+$C$48/12)</f>
        <v>1.2465435209332207</v>
      </c>
      <c r="BH7" s="27">
        <f t="shared" ref="BH7" si="82">BG7*(1+$C$48/12)</f>
        <v>1.2517374522704425</v>
      </c>
      <c r="BI7" s="27">
        <f t="shared" ref="BI7" si="83">BH7*(1+$C$48/12)</f>
        <v>1.2569530249882359</v>
      </c>
      <c r="BJ7" s="27">
        <f t="shared" ref="BJ7" si="84">BI7*(1+$C$48/12)</f>
        <v>1.2621903292590202</v>
      </c>
      <c r="BK7" s="27">
        <f t="shared" ref="BK7" si="85">BJ7*(1+$C$48/12)</f>
        <v>1.2674494556309328</v>
      </c>
      <c r="BL7" s="27">
        <f t="shared" ref="BL7" si="86">BK7*(1+$C$48/12)</f>
        <v>1.2727304950293949</v>
      </c>
      <c r="BM7" s="27">
        <f t="shared" ref="BM7" si="87">BL7*(1+$C$48/12)</f>
        <v>1.2780335387586841</v>
      </c>
    </row>
    <row r="8" spans="2:65" x14ac:dyDescent="0.35">
      <c r="B8" s="1" t="s">
        <v>152</v>
      </c>
      <c r="C8" s="11">
        <f>C45*C9</f>
        <v>465465</v>
      </c>
      <c r="F8" s="11">
        <f t="shared" ref="F8:I8" si="88">$C$8*F6*F7*(F9/$C$9)</f>
        <v>0</v>
      </c>
      <c r="G8" s="11">
        <f t="shared" si="88"/>
        <v>23370.221874999999</v>
      </c>
      <c r="H8" s="11">
        <f t="shared" si="88"/>
        <v>23467.597799479168</v>
      </c>
      <c r="I8" s="11">
        <f t="shared" si="88"/>
        <v>70696.138370931003</v>
      </c>
      <c r="J8" s="11">
        <f>$C$8*J6*J7*(J9/$C$9)</f>
        <v>82822.489883167073</v>
      </c>
      <c r="K8" s="11">
        <f t="shared" ref="K8:BL8" si="89">$C$8*K6*K7*(K9/$C$9)</f>
        <v>83167.583591013594</v>
      </c>
      <c r="L8" s="11">
        <f t="shared" si="89"/>
        <v>83514.115189309494</v>
      </c>
      <c r="M8" s="11">
        <f t="shared" si="89"/>
        <v>143763.5840044542</v>
      </c>
      <c r="N8" s="11">
        <f t="shared" si="89"/>
        <v>144362.59893780609</v>
      </c>
      <c r="O8" s="11">
        <f t="shared" si="89"/>
        <v>217446.16465007042</v>
      </c>
      <c r="P8" s="11">
        <f t="shared" si="89"/>
        <v>169829.48137253185</v>
      </c>
      <c r="Q8" s="11">
        <f t="shared" si="89"/>
        <v>170537.10421158405</v>
      </c>
      <c r="R8" s="11">
        <f t="shared" si="89"/>
        <v>244639.53639876042</v>
      </c>
      <c r="S8" s="11">
        <f t="shared" si="89"/>
        <v>245658.86780042193</v>
      </c>
      <c r="T8" s="11">
        <f t="shared" si="89"/>
        <v>222014.20177463134</v>
      </c>
      <c r="U8" s="11">
        <f t="shared" si="89"/>
        <v>297252.3479315897</v>
      </c>
      <c r="V8" s="11">
        <f t="shared" si="89"/>
        <v>223868.1745359785</v>
      </c>
      <c r="W8" s="11">
        <f t="shared" si="89"/>
        <v>199823.07430804009</v>
      </c>
      <c r="X8" s="11">
        <f t="shared" si="89"/>
        <v>275901.5468701116</v>
      </c>
      <c r="Y8" s="11">
        <f t="shared" si="89"/>
        <v>302237.603616804</v>
      </c>
      <c r="Z8" s="11">
        <f t="shared" si="89"/>
        <v>354079.74812607525</v>
      </c>
      <c r="AA8" s="11">
        <f t="shared" si="89"/>
        <v>457142.24624134362</v>
      </c>
      <c r="AB8" s="11">
        <f t="shared" si="89"/>
        <v>178518.27995582097</v>
      </c>
      <c r="AC8" s="11">
        <f t="shared" si="89"/>
        <v>204870.97842548977</v>
      </c>
      <c r="AD8" s="11">
        <f t="shared" si="89"/>
        <v>308586.91125339398</v>
      </c>
      <c r="AE8" s="11">
        <f t="shared" si="89"/>
        <v>361518.13839199697</v>
      </c>
      <c r="AF8" s="11">
        <f t="shared" si="89"/>
        <v>311163.82625882595</v>
      </c>
      <c r="AG8" s="11">
        <f t="shared" si="89"/>
        <v>364537.06590183289</v>
      </c>
      <c r="AH8" s="11">
        <f t="shared" si="89"/>
        <v>261468.55024506466</v>
      </c>
      <c r="AI8" s="11">
        <f t="shared" si="89"/>
        <v>210046.40203020195</v>
      </c>
      <c r="AJ8" s="11">
        <f t="shared" si="89"/>
        <v>316382.39305799163</v>
      </c>
      <c r="AK8" s="11">
        <f t="shared" si="89"/>
        <v>317700.65302906663</v>
      </c>
      <c r="AL8" s="11">
        <f t="shared" si="89"/>
        <v>372195.14004169125</v>
      </c>
      <c r="AM8" s="11">
        <f t="shared" si="89"/>
        <v>480530.51116096927</v>
      </c>
      <c r="AN8" s="11">
        <f t="shared" si="89"/>
        <v>187651.6139649433</v>
      </c>
      <c r="AO8" s="11">
        <f t="shared" si="89"/>
        <v>215352.56650262541</v>
      </c>
      <c r="AP8" s="11">
        <f t="shared" si="89"/>
        <v>324374.80329457956</v>
      </c>
      <c r="AQ8" s="11">
        <f t="shared" si="89"/>
        <v>380014.09247080254</v>
      </c>
      <c r="AR8" s="11">
        <f t="shared" si="89"/>
        <v>327083.55816236936</v>
      </c>
      <c r="AS8" s="11">
        <f t="shared" si="89"/>
        <v>328446.40632137924</v>
      </c>
      <c r="AT8" s="11">
        <f t="shared" si="89"/>
        <v>274845.77751198743</v>
      </c>
      <c r="AU8" s="11">
        <f t="shared" si="89"/>
        <v>220792.77460129658</v>
      </c>
      <c r="AV8" s="11">
        <f t="shared" si="89"/>
        <v>332569.1167432029</v>
      </c>
      <c r="AW8" s="11">
        <f t="shared" si="89"/>
        <v>333954.82139629958</v>
      </c>
      <c r="AX8" s="11">
        <f t="shared" si="89"/>
        <v>391237.34978858154</v>
      </c>
      <c r="AY8" s="11">
        <f t="shared" si="89"/>
        <v>505115.36410204368</v>
      </c>
      <c r="AZ8" s="11">
        <f t="shared" si="89"/>
        <v>197252.22667596012</v>
      </c>
      <c r="BA8" s="11">
        <f t="shared" si="89"/>
        <v>226370.41251860184</v>
      </c>
      <c r="BB8" s="11">
        <f t="shared" si="89"/>
        <v>340970.43385614402</v>
      </c>
      <c r="BC8" s="11">
        <f t="shared" si="89"/>
        <v>399456.33466341317</v>
      </c>
      <c r="BD8" s="11">
        <f t="shared" si="89"/>
        <v>343817.7737638664</v>
      </c>
      <c r="BE8" s="11">
        <f t="shared" si="89"/>
        <v>345250.34782121581</v>
      </c>
      <c r="BF8" s="11">
        <f t="shared" si="89"/>
        <v>288907.4091142813</v>
      </c>
      <c r="BG8" s="11">
        <f t="shared" si="89"/>
        <v>232088.95198847263</v>
      </c>
      <c r="BH8" s="11">
        <f t="shared" si="89"/>
        <v>349583.98393263691</v>
      </c>
      <c r="BI8" s="11">
        <f t="shared" si="89"/>
        <v>351040.58386568952</v>
      </c>
      <c r="BJ8" s="11">
        <f t="shared" si="89"/>
        <v>411253.79512598488</v>
      </c>
      <c r="BK8" s="11">
        <f t="shared" si="89"/>
        <v>530958.02477872698</v>
      </c>
      <c r="BL8" s="11">
        <f t="shared" si="89"/>
        <v>207344.02495410005</v>
      </c>
      <c r="BM8" s="11">
        <f>$C$8*BM6*BM7*(BM9/$C$9)</f>
        <v>237951.95244732435</v>
      </c>
    </row>
    <row r="9" spans="2:65" x14ac:dyDescent="0.35">
      <c r="B9" s="29" t="s">
        <v>172</v>
      </c>
      <c r="C9" s="11">
        <f>2</f>
        <v>2</v>
      </c>
      <c r="F9" s="11"/>
      <c r="G9" s="11">
        <f t="shared" ref="G9:L9" si="90">1*(1+АнализЧувствительностиЧислоПарикмахеров)</f>
        <v>1</v>
      </c>
      <c r="H9" s="11">
        <f t="shared" si="90"/>
        <v>1</v>
      </c>
      <c r="I9" s="11">
        <f t="shared" si="90"/>
        <v>1</v>
      </c>
      <c r="J9" s="11">
        <f t="shared" si="90"/>
        <v>1</v>
      </c>
      <c r="K9" s="11">
        <f t="shared" si="90"/>
        <v>1</v>
      </c>
      <c r="L9" s="11">
        <f t="shared" si="90"/>
        <v>1</v>
      </c>
      <c r="M9" s="11">
        <f t="shared" ref="M9:AR9" si="91">2*(1+АнализЧувствительностиЧислоПарикмахеров)</f>
        <v>2</v>
      </c>
      <c r="N9" s="11">
        <f t="shared" si="91"/>
        <v>2</v>
      </c>
      <c r="O9" s="11">
        <f t="shared" si="91"/>
        <v>2</v>
      </c>
      <c r="P9" s="11">
        <f t="shared" si="91"/>
        <v>2</v>
      </c>
      <c r="Q9" s="11">
        <f t="shared" si="91"/>
        <v>2</v>
      </c>
      <c r="R9" s="11">
        <f t="shared" si="91"/>
        <v>2</v>
      </c>
      <c r="S9" s="11">
        <f t="shared" si="91"/>
        <v>2</v>
      </c>
      <c r="T9" s="11">
        <f t="shared" si="91"/>
        <v>2</v>
      </c>
      <c r="U9" s="11">
        <f t="shared" si="91"/>
        <v>2</v>
      </c>
      <c r="V9" s="11">
        <f t="shared" si="91"/>
        <v>2</v>
      </c>
      <c r="W9" s="11">
        <f t="shared" si="91"/>
        <v>2</v>
      </c>
      <c r="X9" s="11">
        <f t="shared" si="91"/>
        <v>2</v>
      </c>
      <c r="Y9" s="11">
        <f t="shared" si="91"/>
        <v>2</v>
      </c>
      <c r="Z9" s="11">
        <f t="shared" si="91"/>
        <v>2</v>
      </c>
      <c r="AA9" s="11">
        <f t="shared" si="91"/>
        <v>2</v>
      </c>
      <c r="AB9" s="11">
        <f t="shared" si="91"/>
        <v>2</v>
      </c>
      <c r="AC9" s="11">
        <f t="shared" si="91"/>
        <v>2</v>
      </c>
      <c r="AD9" s="11">
        <f t="shared" si="91"/>
        <v>2</v>
      </c>
      <c r="AE9" s="11">
        <f t="shared" si="91"/>
        <v>2</v>
      </c>
      <c r="AF9" s="11">
        <f t="shared" si="91"/>
        <v>2</v>
      </c>
      <c r="AG9" s="11">
        <f t="shared" si="91"/>
        <v>2</v>
      </c>
      <c r="AH9" s="11">
        <f t="shared" si="91"/>
        <v>2</v>
      </c>
      <c r="AI9" s="11">
        <f t="shared" si="91"/>
        <v>2</v>
      </c>
      <c r="AJ9" s="11">
        <f t="shared" si="91"/>
        <v>2</v>
      </c>
      <c r="AK9" s="11">
        <f t="shared" si="91"/>
        <v>2</v>
      </c>
      <c r="AL9" s="11">
        <f t="shared" si="91"/>
        <v>2</v>
      </c>
      <c r="AM9" s="11">
        <f t="shared" si="91"/>
        <v>2</v>
      </c>
      <c r="AN9" s="11">
        <f t="shared" si="91"/>
        <v>2</v>
      </c>
      <c r="AO9" s="11">
        <f t="shared" si="91"/>
        <v>2</v>
      </c>
      <c r="AP9" s="11">
        <f t="shared" si="91"/>
        <v>2</v>
      </c>
      <c r="AQ9" s="11">
        <f t="shared" si="91"/>
        <v>2</v>
      </c>
      <c r="AR9" s="11">
        <f t="shared" si="91"/>
        <v>2</v>
      </c>
      <c r="AS9" s="11">
        <f t="shared" ref="AS9:BM9" si="92">2*(1+АнализЧувствительностиЧислоПарикмахеров)</f>
        <v>2</v>
      </c>
      <c r="AT9" s="11">
        <f t="shared" si="92"/>
        <v>2</v>
      </c>
      <c r="AU9" s="11">
        <f t="shared" si="92"/>
        <v>2</v>
      </c>
      <c r="AV9" s="11">
        <f t="shared" si="92"/>
        <v>2</v>
      </c>
      <c r="AW9" s="11">
        <f t="shared" si="92"/>
        <v>2</v>
      </c>
      <c r="AX9" s="11">
        <f t="shared" si="92"/>
        <v>2</v>
      </c>
      <c r="AY9" s="11">
        <f t="shared" si="92"/>
        <v>2</v>
      </c>
      <c r="AZ9" s="11">
        <f t="shared" si="92"/>
        <v>2</v>
      </c>
      <c r="BA9" s="11">
        <f t="shared" si="92"/>
        <v>2</v>
      </c>
      <c r="BB9" s="11">
        <f t="shared" si="92"/>
        <v>2</v>
      </c>
      <c r="BC9" s="11">
        <f t="shared" si="92"/>
        <v>2</v>
      </c>
      <c r="BD9" s="11">
        <f t="shared" si="92"/>
        <v>2</v>
      </c>
      <c r="BE9" s="11">
        <f t="shared" si="92"/>
        <v>2</v>
      </c>
      <c r="BF9" s="11">
        <f t="shared" si="92"/>
        <v>2</v>
      </c>
      <c r="BG9" s="11">
        <f t="shared" si="92"/>
        <v>2</v>
      </c>
      <c r="BH9" s="11">
        <f t="shared" si="92"/>
        <v>2</v>
      </c>
      <c r="BI9" s="11">
        <f t="shared" si="92"/>
        <v>2</v>
      </c>
      <c r="BJ9" s="11">
        <f t="shared" si="92"/>
        <v>2</v>
      </c>
      <c r="BK9" s="11">
        <f t="shared" si="92"/>
        <v>2</v>
      </c>
      <c r="BL9" s="11">
        <f t="shared" si="92"/>
        <v>2</v>
      </c>
      <c r="BM9" s="11">
        <f t="shared" si="92"/>
        <v>2</v>
      </c>
    </row>
    <row r="10" spans="2:65" x14ac:dyDescent="0.35">
      <c r="B10" s="1" t="s">
        <v>153</v>
      </c>
      <c r="C10" s="11">
        <f>C46*C11</f>
        <v>577552.5</v>
      </c>
      <c r="F10" s="11">
        <f t="shared" ref="F10:I10" si="93">$C$10*F6*F7*(F11/$C$11)</f>
        <v>0</v>
      </c>
      <c r="G10" s="11">
        <f>$C$10*G6*G7*(G11/$C$11)</f>
        <v>19331.965624999997</v>
      </c>
      <c r="H10" s="11">
        <f t="shared" si="93"/>
        <v>19412.515481770832</v>
      </c>
      <c r="I10" s="11">
        <f t="shared" si="93"/>
        <v>58480.202888834639</v>
      </c>
      <c r="J10" s="11">
        <f>$C$10*J6*J7*(J11/$C$11)</f>
        <v>68511.18213435002</v>
      </c>
      <c r="K10" s="11">
        <f>$C$10*K6*K7*(K11/$C$11)</f>
        <v>68796.645393243147</v>
      </c>
      <c r="L10" s="11">
        <f t="shared" ref="L10:BM10" si="94">$C$10*L6*L7*(L11/$C$11)</f>
        <v>69083.298082381662</v>
      </c>
      <c r="M10" s="11">
        <f t="shared" si="94"/>
        <v>118921.96312752843</v>
      </c>
      <c r="N10" s="11">
        <f t="shared" si="94"/>
        <v>119417.47130722647</v>
      </c>
      <c r="O10" s="11">
        <f t="shared" si="94"/>
        <v>179872.56615650986</v>
      </c>
      <c r="P10" s="11">
        <f t="shared" si="94"/>
        <v>140483.80514168151</v>
      </c>
      <c r="Q10" s="11">
        <f t="shared" si="94"/>
        <v>141069.15432977187</v>
      </c>
      <c r="R10" s="11">
        <f t="shared" si="94"/>
        <v>202367.06067544653</v>
      </c>
      <c r="S10" s="11">
        <f t="shared" si="94"/>
        <v>304815.38514239137</v>
      </c>
      <c r="T10" s="11">
        <f t="shared" si="94"/>
        <v>275476.9043224362</v>
      </c>
      <c r="U10" s="11">
        <f t="shared" si="94"/>
        <v>368832.96634281735</v>
      </c>
      <c r="V10" s="11">
        <f t="shared" si="94"/>
        <v>277777.32777693431</v>
      </c>
      <c r="W10" s="11">
        <f t="shared" si="94"/>
        <v>247941.98516385618</v>
      </c>
      <c r="X10" s="11">
        <f t="shared" si="94"/>
        <v>342340.73055697017</v>
      </c>
      <c r="Y10" s="11">
        <f t="shared" si="94"/>
        <v>375018.70938286273</v>
      </c>
      <c r="Z10" s="11">
        <f t="shared" si="94"/>
        <v>439344.83522839547</v>
      </c>
      <c r="AA10" s="11">
        <f t="shared" si="94"/>
        <v>567225.56405380345</v>
      </c>
      <c r="AB10" s="11">
        <f t="shared" si="94"/>
        <v>221506.83485156627</v>
      </c>
      <c r="AC10" s="11">
        <f t="shared" si="94"/>
        <v>254205.46285346412</v>
      </c>
      <c r="AD10" s="11">
        <f t="shared" si="94"/>
        <v>382896.97842303035</v>
      </c>
      <c r="AE10" s="11">
        <f t="shared" si="94"/>
        <v>448574.44624975848</v>
      </c>
      <c r="AF10" s="11">
        <f t="shared" si="94"/>
        <v>386094.43409354211</v>
      </c>
      <c r="AG10" s="11">
        <f t="shared" si="94"/>
        <v>452320.35438597604</v>
      </c>
      <c r="AH10" s="11">
        <f t="shared" si="94"/>
        <v>324432.15894946497</v>
      </c>
      <c r="AI10" s="11">
        <f t="shared" si="94"/>
        <v>260627.16768940352</v>
      </c>
      <c r="AJ10" s="11">
        <f t="shared" si="94"/>
        <v>392569.67133216403</v>
      </c>
      <c r="AK10" s="11">
        <f t="shared" si="94"/>
        <v>394205.37829604809</v>
      </c>
      <c r="AL10" s="11">
        <f t="shared" si="94"/>
        <v>461822.55082321743</v>
      </c>
      <c r="AM10" s="11">
        <f t="shared" si="94"/>
        <v>596245.90043783246</v>
      </c>
      <c r="AN10" s="11">
        <f t="shared" si="94"/>
        <v>232839.54491634801</v>
      </c>
      <c r="AO10" s="11">
        <f t="shared" si="94"/>
        <v>267211.09678495175</v>
      </c>
      <c r="AP10" s="11">
        <f t="shared" si="94"/>
        <v>402486.7145323336</v>
      </c>
      <c r="AQ10" s="11">
        <f t="shared" si="94"/>
        <v>471524.36626114359</v>
      </c>
      <c r="AR10" s="11">
        <f t="shared" si="94"/>
        <v>405847.75810334145</v>
      </c>
      <c r="AS10" s="11">
        <f t="shared" si="94"/>
        <v>407538.79042877204</v>
      </c>
      <c r="AT10" s="11">
        <f t="shared" si="94"/>
        <v>341030.72393518768</v>
      </c>
      <c r="AU10" s="11">
        <f t="shared" si="94"/>
        <v>273961.3482279341</v>
      </c>
      <c r="AV10" s="11">
        <f t="shared" si="94"/>
        <v>412654.28076832567</v>
      </c>
      <c r="AW10" s="11">
        <f t="shared" si="94"/>
        <v>414373.67360486038</v>
      </c>
      <c r="AX10" s="11">
        <f t="shared" si="94"/>
        <v>485450.26900791621</v>
      </c>
      <c r="AY10" s="11">
        <f t="shared" si="94"/>
        <v>626750.97230843466</v>
      </c>
      <c r="AZ10" s="11">
        <f t="shared" si="94"/>
        <v>244752.05793618737</v>
      </c>
      <c r="BA10" s="11">
        <f t="shared" si="94"/>
        <v>280882.12363152928</v>
      </c>
      <c r="BB10" s="11">
        <f t="shared" si="94"/>
        <v>423078.69871999102</v>
      </c>
      <c r="BC10" s="11">
        <f t="shared" si="94"/>
        <v>495648.44773654506</v>
      </c>
      <c r="BD10" s="11">
        <f t="shared" si="94"/>
        <v>426611.69965895487</v>
      </c>
      <c r="BE10" s="11">
        <f t="shared" si="94"/>
        <v>428389.24840753386</v>
      </c>
      <c r="BF10" s="11">
        <f t="shared" si="94"/>
        <v>358478.50300769322</v>
      </c>
      <c r="BG10" s="11">
        <f t="shared" si="94"/>
        <v>287977.7307495136</v>
      </c>
      <c r="BH10" s="11">
        <f t="shared" si="94"/>
        <v>433766.45694145485</v>
      </c>
      <c r="BI10" s="11">
        <f t="shared" si="94"/>
        <v>435573.81717871089</v>
      </c>
      <c r="BJ10" s="11">
        <f t="shared" si="94"/>
        <v>510286.82609755918</v>
      </c>
      <c r="BK10" s="11">
        <f t="shared" si="94"/>
        <v>658816.74155095592</v>
      </c>
      <c r="BL10" s="11">
        <f t="shared" si="94"/>
        <v>257274.03773066262</v>
      </c>
      <c r="BM10" s="11">
        <f t="shared" si="94"/>
        <v>295252.58615756995</v>
      </c>
    </row>
    <row r="11" spans="2:65" x14ac:dyDescent="0.35">
      <c r="B11" s="29" t="s">
        <v>173</v>
      </c>
      <c r="C11" s="11">
        <f>3</f>
        <v>3</v>
      </c>
      <c r="F11" s="11"/>
      <c r="G11" s="11">
        <f t="shared" ref="G11:L11" si="95">1*(1+АнализЧувствительностиЧислоПарикмахеров)</f>
        <v>1</v>
      </c>
      <c r="H11" s="11">
        <f t="shared" si="95"/>
        <v>1</v>
      </c>
      <c r="I11" s="11">
        <f t="shared" si="95"/>
        <v>1</v>
      </c>
      <c r="J11" s="11">
        <f t="shared" si="95"/>
        <v>1</v>
      </c>
      <c r="K11" s="11">
        <f t="shared" si="95"/>
        <v>1</v>
      </c>
      <c r="L11" s="11">
        <f t="shared" si="95"/>
        <v>1</v>
      </c>
      <c r="M11" s="11">
        <f t="shared" ref="M11:R11" si="96">2*(1+АнализЧувствительностиЧислоПарикмахеров)</f>
        <v>2</v>
      </c>
      <c r="N11" s="11">
        <f t="shared" si="96"/>
        <v>2</v>
      </c>
      <c r="O11" s="11">
        <f t="shared" si="96"/>
        <v>2</v>
      </c>
      <c r="P11" s="11">
        <f t="shared" si="96"/>
        <v>2</v>
      </c>
      <c r="Q11" s="11">
        <f t="shared" si="96"/>
        <v>2</v>
      </c>
      <c r="R11" s="11">
        <f t="shared" si="96"/>
        <v>2</v>
      </c>
      <c r="S11" s="11">
        <f t="shared" ref="S11:BM11" si="97">3*(1+АнализЧувствительностиЧислоПарикмахеров)</f>
        <v>3</v>
      </c>
      <c r="T11" s="11">
        <f t="shared" si="97"/>
        <v>3</v>
      </c>
      <c r="U11" s="11">
        <f t="shared" si="97"/>
        <v>3</v>
      </c>
      <c r="V11" s="11">
        <f t="shared" si="97"/>
        <v>3</v>
      </c>
      <c r="W11" s="11">
        <f t="shared" si="97"/>
        <v>3</v>
      </c>
      <c r="X11" s="11">
        <f t="shared" si="97"/>
        <v>3</v>
      </c>
      <c r="Y11" s="11">
        <f t="shared" si="97"/>
        <v>3</v>
      </c>
      <c r="Z11" s="11">
        <f t="shared" si="97"/>
        <v>3</v>
      </c>
      <c r="AA11" s="11">
        <f t="shared" si="97"/>
        <v>3</v>
      </c>
      <c r="AB11" s="11">
        <f t="shared" si="97"/>
        <v>3</v>
      </c>
      <c r="AC11" s="11">
        <f t="shared" si="97"/>
        <v>3</v>
      </c>
      <c r="AD11" s="11">
        <f t="shared" si="97"/>
        <v>3</v>
      </c>
      <c r="AE11" s="11">
        <f t="shared" si="97"/>
        <v>3</v>
      </c>
      <c r="AF11" s="11">
        <f t="shared" si="97"/>
        <v>3</v>
      </c>
      <c r="AG11" s="11">
        <f t="shared" si="97"/>
        <v>3</v>
      </c>
      <c r="AH11" s="11">
        <f t="shared" si="97"/>
        <v>3</v>
      </c>
      <c r="AI11" s="11">
        <f t="shared" si="97"/>
        <v>3</v>
      </c>
      <c r="AJ11" s="11">
        <f t="shared" si="97"/>
        <v>3</v>
      </c>
      <c r="AK11" s="11">
        <f t="shared" si="97"/>
        <v>3</v>
      </c>
      <c r="AL11" s="11">
        <f t="shared" si="97"/>
        <v>3</v>
      </c>
      <c r="AM11" s="11">
        <f t="shared" si="97"/>
        <v>3</v>
      </c>
      <c r="AN11" s="11">
        <f t="shared" si="97"/>
        <v>3</v>
      </c>
      <c r="AO11" s="11">
        <f t="shared" si="97"/>
        <v>3</v>
      </c>
      <c r="AP11" s="11">
        <f t="shared" si="97"/>
        <v>3</v>
      </c>
      <c r="AQ11" s="11">
        <f t="shared" si="97"/>
        <v>3</v>
      </c>
      <c r="AR11" s="11">
        <f t="shared" si="97"/>
        <v>3</v>
      </c>
      <c r="AS11" s="11">
        <f t="shared" si="97"/>
        <v>3</v>
      </c>
      <c r="AT11" s="11">
        <f t="shared" si="97"/>
        <v>3</v>
      </c>
      <c r="AU11" s="11">
        <f t="shared" si="97"/>
        <v>3</v>
      </c>
      <c r="AV11" s="11">
        <f t="shared" si="97"/>
        <v>3</v>
      </c>
      <c r="AW11" s="11">
        <f t="shared" si="97"/>
        <v>3</v>
      </c>
      <c r="AX11" s="11">
        <f t="shared" si="97"/>
        <v>3</v>
      </c>
      <c r="AY11" s="11">
        <f t="shared" si="97"/>
        <v>3</v>
      </c>
      <c r="AZ11" s="11">
        <f t="shared" si="97"/>
        <v>3</v>
      </c>
      <c r="BA11" s="11">
        <f t="shared" si="97"/>
        <v>3</v>
      </c>
      <c r="BB11" s="11">
        <f t="shared" si="97"/>
        <v>3</v>
      </c>
      <c r="BC11" s="11">
        <f t="shared" si="97"/>
        <v>3</v>
      </c>
      <c r="BD11" s="11">
        <f t="shared" si="97"/>
        <v>3</v>
      </c>
      <c r="BE11" s="11">
        <f t="shared" si="97"/>
        <v>3</v>
      </c>
      <c r="BF11" s="11">
        <f t="shared" si="97"/>
        <v>3</v>
      </c>
      <c r="BG11" s="11">
        <f t="shared" si="97"/>
        <v>3</v>
      </c>
      <c r="BH11" s="11">
        <f t="shared" si="97"/>
        <v>3</v>
      </c>
      <c r="BI11" s="11">
        <f t="shared" si="97"/>
        <v>3</v>
      </c>
      <c r="BJ11" s="11">
        <f t="shared" si="97"/>
        <v>3</v>
      </c>
      <c r="BK11" s="11">
        <f t="shared" si="97"/>
        <v>3</v>
      </c>
      <c r="BL11" s="11">
        <f t="shared" si="97"/>
        <v>3</v>
      </c>
      <c r="BM11" s="11">
        <f t="shared" si="97"/>
        <v>3</v>
      </c>
    </row>
    <row r="12" spans="2:65" x14ac:dyDescent="0.35">
      <c r="B12" s="12" t="s">
        <v>36</v>
      </c>
      <c r="C12" s="13">
        <f>SUM(C8:C10)</f>
        <v>1043019.5</v>
      </c>
      <c r="D12" s="12"/>
      <c r="E12" s="12"/>
      <c r="F12" s="13">
        <f>F8+F10</f>
        <v>0</v>
      </c>
      <c r="G12" s="13">
        <f>G8+G10</f>
        <v>42702.1875</v>
      </c>
      <c r="H12" s="13">
        <f t="shared" ref="H12:BM12" si="98">H8+H10</f>
        <v>42880.11328125</v>
      </c>
      <c r="I12" s="13">
        <f t="shared" si="98"/>
        <v>129176.34125976564</v>
      </c>
      <c r="J12" s="13">
        <f t="shared" si="98"/>
        <v>151333.67201751709</v>
      </c>
      <c r="K12" s="13">
        <f t="shared" si="98"/>
        <v>151964.22898425674</v>
      </c>
      <c r="L12" s="13">
        <f t="shared" si="98"/>
        <v>152597.41327169116</v>
      </c>
      <c r="M12" s="13">
        <f t="shared" si="98"/>
        <v>262685.54713198263</v>
      </c>
      <c r="N12" s="13">
        <f t="shared" si="98"/>
        <v>263780.07024503255</v>
      </c>
      <c r="O12" s="13">
        <f t="shared" si="98"/>
        <v>397318.73080658028</v>
      </c>
      <c r="P12" s="13">
        <f t="shared" si="98"/>
        <v>310313.28651421337</v>
      </c>
      <c r="Q12" s="13">
        <f t="shared" si="98"/>
        <v>311606.25854135596</v>
      </c>
      <c r="R12" s="13">
        <f t="shared" si="98"/>
        <v>447006.59707420692</v>
      </c>
      <c r="S12" s="13">
        <f t="shared" si="98"/>
        <v>550474.25294281333</v>
      </c>
      <c r="T12" s="13">
        <f t="shared" si="98"/>
        <v>497491.10609706753</v>
      </c>
      <c r="U12" s="13">
        <f t="shared" si="98"/>
        <v>666085.31427440699</v>
      </c>
      <c r="V12" s="13">
        <f t="shared" si="98"/>
        <v>501645.50231291284</v>
      </c>
      <c r="W12" s="13">
        <f t="shared" si="98"/>
        <v>447765.05947189627</v>
      </c>
      <c r="X12" s="13">
        <f t="shared" si="98"/>
        <v>618242.27742708172</v>
      </c>
      <c r="Y12" s="13">
        <f t="shared" si="98"/>
        <v>677256.31299966667</v>
      </c>
      <c r="Z12" s="13">
        <f t="shared" si="98"/>
        <v>793424.58335447079</v>
      </c>
      <c r="AA12" s="13">
        <f t="shared" si="98"/>
        <v>1024367.8102951471</v>
      </c>
      <c r="AB12" s="13">
        <f t="shared" si="98"/>
        <v>400025.11480738723</v>
      </c>
      <c r="AC12" s="13">
        <f t="shared" si="98"/>
        <v>459076.44127895392</v>
      </c>
      <c r="AD12" s="13">
        <f t="shared" si="98"/>
        <v>691483.88967642433</v>
      </c>
      <c r="AE12" s="13">
        <f t="shared" si="98"/>
        <v>810092.58464175544</v>
      </c>
      <c r="AF12" s="13">
        <f t="shared" si="98"/>
        <v>697258.260352368</v>
      </c>
      <c r="AG12" s="13">
        <f t="shared" si="98"/>
        <v>816857.42028780887</v>
      </c>
      <c r="AH12" s="13">
        <f t="shared" si="98"/>
        <v>585900.70919452957</v>
      </c>
      <c r="AI12" s="13">
        <f t="shared" si="98"/>
        <v>470673.5697196055</v>
      </c>
      <c r="AJ12" s="13">
        <f t="shared" si="98"/>
        <v>708952.06439015572</v>
      </c>
      <c r="AK12" s="13">
        <f t="shared" si="98"/>
        <v>711906.03132511466</v>
      </c>
      <c r="AL12" s="13">
        <f t="shared" si="98"/>
        <v>834017.69086490874</v>
      </c>
      <c r="AM12" s="13">
        <f t="shared" si="98"/>
        <v>1076776.4115988016</v>
      </c>
      <c r="AN12" s="13">
        <f t="shared" si="98"/>
        <v>420491.15888129128</v>
      </c>
      <c r="AO12" s="13">
        <f t="shared" si="98"/>
        <v>482563.66328757716</v>
      </c>
      <c r="AP12" s="13">
        <f t="shared" si="98"/>
        <v>726861.51782691316</v>
      </c>
      <c r="AQ12" s="13">
        <f t="shared" si="98"/>
        <v>851538.45873194607</v>
      </c>
      <c r="AR12" s="13">
        <f t="shared" si="98"/>
        <v>732931.31626571086</v>
      </c>
      <c r="AS12" s="13">
        <f t="shared" si="98"/>
        <v>735985.19675015123</v>
      </c>
      <c r="AT12" s="13">
        <f t="shared" si="98"/>
        <v>615876.50144717516</v>
      </c>
      <c r="AU12" s="13">
        <f t="shared" si="98"/>
        <v>494754.12282923068</v>
      </c>
      <c r="AV12" s="13">
        <f t="shared" si="98"/>
        <v>745223.39751152857</v>
      </c>
      <c r="AW12" s="13">
        <f t="shared" si="98"/>
        <v>748328.49500115996</v>
      </c>
      <c r="AX12" s="13">
        <f t="shared" si="98"/>
        <v>876687.61879649782</v>
      </c>
      <c r="AY12" s="13">
        <f t="shared" si="98"/>
        <v>1131866.3364104782</v>
      </c>
      <c r="AZ12" s="13">
        <f t="shared" si="98"/>
        <v>442004.28461214749</v>
      </c>
      <c r="BA12" s="13">
        <f t="shared" si="98"/>
        <v>507252.53615013114</v>
      </c>
      <c r="BB12" s="13">
        <f t="shared" si="98"/>
        <v>764049.13257613499</v>
      </c>
      <c r="BC12" s="13">
        <f t="shared" si="98"/>
        <v>895104.78239995823</v>
      </c>
      <c r="BD12" s="13">
        <f t="shared" si="98"/>
        <v>770429.47342282126</v>
      </c>
      <c r="BE12" s="13">
        <f t="shared" si="98"/>
        <v>773639.59622874972</v>
      </c>
      <c r="BF12" s="13">
        <f t="shared" si="98"/>
        <v>647385.91212197451</v>
      </c>
      <c r="BG12" s="13">
        <f t="shared" si="98"/>
        <v>520066.68273798621</v>
      </c>
      <c r="BH12" s="13">
        <f t="shared" si="98"/>
        <v>783350.44087409182</v>
      </c>
      <c r="BI12" s="13">
        <f t="shared" si="98"/>
        <v>786614.40104440041</v>
      </c>
      <c r="BJ12" s="13">
        <f t="shared" si="98"/>
        <v>921540.621223544</v>
      </c>
      <c r="BK12" s="13">
        <f t="shared" si="98"/>
        <v>1189774.7663296829</v>
      </c>
      <c r="BL12" s="13">
        <f t="shared" si="98"/>
        <v>464618.06268476264</v>
      </c>
      <c r="BM12" s="13">
        <f t="shared" si="98"/>
        <v>533204.5386048943</v>
      </c>
    </row>
    <row r="14" spans="2:65" x14ac:dyDescent="0.35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2:65" x14ac:dyDescent="0.35"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65" ht="15.5" x14ac:dyDescent="0.35">
      <c r="B16" s="65" t="s">
        <v>109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ht="14.5" customHeight="1" x14ac:dyDescent="0.35">
      <c r="C17" s="79" t="s">
        <v>115</v>
      </c>
      <c r="D17" s="79"/>
      <c r="E17" s="79"/>
      <c r="F17" s="36"/>
      <c r="G17" s="35" t="s">
        <v>107</v>
      </c>
      <c r="H17" s="36"/>
      <c r="I17" s="79" t="s">
        <v>70</v>
      </c>
      <c r="J17" s="79"/>
      <c r="K17" s="79"/>
      <c r="L17" s="79" t="s">
        <v>71</v>
      </c>
      <c r="M17" s="79"/>
      <c r="N17" s="79"/>
      <c r="O17" s="36" t="s">
        <v>111</v>
      </c>
      <c r="S17" s="6"/>
      <c r="T17" s="6"/>
      <c r="U17" s="6"/>
      <c r="V17" s="6"/>
      <c r="W17" s="6"/>
      <c r="X17" s="6"/>
    </row>
    <row r="18" spans="2:24" ht="14.5" customHeight="1" x14ac:dyDescent="0.35">
      <c r="B18" s="38"/>
      <c r="C18" s="36" t="s">
        <v>72</v>
      </c>
      <c r="D18" s="34"/>
      <c r="E18" s="35" t="s">
        <v>73</v>
      </c>
      <c r="F18" s="36"/>
      <c r="G18" s="36"/>
      <c r="H18" s="36"/>
      <c r="I18" s="36" t="s">
        <v>72</v>
      </c>
      <c r="J18" s="37"/>
      <c r="K18" s="37" t="s">
        <v>73</v>
      </c>
      <c r="L18" s="36"/>
      <c r="M18" s="36"/>
      <c r="N18" s="36"/>
      <c r="O18" s="36"/>
    </row>
    <row r="19" spans="2:24" x14ac:dyDescent="0.35">
      <c r="B19" s="1" t="s">
        <v>57</v>
      </c>
      <c r="C19" s="11">
        <f>1700*(1+Анализ_чувствительности_цены)</f>
        <v>1700</v>
      </c>
      <c r="D19" s="11"/>
      <c r="E19" s="11">
        <f>1500*(1+Анализ_чувствительности_цены)</f>
        <v>1500</v>
      </c>
      <c r="F19" s="11"/>
      <c r="G19" s="6">
        <v>0.55000000000000004</v>
      </c>
      <c r="H19" s="6"/>
      <c r="I19" s="11">
        <f t="shared" ref="I19:I31" si="99">C19*G19</f>
        <v>935.00000000000011</v>
      </c>
      <c r="J19" s="11"/>
      <c r="K19" s="11">
        <f t="shared" ref="K19:K31" si="100">E19*G19</f>
        <v>825.00000000000011</v>
      </c>
      <c r="L19" s="11"/>
      <c r="M19" s="1">
        <v>60</v>
      </c>
      <c r="O19" s="1">
        <f>100*G19*M19</f>
        <v>3300.0000000000005</v>
      </c>
      <c r="P19" s="31"/>
    </row>
    <row r="20" spans="2:24" x14ac:dyDescent="0.35">
      <c r="B20" s="1" t="s">
        <v>58</v>
      </c>
      <c r="C20" s="11">
        <f>1100*(1+Анализ_чувствительности_цены)</f>
        <v>1100</v>
      </c>
      <c r="D20" s="11"/>
      <c r="E20" s="11">
        <f>800*(1+Анализ_чувствительности_цены)</f>
        <v>800</v>
      </c>
      <c r="F20" s="11"/>
      <c r="G20" s="6">
        <v>0.05</v>
      </c>
      <c r="H20" s="6"/>
      <c r="I20" s="11">
        <f t="shared" si="99"/>
        <v>55</v>
      </c>
      <c r="J20" s="11"/>
      <c r="K20" s="11">
        <f t="shared" si="100"/>
        <v>40</v>
      </c>
      <c r="L20" s="11"/>
      <c r="M20" s="1">
        <v>60</v>
      </c>
      <c r="O20" s="1">
        <f t="shared" ref="O20:O31" si="101">100*G20*M20</f>
        <v>300</v>
      </c>
      <c r="P20" s="31"/>
    </row>
    <row r="21" spans="2:24" x14ac:dyDescent="0.35">
      <c r="B21" s="1" t="s">
        <v>59</v>
      </c>
      <c r="C21" s="11">
        <f>550*(1+Анализ_чувствительности_цены)</f>
        <v>550</v>
      </c>
      <c r="D21" s="11"/>
      <c r="E21" s="11">
        <f>450*(1+Анализ_чувствительности_цены)</f>
        <v>450</v>
      </c>
      <c r="F21" s="11"/>
      <c r="G21" s="6">
        <v>0.03</v>
      </c>
      <c r="H21" s="6"/>
      <c r="I21" s="11">
        <f t="shared" si="99"/>
        <v>16.5</v>
      </c>
      <c r="J21" s="11"/>
      <c r="K21" s="11">
        <f t="shared" si="100"/>
        <v>13.5</v>
      </c>
      <c r="L21" s="11"/>
      <c r="M21" s="1">
        <v>40</v>
      </c>
      <c r="O21" s="1">
        <f t="shared" si="101"/>
        <v>120</v>
      </c>
      <c r="P21" s="31"/>
    </row>
    <row r="22" spans="2:24" x14ac:dyDescent="0.35">
      <c r="B22" s="1" t="s">
        <v>69</v>
      </c>
      <c r="C22" s="11">
        <f>500*(1+Анализ_чувствительности_цены)</f>
        <v>500</v>
      </c>
      <c r="D22" s="11"/>
      <c r="E22" s="11">
        <f>400*(1+Анализ_чувствительности_цены)</f>
        <v>400</v>
      </c>
      <c r="F22" s="11"/>
      <c r="G22" s="6">
        <v>0.02</v>
      </c>
      <c r="H22" s="6"/>
      <c r="I22" s="11">
        <f t="shared" si="99"/>
        <v>10</v>
      </c>
      <c r="J22" s="11"/>
      <c r="K22" s="11">
        <f t="shared" si="100"/>
        <v>8</v>
      </c>
      <c r="L22" s="11"/>
      <c r="M22" s="1">
        <v>30</v>
      </c>
      <c r="O22" s="1">
        <f t="shared" si="101"/>
        <v>60</v>
      </c>
      <c r="P22" s="31"/>
    </row>
    <row r="23" spans="2:24" x14ac:dyDescent="0.35">
      <c r="B23" s="1" t="s">
        <v>60</v>
      </c>
      <c r="C23" s="11">
        <f>2500*(1+Анализ_чувствительности_цены)</f>
        <v>2500</v>
      </c>
      <c r="D23" s="11"/>
      <c r="E23" s="11">
        <f>1900*(1+Анализ_чувствительности_цены)</f>
        <v>1900</v>
      </c>
      <c r="F23" s="11"/>
      <c r="G23" s="6">
        <v>0.06</v>
      </c>
      <c r="H23" s="6"/>
      <c r="I23" s="11">
        <f t="shared" si="99"/>
        <v>150</v>
      </c>
      <c r="J23" s="11"/>
      <c r="K23" s="11">
        <f t="shared" si="100"/>
        <v>114</v>
      </c>
      <c r="L23" s="11"/>
      <c r="M23" s="1">
        <v>60</v>
      </c>
      <c r="O23" s="1">
        <f t="shared" si="101"/>
        <v>360</v>
      </c>
      <c r="P23" s="31"/>
    </row>
    <row r="24" spans="2:24" x14ac:dyDescent="0.35">
      <c r="B24" s="1" t="s">
        <v>61</v>
      </c>
      <c r="C24" s="11">
        <f>2700*(1+Анализ_чувствительности_цены)</f>
        <v>2700</v>
      </c>
      <c r="D24" s="11"/>
      <c r="E24" s="11">
        <f>2100*(1+Анализ_чувствительности_цены)</f>
        <v>2100</v>
      </c>
      <c r="F24" s="11"/>
      <c r="G24" s="6">
        <v>0.05</v>
      </c>
      <c r="H24" s="6"/>
      <c r="I24" s="11">
        <f t="shared" si="99"/>
        <v>135</v>
      </c>
      <c r="J24" s="11"/>
      <c r="K24" s="11">
        <f t="shared" si="100"/>
        <v>105</v>
      </c>
      <c r="L24" s="11"/>
      <c r="M24" s="1">
        <v>120</v>
      </c>
      <c r="O24" s="1">
        <f t="shared" si="101"/>
        <v>600</v>
      </c>
      <c r="P24" s="31"/>
    </row>
    <row r="25" spans="2:24" x14ac:dyDescent="0.35">
      <c r="B25" s="1" t="s">
        <v>62</v>
      </c>
      <c r="C25" s="11">
        <f>3000*(1+Анализ_чувствительности_цены)</f>
        <v>3000</v>
      </c>
      <c r="D25" s="11"/>
      <c r="E25" s="11">
        <f>2500*(1+Анализ_чувствительности_цены)</f>
        <v>2500</v>
      </c>
      <c r="F25" s="11"/>
      <c r="G25" s="6">
        <v>0.05</v>
      </c>
      <c r="H25" s="6"/>
      <c r="I25" s="11">
        <f t="shared" si="99"/>
        <v>150</v>
      </c>
      <c r="J25" s="11"/>
      <c r="K25" s="11">
        <f t="shared" si="100"/>
        <v>125</v>
      </c>
      <c r="L25" s="11"/>
      <c r="M25" s="1">
        <v>120</v>
      </c>
      <c r="O25" s="1">
        <f t="shared" si="101"/>
        <v>600</v>
      </c>
      <c r="P25" s="31"/>
    </row>
    <row r="26" spans="2:24" x14ac:dyDescent="0.35">
      <c r="B26" s="1" t="s">
        <v>63</v>
      </c>
      <c r="C26" s="11">
        <f>3500*(1+Анализ_чувствительности_цены)</f>
        <v>3500</v>
      </c>
      <c r="D26" s="11"/>
      <c r="E26" s="11">
        <f>2900*(1+Анализ_чувствительности_цены)</f>
        <v>2900</v>
      </c>
      <c r="F26" s="11"/>
      <c r="G26" s="6">
        <v>0.04</v>
      </c>
      <c r="H26" s="6"/>
      <c r="I26" s="11">
        <f t="shared" si="99"/>
        <v>140</v>
      </c>
      <c r="J26" s="11"/>
      <c r="K26" s="11">
        <f t="shared" si="100"/>
        <v>116</v>
      </c>
      <c r="L26" s="11"/>
      <c r="M26" s="1">
        <v>120</v>
      </c>
      <c r="O26" s="1">
        <f t="shared" si="101"/>
        <v>480</v>
      </c>
      <c r="P26" s="31"/>
    </row>
    <row r="27" spans="2:24" x14ac:dyDescent="0.35">
      <c r="B27" s="1" t="s">
        <v>65</v>
      </c>
      <c r="C27" s="11">
        <f>4900*(1+Анализ_чувствительности_цены)</f>
        <v>4900</v>
      </c>
      <c r="D27" s="11"/>
      <c r="E27" s="11">
        <f>3700*(1+Анализ_чувствительности_цены)</f>
        <v>3700</v>
      </c>
      <c r="F27" s="11"/>
      <c r="G27" s="6">
        <v>0.02</v>
      </c>
      <c r="H27" s="6"/>
      <c r="I27" s="11">
        <f t="shared" si="99"/>
        <v>98</v>
      </c>
      <c r="J27" s="11"/>
      <c r="K27" s="11">
        <f t="shared" si="100"/>
        <v>74</v>
      </c>
      <c r="L27" s="11"/>
      <c r="M27" s="1">
        <v>120</v>
      </c>
      <c r="O27" s="1">
        <f t="shared" si="101"/>
        <v>240</v>
      </c>
      <c r="P27" s="31"/>
    </row>
    <row r="28" spans="2:24" x14ac:dyDescent="0.35">
      <c r="B28" s="1" t="s">
        <v>66</v>
      </c>
      <c r="C28" s="11">
        <f>5400*(1+Анализ_чувствительности_цены)</f>
        <v>5400</v>
      </c>
      <c r="D28" s="11"/>
      <c r="E28" s="11">
        <f>4100*(1+Анализ_чувствительности_цены)</f>
        <v>4100</v>
      </c>
      <c r="F28" s="11"/>
      <c r="G28" s="6">
        <v>0.03</v>
      </c>
      <c r="H28" s="6"/>
      <c r="I28" s="11">
        <f t="shared" si="99"/>
        <v>162</v>
      </c>
      <c r="J28" s="11"/>
      <c r="K28" s="11">
        <f t="shared" si="100"/>
        <v>123</v>
      </c>
      <c r="L28" s="11"/>
      <c r="M28" s="1">
        <v>150</v>
      </c>
      <c r="O28" s="1">
        <f t="shared" si="101"/>
        <v>450</v>
      </c>
      <c r="P28" s="31"/>
    </row>
    <row r="29" spans="2:24" x14ac:dyDescent="0.35">
      <c r="B29" s="1" t="s">
        <v>67</v>
      </c>
      <c r="C29" s="11">
        <f>5900*(1+Анализ_чувствительности_цены)</f>
        <v>5900</v>
      </c>
      <c r="D29" s="11"/>
      <c r="E29" s="11">
        <f>4700*(1+Анализ_чувствительности_цены)</f>
        <v>4700</v>
      </c>
      <c r="F29" s="11"/>
      <c r="G29" s="6">
        <v>0.04</v>
      </c>
      <c r="H29" s="6"/>
      <c r="I29" s="11">
        <f t="shared" si="99"/>
        <v>236</v>
      </c>
      <c r="J29" s="11"/>
      <c r="K29" s="11">
        <f t="shared" si="100"/>
        <v>188</v>
      </c>
      <c r="L29" s="11"/>
      <c r="M29" s="1">
        <v>180</v>
      </c>
      <c r="O29" s="1">
        <f t="shared" si="101"/>
        <v>720</v>
      </c>
      <c r="P29" s="31"/>
    </row>
    <row r="30" spans="2:24" x14ac:dyDescent="0.35">
      <c r="B30" s="1" t="s">
        <v>64</v>
      </c>
      <c r="C30" s="11">
        <f>3300*(1+Анализ_чувствительности_цены)</f>
        <v>3300</v>
      </c>
      <c r="D30" s="11"/>
      <c r="E30" s="11">
        <f>2700*(1+Анализ_чувствительности_цены)</f>
        <v>2700</v>
      </c>
      <c r="F30" s="11"/>
      <c r="G30" s="6">
        <v>0.03</v>
      </c>
      <c r="H30" s="6"/>
      <c r="I30" s="11">
        <f t="shared" si="99"/>
        <v>99</v>
      </c>
      <c r="J30" s="11"/>
      <c r="K30" s="11">
        <f t="shared" si="100"/>
        <v>81</v>
      </c>
      <c r="L30" s="11"/>
      <c r="M30" s="1">
        <v>90</v>
      </c>
      <c r="O30" s="1">
        <f t="shared" si="101"/>
        <v>270</v>
      </c>
      <c r="P30" s="31"/>
      <c r="Q30" s="31"/>
    </row>
    <row r="31" spans="2:24" x14ac:dyDescent="0.35">
      <c r="B31" s="1" t="s">
        <v>68</v>
      </c>
      <c r="C31" s="11">
        <f>1000*(1+Анализ_чувствительности_цены)</f>
        <v>1000</v>
      </c>
      <c r="D31" s="11"/>
      <c r="E31" s="11">
        <f>700*(1+Анализ_чувствительности_цены)</f>
        <v>700</v>
      </c>
      <c r="F31" s="11"/>
      <c r="G31" s="6">
        <v>0.03</v>
      </c>
      <c r="H31" s="6"/>
      <c r="I31" s="11">
        <f t="shared" si="99"/>
        <v>30</v>
      </c>
      <c r="J31" s="11"/>
      <c r="K31" s="11">
        <f t="shared" si="100"/>
        <v>21</v>
      </c>
      <c r="L31" s="11"/>
      <c r="M31" s="1">
        <v>30</v>
      </c>
      <c r="O31" s="1">
        <f t="shared" si="101"/>
        <v>90</v>
      </c>
      <c r="P31" s="31"/>
      <c r="Q31" s="31"/>
    </row>
    <row r="32" spans="2:24" x14ac:dyDescent="0.35">
      <c r="G32" s="6">
        <f>SUM(G19:G31)</f>
        <v>1.0000000000000004</v>
      </c>
      <c r="H32" s="6"/>
      <c r="I32" s="18">
        <f>SUM(I19:I31)</f>
        <v>2216.5</v>
      </c>
      <c r="K32" s="18">
        <f>SUM(K19:K31)</f>
        <v>1833.5</v>
      </c>
      <c r="O32" s="1">
        <f>SUM(O19:O31)</f>
        <v>7590</v>
      </c>
      <c r="Q32" s="31"/>
    </row>
    <row r="35" spans="2:3" x14ac:dyDescent="0.35">
      <c r="B35" s="1" t="s">
        <v>136</v>
      </c>
    </row>
    <row r="36" spans="2:3" x14ac:dyDescent="0.35">
      <c r="B36" s="1" t="s">
        <v>74</v>
      </c>
      <c r="C36" s="23">
        <v>11</v>
      </c>
    </row>
    <row r="37" spans="2:3" x14ac:dyDescent="0.35">
      <c r="B37" s="1" t="s">
        <v>75</v>
      </c>
      <c r="C37" s="23">
        <v>21</v>
      </c>
    </row>
    <row r="38" spans="2:3" x14ac:dyDescent="0.35">
      <c r="B38" s="1" t="s">
        <v>116</v>
      </c>
      <c r="C38" s="11">
        <v>1</v>
      </c>
    </row>
    <row r="40" spans="2:3" x14ac:dyDescent="0.35">
      <c r="B40" s="1" t="s">
        <v>112</v>
      </c>
      <c r="C40" s="11">
        <f>O32/100</f>
        <v>75.900000000000006</v>
      </c>
    </row>
    <row r="41" spans="2:3" x14ac:dyDescent="0.35">
      <c r="B41" s="1" t="s">
        <v>108</v>
      </c>
      <c r="C41" s="11">
        <f>ROUNDDOWN((C37-C36-C38)*60/C40,0)</f>
        <v>7</v>
      </c>
    </row>
    <row r="42" spans="2:3" x14ac:dyDescent="0.35">
      <c r="B42" s="1" t="s">
        <v>101</v>
      </c>
      <c r="C42" s="11">
        <f>C41*I32</f>
        <v>15515.5</v>
      </c>
    </row>
    <row r="43" spans="2:3" x14ac:dyDescent="0.35">
      <c r="B43" s="1" t="s">
        <v>102</v>
      </c>
      <c r="C43" s="11">
        <f>C41*K32</f>
        <v>12834.5</v>
      </c>
    </row>
    <row r="45" spans="2:3" x14ac:dyDescent="0.35">
      <c r="B45" s="1" t="s">
        <v>103</v>
      </c>
      <c r="C45" s="18">
        <f>C42*15</f>
        <v>232732.5</v>
      </c>
    </row>
    <row r="46" spans="2:3" x14ac:dyDescent="0.35">
      <c r="B46" s="1" t="s">
        <v>104</v>
      </c>
      <c r="C46" s="18">
        <f>C43*15</f>
        <v>192517.5</v>
      </c>
    </row>
    <row r="48" spans="2:3" x14ac:dyDescent="0.35">
      <c r="B48" s="1" t="s">
        <v>86</v>
      </c>
      <c r="C48" s="4">
        <v>0.05</v>
      </c>
    </row>
  </sheetData>
  <mergeCells count="3">
    <mergeCell ref="L17:N17"/>
    <mergeCell ref="C17:E17"/>
    <mergeCell ref="I17:K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M26"/>
  <sheetViews>
    <sheetView showGridLines="0" workbookViewId="0">
      <selection activeCell="D25" sqref="D25"/>
    </sheetView>
  </sheetViews>
  <sheetFormatPr defaultRowHeight="14.5" x14ac:dyDescent="0.35"/>
  <cols>
    <col min="1" max="1" width="3.6328125" style="1" customWidth="1"/>
    <col min="2" max="2" width="43.1796875" style="1" bestFit="1" customWidth="1"/>
    <col min="3" max="3" width="10.36328125" style="1" customWidth="1"/>
    <col min="4" max="4" width="12" style="1" bestFit="1" customWidth="1"/>
    <col min="5" max="5" width="10.36328125" style="1" bestFit="1" customWidth="1"/>
    <col min="6" max="65" width="10.6328125" style="1" customWidth="1"/>
    <col min="66" max="16384" width="8.7265625" style="1"/>
  </cols>
  <sheetData>
    <row r="2" spans="2:65" x14ac:dyDescent="0.35">
      <c r="B2" s="80" t="s">
        <v>113</v>
      </c>
      <c r="D2" s="20" t="s">
        <v>184</v>
      </c>
      <c r="F2" s="2">
        <f>Старт</f>
        <v>44621</v>
      </c>
      <c r="G2" s="2">
        <f>EDATE(F2,1)</f>
        <v>44652</v>
      </c>
      <c r="H2" s="2">
        <f t="shared" ref="H2:L2" si="0">EDATE(G2,1)</f>
        <v>44682</v>
      </c>
      <c r="I2" s="2">
        <f t="shared" si="0"/>
        <v>44713</v>
      </c>
      <c r="J2" s="2">
        <f t="shared" si="0"/>
        <v>44743</v>
      </c>
      <c r="K2" s="2">
        <f t="shared" si="0"/>
        <v>44774</v>
      </c>
      <c r="L2" s="2">
        <f t="shared" si="0"/>
        <v>44805</v>
      </c>
      <c r="M2" s="2">
        <f t="shared" ref="M2:Q2" si="1">EDATE(L2,1)</f>
        <v>44835</v>
      </c>
      <c r="N2" s="2">
        <f t="shared" si="1"/>
        <v>44866</v>
      </c>
      <c r="O2" s="2">
        <f t="shared" si="1"/>
        <v>44896</v>
      </c>
      <c r="P2" s="2">
        <f t="shared" si="1"/>
        <v>44927</v>
      </c>
      <c r="Q2" s="2">
        <f t="shared" si="1"/>
        <v>44958</v>
      </c>
      <c r="R2" s="2">
        <f t="shared" ref="R2:AO2" si="2">EDATE(Q2,1)</f>
        <v>44986</v>
      </c>
      <c r="S2" s="2">
        <f t="shared" si="2"/>
        <v>45017</v>
      </c>
      <c r="T2" s="2">
        <f t="shared" si="2"/>
        <v>45047</v>
      </c>
      <c r="U2" s="2">
        <f t="shared" si="2"/>
        <v>45078</v>
      </c>
      <c r="V2" s="2">
        <f t="shared" si="2"/>
        <v>45108</v>
      </c>
      <c r="W2" s="2">
        <f t="shared" si="2"/>
        <v>45139</v>
      </c>
      <c r="X2" s="2">
        <f t="shared" si="2"/>
        <v>45170</v>
      </c>
      <c r="Y2" s="2">
        <f t="shared" si="2"/>
        <v>45200</v>
      </c>
      <c r="Z2" s="2">
        <f t="shared" si="2"/>
        <v>45231</v>
      </c>
      <c r="AA2" s="2">
        <f t="shared" si="2"/>
        <v>45261</v>
      </c>
      <c r="AB2" s="2">
        <f t="shared" si="2"/>
        <v>45292</v>
      </c>
      <c r="AC2" s="2">
        <f t="shared" si="2"/>
        <v>45323</v>
      </c>
      <c r="AD2" s="2">
        <f t="shared" si="2"/>
        <v>45352</v>
      </c>
      <c r="AE2" s="2">
        <f t="shared" si="2"/>
        <v>45383</v>
      </c>
      <c r="AF2" s="2">
        <f t="shared" si="2"/>
        <v>45413</v>
      </c>
      <c r="AG2" s="2">
        <f t="shared" si="2"/>
        <v>45444</v>
      </c>
      <c r="AH2" s="2">
        <f t="shared" si="2"/>
        <v>45474</v>
      </c>
      <c r="AI2" s="2">
        <f t="shared" si="2"/>
        <v>45505</v>
      </c>
      <c r="AJ2" s="2">
        <f t="shared" si="2"/>
        <v>45536</v>
      </c>
      <c r="AK2" s="2">
        <f t="shared" si="2"/>
        <v>45566</v>
      </c>
      <c r="AL2" s="2">
        <f t="shared" si="2"/>
        <v>45597</v>
      </c>
      <c r="AM2" s="2">
        <f t="shared" si="2"/>
        <v>45627</v>
      </c>
      <c r="AN2" s="2">
        <f t="shared" si="2"/>
        <v>45658</v>
      </c>
      <c r="AO2" s="2">
        <f t="shared" si="2"/>
        <v>45689</v>
      </c>
      <c r="AP2" s="2">
        <f t="shared" ref="AP2" si="3">EDATE(AO2,1)</f>
        <v>45717</v>
      </c>
      <c r="AQ2" s="2">
        <f t="shared" ref="AQ2" si="4">EDATE(AP2,1)</f>
        <v>45748</v>
      </c>
      <c r="AR2" s="2">
        <f t="shared" ref="AR2" si="5">EDATE(AQ2,1)</f>
        <v>45778</v>
      </c>
      <c r="AS2" s="2">
        <f t="shared" ref="AS2" si="6">EDATE(AR2,1)</f>
        <v>45809</v>
      </c>
      <c r="AT2" s="2">
        <f t="shared" ref="AT2" si="7">EDATE(AS2,1)</f>
        <v>45839</v>
      </c>
      <c r="AU2" s="2">
        <f t="shared" ref="AU2" si="8">EDATE(AT2,1)</f>
        <v>45870</v>
      </c>
      <c r="AV2" s="2">
        <f t="shared" ref="AV2" si="9">EDATE(AU2,1)</f>
        <v>45901</v>
      </c>
      <c r="AW2" s="2">
        <f t="shared" ref="AW2" si="10">EDATE(AV2,1)</f>
        <v>45931</v>
      </c>
      <c r="AX2" s="2">
        <f t="shared" ref="AX2" si="11">EDATE(AW2,1)</f>
        <v>45962</v>
      </c>
      <c r="AY2" s="2">
        <f t="shared" ref="AY2" si="12">EDATE(AX2,1)</f>
        <v>45992</v>
      </c>
      <c r="AZ2" s="2">
        <f t="shared" ref="AZ2" si="13">EDATE(AY2,1)</f>
        <v>46023</v>
      </c>
      <c r="BA2" s="2">
        <f t="shared" ref="BA2" si="14">EDATE(AZ2,1)</f>
        <v>46054</v>
      </c>
      <c r="BB2" s="2">
        <f t="shared" ref="BB2" si="15">EDATE(BA2,1)</f>
        <v>46082</v>
      </c>
      <c r="BC2" s="2">
        <f t="shared" ref="BC2" si="16">EDATE(BB2,1)</f>
        <v>46113</v>
      </c>
      <c r="BD2" s="2">
        <f t="shared" ref="BD2" si="17">EDATE(BC2,1)</f>
        <v>46143</v>
      </c>
      <c r="BE2" s="2">
        <f t="shared" ref="BE2" si="18">EDATE(BD2,1)</f>
        <v>46174</v>
      </c>
      <c r="BF2" s="2">
        <f t="shared" ref="BF2" si="19">EDATE(BE2,1)</f>
        <v>46204</v>
      </c>
      <c r="BG2" s="2">
        <f t="shared" ref="BG2" si="20">EDATE(BF2,1)</f>
        <v>46235</v>
      </c>
      <c r="BH2" s="2">
        <f t="shared" ref="BH2" si="21">EDATE(BG2,1)</f>
        <v>46266</v>
      </c>
      <c r="BI2" s="2">
        <f t="shared" ref="BI2" si="22">EDATE(BH2,1)</f>
        <v>46296</v>
      </c>
      <c r="BJ2" s="2">
        <f t="shared" ref="BJ2" si="23">EDATE(BI2,1)</f>
        <v>46327</v>
      </c>
      <c r="BK2" s="2">
        <f t="shared" ref="BK2" si="24">EDATE(BJ2,1)</f>
        <v>46357</v>
      </c>
      <c r="BL2" s="2">
        <f t="shared" ref="BL2" si="25">EDATE(BK2,1)</f>
        <v>46388</v>
      </c>
      <c r="BM2" s="2">
        <f t="shared" ref="BM2" si="26">EDATE(BL2,1)</f>
        <v>46419</v>
      </c>
    </row>
    <row r="3" spans="2:65" x14ac:dyDescent="0.35">
      <c r="B3" s="80"/>
      <c r="C3" s="20" t="s">
        <v>176</v>
      </c>
      <c r="D3" s="20" t="s">
        <v>163</v>
      </c>
      <c r="E3" s="20" t="s">
        <v>36</v>
      </c>
      <c r="F3" s="2">
        <f>EDATE(F2,1)-1</f>
        <v>44651</v>
      </c>
      <c r="G3" s="2">
        <f t="shared" ref="G3:L3" si="27">EDATE(G2,1)-1</f>
        <v>44681</v>
      </c>
      <c r="H3" s="2">
        <f t="shared" si="27"/>
        <v>44712</v>
      </c>
      <c r="I3" s="2">
        <f t="shared" si="27"/>
        <v>44742</v>
      </c>
      <c r="J3" s="2">
        <f t="shared" si="27"/>
        <v>44773</v>
      </c>
      <c r="K3" s="2">
        <f t="shared" si="27"/>
        <v>44804</v>
      </c>
      <c r="L3" s="2">
        <f t="shared" si="27"/>
        <v>44834</v>
      </c>
      <c r="M3" s="2">
        <f t="shared" ref="M3" si="28">EDATE(M2,1)-1</f>
        <v>44865</v>
      </c>
      <c r="N3" s="2">
        <f t="shared" ref="N3" si="29">EDATE(N2,1)-1</f>
        <v>44895</v>
      </c>
      <c r="O3" s="2">
        <f t="shared" ref="O3" si="30">EDATE(O2,1)-1</f>
        <v>44926</v>
      </c>
      <c r="P3" s="2">
        <f t="shared" ref="P3" si="31">EDATE(P2,1)-1</f>
        <v>44957</v>
      </c>
      <c r="Q3" s="2">
        <f t="shared" ref="Q3" si="32">EDATE(Q2,1)-1</f>
        <v>44985</v>
      </c>
      <c r="R3" s="2">
        <f t="shared" ref="R3" si="33">EDATE(R2,1)-1</f>
        <v>45016</v>
      </c>
      <c r="S3" s="2">
        <f t="shared" ref="S3" si="34">EDATE(S2,1)-1</f>
        <v>45046</v>
      </c>
      <c r="T3" s="2">
        <f t="shared" ref="T3" si="35">EDATE(T2,1)-1</f>
        <v>45077</v>
      </c>
      <c r="U3" s="2">
        <f t="shared" ref="U3" si="36">EDATE(U2,1)-1</f>
        <v>45107</v>
      </c>
      <c r="V3" s="2">
        <f t="shared" ref="V3" si="37">EDATE(V2,1)-1</f>
        <v>45138</v>
      </c>
      <c r="W3" s="2">
        <f t="shared" ref="W3" si="38">EDATE(W2,1)-1</f>
        <v>45169</v>
      </c>
      <c r="X3" s="2">
        <f t="shared" ref="X3" si="39">EDATE(X2,1)-1</f>
        <v>45199</v>
      </c>
      <c r="Y3" s="2">
        <f t="shared" ref="Y3" si="40">EDATE(Y2,1)-1</f>
        <v>45230</v>
      </c>
      <c r="Z3" s="2">
        <f t="shared" ref="Z3" si="41">EDATE(Z2,1)-1</f>
        <v>45260</v>
      </c>
      <c r="AA3" s="2">
        <f t="shared" ref="AA3" si="42">EDATE(AA2,1)-1</f>
        <v>45291</v>
      </c>
      <c r="AB3" s="2">
        <f t="shared" ref="AB3" si="43">EDATE(AB2,1)-1</f>
        <v>45322</v>
      </c>
      <c r="AC3" s="2">
        <f t="shared" ref="AC3" si="44">EDATE(AC2,1)-1</f>
        <v>45351</v>
      </c>
      <c r="AD3" s="2">
        <f t="shared" ref="AD3" si="45">EDATE(AD2,1)-1</f>
        <v>45382</v>
      </c>
      <c r="AE3" s="2">
        <f t="shared" ref="AE3" si="46">EDATE(AE2,1)-1</f>
        <v>45412</v>
      </c>
      <c r="AF3" s="2">
        <f t="shared" ref="AF3" si="47">EDATE(AF2,1)-1</f>
        <v>45443</v>
      </c>
      <c r="AG3" s="2">
        <f t="shared" ref="AG3" si="48">EDATE(AG2,1)-1</f>
        <v>45473</v>
      </c>
      <c r="AH3" s="2">
        <f t="shared" ref="AH3" si="49">EDATE(AH2,1)-1</f>
        <v>45504</v>
      </c>
      <c r="AI3" s="2">
        <f t="shared" ref="AI3" si="50">EDATE(AI2,1)-1</f>
        <v>45535</v>
      </c>
      <c r="AJ3" s="2">
        <f t="shared" ref="AJ3" si="51">EDATE(AJ2,1)-1</f>
        <v>45565</v>
      </c>
      <c r="AK3" s="2">
        <f t="shared" ref="AK3" si="52">EDATE(AK2,1)-1</f>
        <v>45596</v>
      </c>
      <c r="AL3" s="2">
        <f t="shared" ref="AL3" si="53">EDATE(AL2,1)-1</f>
        <v>45626</v>
      </c>
      <c r="AM3" s="2">
        <f t="shared" ref="AM3" si="54">EDATE(AM2,1)-1</f>
        <v>45657</v>
      </c>
      <c r="AN3" s="2">
        <f t="shared" ref="AN3" si="55">EDATE(AN2,1)-1</f>
        <v>45688</v>
      </c>
      <c r="AO3" s="2">
        <f t="shared" ref="AO3:BI3" si="56">EDATE(AO2,1)-1</f>
        <v>45716</v>
      </c>
      <c r="AP3" s="2">
        <f t="shared" si="56"/>
        <v>45747</v>
      </c>
      <c r="AQ3" s="2">
        <f t="shared" si="56"/>
        <v>45777</v>
      </c>
      <c r="AR3" s="2">
        <f t="shared" si="56"/>
        <v>45808</v>
      </c>
      <c r="AS3" s="2">
        <f t="shared" si="56"/>
        <v>45838</v>
      </c>
      <c r="AT3" s="2">
        <f t="shared" si="56"/>
        <v>45869</v>
      </c>
      <c r="AU3" s="2">
        <f t="shared" si="56"/>
        <v>45900</v>
      </c>
      <c r="AV3" s="2">
        <f t="shared" si="56"/>
        <v>45930</v>
      </c>
      <c r="AW3" s="2">
        <f t="shared" si="56"/>
        <v>45961</v>
      </c>
      <c r="AX3" s="2">
        <f t="shared" si="56"/>
        <v>45991</v>
      </c>
      <c r="AY3" s="2">
        <f t="shared" si="56"/>
        <v>46022</v>
      </c>
      <c r="AZ3" s="2">
        <f t="shared" si="56"/>
        <v>46053</v>
      </c>
      <c r="BA3" s="2">
        <f t="shared" si="56"/>
        <v>46081</v>
      </c>
      <c r="BB3" s="2">
        <f t="shared" si="56"/>
        <v>46112</v>
      </c>
      <c r="BC3" s="2">
        <f t="shared" si="56"/>
        <v>46142</v>
      </c>
      <c r="BD3" s="2">
        <f t="shared" si="56"/>
        <v>46173</v>
      </c>
      <c r="BE3" s="2">
        <f t="shared" si="56"/>
        <v>46203</v>
      </c>
      <c r="BF3" s="2">
        <f t="shared" si="56"/>
        <v>46234</v>
      </c>
      <c r="BG3" s="2">
        <f t="shared" si="56"/>
        <v>46265</v>
      </c>
      <c r="BH3" s="2">
        <f t="shared" si="56"/>
        <v>46295</v>
      </c>
      <c r="BI3" s="2">
        <f t="shared" si="56"/>
        <v>46326</v>
      </c>
      <c r="BJ3" s="2">
        <f t="shared" ref="BJ3:BM3" si="57">EDATE(BJ2,1)-1</f>
        <v>46356</v>
      </c>
      <c r="BK3" s="2">
        <f t="shared" si="57"/>
        <v>46387</v>
      </c>
      <c r="BL3" s="2">
        <f t="shared" si="57"/>
        <v>46418</v>
      </c>
      <c r="BM3" s="2">
        <f t="shared" si="57"/>
        <v>46446</v>
      </c>
    </row>
    <row r="4" spans="2:65" x14ac:dyDescent="0.35">
      <c r="C4" s="20" t="s">
        <v>163</v>
      </c>
      <c r="D4" s="1" t="s">
        <v>185</v>
      </c>
      <c r="E4" s="20" t="s">
        <v>164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2:65" s="30" customFormat="1" x14ac:dyDescent="0.35">
      <c r="B5" s="1" t="s">
        <v>88</v>
      </c>
      <c r="F5" s="30">
        <f>1</f>
        <v>1</v>
      </c>
      <c r="G5" s="30">
        <f>F5*(1+4%/12)</f>
        <v>1.0033333333333334</v>
      </c>
      <c r="H5" s="30">
        <f t="shared" ref="H5:AO5" si="58">G5*(1+4%/12)</f>
        <v>1.006677777777778</v>
      </c>
      <c r="I5" s="30">
        <f t="shared" si="58"/>
        <v>1.0100333703703708</v>
      </c>
      <c r="J5" s="30">
        <f t="shared" si="58"/>
        <v>1.0134001482716055</v>
      </c>
      <c r="K5" s="30">
        <f t="shared" si="58"/>
        <v>1.0167781487658443</v>
      </c>
      <c r="L5" s="30">
        <f t="shared" si="58"/>
        <v>1.0201674092617306</v>
      </c>
      <c r="M5" s="30">
        <f t="shared" si="58"/>
        <v>1.023567967292603</v>
      </c>
      <c r="N5" s="30">
        <f t="shared" si="58"/>
        <v>1.0269798605169118</v>
      </c>
      <c r="O5" s="30">
        <f t="shared" si="58"/>
        <v>1.0304031267186349</v>
      </c>
      <c r="P5" s="30">
        <f t="shared" si="58"/>
        <v>1.033837803807697</v>
      </c>
      <c r="Q5" s="30">
        <f t="shared" si="58"/>
        <v>1.0372839298203893</v>
      </c>
      <c r="R5" s="30">
        <f t="shared" si="58"/>
        <v>1.0407415429197906</v>
      </c>
      <c r="S5" s="30">
        <f t="shared" si="58"/>
        <v>1.04421068139619</v>
      </c>
      <c r="T5" s="30">
        <f t="shared" si="58"/>
        <v>1.0476913836675108</v>
      </c>
      <c r="U5" s="30">
        <f t="shared" si="58"/>
        <v>1.0511836882797359</v>
      </c>
      <c r="V5" s="30">
        <f t="shared" si="58"/>
        <v>1.054687633907335</v>
      </c>
      <c r="W5" s="30">
        <f t="shared" si="58"/>
        <v>1.058203259353693</v>
      </c>
      <c r="X5" s="30">
        <f t="shared" si="58"/>
        <v>1.0617306035515386</v>
      </c>
      <c r="Y5" s="30">
        <f t="shared" si="58"/>
        <v>1.0652697055633771</v>
      </c>
      <c r="Z5" s="30">
        <f t="shared" si="58"/>
        <v>1.0688206045819217</v>
      </c>
      <c r="AA5" s="30">
        <f t="shared" si="58"/>
        <v>1.0723833399305283</v>
      </c>
      <c r="AB5" s="30">
        <f t="shared" si="58"/>
        <v>1.0759579510636301</v>
      </c>
      <c r="AC5" s="30">
        <f t="shared" si="58"/>
        <v>1.0795444775671756</v>
      </c>
      <c r="AD5" s="30">
        <f t="shared" si="58"/>
        <v>1.0831429591590662</v>
      </c>
      <c r="AE5" s="30">
        <f t="shared" si="58"/>
        <v>1.0867534356895965</v>
      </c>
      <c r="AF5" s="30">
        <f t="shared" si="58"/>
        <v>1.0903759471418952</v>
      </c>
      <c r="AG5" s="30">
        <f t="shared" si="58"/>
        <v>1.0940105336323682</v>
      </c>
      <c r="AH5" s="30">
        <f t="shared" si="58"/>
        <v>1.0976572354111429</v>
      </c>
      <c r="AI5" s="30">
        <f t="shared" si="58"/>
        <v>1.1013160928625134</v>
      </c>
      <c r="AJ5" s="30">
        <f t="shared" si="58"/>
        <v>1.1049871465053887</v>
      </c>
      <c r="AK5" s="30">
        <f t="shared" si="58"/>
        <v>1.1086704369937401</v>
      </c>
      <c r="AL5" s="30">
        <f t="shared" si="58"/>
        <v>1.1123660051170527</v>
      </c>
      <c r="AM5" s="30">
        <f t="shared" si="58"/>
        <v>1.1160738918007764</v>
      </c>
      <c r="AN5" s="30">
        <f t="shared" si="58"/>
        <v>1.1197941381067791</v>
      </c>
      <c r="AO5" s="30">
        <f t="shared" si="58"/>
        <v>1.1235267852338018</v>
      </c>
      <c r="AP5" s="30">
        <f t="shared" ref="AP5" si="59">AO5*(1+4%/12)</f>
        <v>1.1272718745179144</v>
      </c>
      <c r="AQ5" s="30">
        <f t="shared" ref="AQ5" si="60">AP5*(1+4%/12)</f>
        <v>1.1310294474329743</v>
      </c>
      <c r="AR5" s="30">
        <f t="shared" ref="AR5" si="61">AQ5*(1+4%/12)</f>
        <v>1.1347995455910842</v>
      </c>
      <c r="AS5" s="30">
        <f t="shared" ref="AS5" si="62">AR5*(1+4%/12)</f>
        <v>1.1385822107430545</v>
      </c>
      <c r="AT5" s="30">
        <f t="shared" ref="AT5" si="63">AS5*(1+4%/12)</f>
        <v>1.1423774847788648</v>
      </c>
      <c r="AU5" s="30">
        <f t="shared" ref="AU5" si="64">AT5*(1+4%/12)</f>
        <v>1.1461854097281279</v>
      </c>
      <c r="AV5" s="30">
        <f t="shared" ref="AV5" si="65">AU5*(1+4%/12)</f>
        <v>1.150006027760555</v>
      </c>
      <c r="AW5" s="30">
        <f t="shared" ref="AW5" si="66">AV5*(1+4%/12)</f>
        <v>1.1538393811864236</v>
      </c>
      <c r="AX5" s="30">
        <f t="shared" ref="AX5" si="67">AW5*(1+4%/12)</f>
        <v>1.1576855124570451</v>
      </c>
      <c r="AY5" s="30">
        <f t="shared" ref="AY5" si="68">AX5*(1+4%/12)</f>
        <v>1.1615444641652353</v>
      </c>
      <c r="AZ5" s="30">
        <f t="shared" ref="AZ5" si="69">AY5*(1+4%/12)</f>
        <v>1.165416279045786</v>
      </c>
      <c r="BA5" s="30">
        <f t="shared" ref="BA5" si="70">AZ5*(1+4%/12)</f>
        <v>1.1693009999759387</v>
      </c>
      <c r="BB5" s="30">
        <f t="shared" ref="BB5" si="71">BA5*(1+4%/12)</f>
        <v>1.1731986699758585</v>
      </c>
      <c r="BC5" s="30">
        <f t="shared" ref="BC5" si="72">BB5*(1+4%/12)</f>
        <v>1.1771093322091115</v>
      </c>
      <c r="BD5" s="30">
        <f t="shared" ref="BD5" si="73">BC5*(1+4%/12)</f>
        <v>1.181033029983142</v>
      </c>
      <c r="BE5" s="30">
        <f t="shared" ref="BE5" si="74">BD5*(1+4%/12)</f>
        <v>1.1849698067497525</v>
      </c>
      <c r="BF5" s="30">
        <f t="shared" ref="BF5" si="75">BE5*(1+4%/12)</f>
        <v>1.1889197061055852</v>
      </c>
      <c r="BG5" s="30">
        <f t="shared" ref="BG5" si="76">BF5*(1+4%/12)</f>
        <v>1.1928827717926038</v>
      </c>
      <c r="BH5" s="30">
        <f t="shared" ref="BH5" si="77">BG5*(1+4%/12)</f>
        <v>1.1968590476985792</v>
      </c>
      <c r="BI5" s="30">
        <f t="shared" ref="BI5" si="78">BH5*(1+4%/12)</f>
        <v>1.2008485778575746</v>
      </c>
      <c r="BJ5" s="30">
        <f t="shared" ref="BJ5" si="79">BI5*(1+4%/12)</f>
        <v>1.2048514064504332</v>
      </c>
      <c r="BK5" s="30">
        <f t="shared" ref="BK5" si="80">BJ5*(1+4%/12)</f>
        <v>1.208867577805268</v>
      </c>
      <c r="BL5" s="30">
        <f t="shared" ref="BL5" si="81">BK5*(1+4%/12)</f>
        <v>1.2128971363979524</v>
      </c>
      <c r="BM5" s="30">
        <f t="shared" ref="BM5" si="82">BL5*(1+4%/12)</f>
        <v>1.2169401268526123</v>
      </c>
    </row>
    <row r="6" spans="2:65" x14ac:dyDescent="0.35">
      <c r="B6" s="1" t="s">
        <v>21</v>
      </c>
      <c r="C6" s="11">
        <v>50000</v>
      </c>
      <c r="D6" s="7"/>
      <c r="E6" s="11">
        <f>SUM(F6:AO6)</f>
        <v>1859078.1177686721</v>
      </c>
      <c r="F6" s="11">
        <f t="shared" ref="F6:AO6" si="83">IF(F2&gt;=СтартОперационнойДеятельности,$C$6*F5,0)</f>
        <v>0</v>
      </c>
      <c r="G6" s="11">
        <f t="shared" si="83"/>
        <v>50166.666666666672</v>
      </c>
      <c r="H6" s="11">
        <f t="shared" si="83"/>
        <v>50333.888888888898</v>
      </c>
      <c r="I6" s="11">
        <f t="shared" si="83"/>
        <v>50501.668518518542</v>
      </c>
      <c r="J6" s="11">
        <f t="shared" si="83"/>
        <v>50670.007413580279</v>
      </c>
      <c r="K6" s="11">
        <f t="shared" si="83"/>
        <v>50838.907438292212</v>
      </c>
      <c r="L6" s="11">
        <f t="shared" si="83"/>
        <v>51008.370463086525</v>
      </c>
      <c r="M6" s="11">
        <f t="shared" si="83"/>
        <v>51178.398364630149</v>
      </c>
      <c r="N6" s="11">
        <f t="shared" si="83"/>
        <v>51348.993025845593</v>
      </c>
      <c r="O6" s="11">
        <f t="shared" si="83"/>
        <v>51520.156335931744</v>
      </c>
      <c r="P6" s="11">
        <f t="shared" si="83"/>
        <v>51691.890190384845</v>
      </c>
      <c r="Q6" s="11">
        <f t="shared" si="83"/>
        <v>51864.196491019466</v>
      </c>
      <c r="R6" s="11">
        <f t="shared" si="83"/>
        <v>52037.077145989533</v>
      </c>
      <c r="S6" s="11">
        <f t="shared" si="83"/>
        <v>52210.534069809502</v>
      </c>
      <c r="T6" s="11">
        <f t="shared" si="83"/>
        <v>52384.569183375541</v>
      </c>
      <c r="U6" s="11">
        <f t="shared" si="83"/>
        <v>52559.18441398679</v>
      </c>
      <c r="V6" s="11">
        <f t="shared" si="83"/>
        <v>52734.381695366748</v>
      </c>
      <c r="W6" s="11">
        <f t="shared" si="83"/>
        <v>52910.16296768465</v>
      </c>
      <c r="X6" s="11">
        <f t="shared" si="83"/>
        <v>53086.530177576926</v>
      </c>
      <c r="Y6" s="11">
        <f t="shared" si="83"/>
        <v>53263.485278168853</v>
      </c>
      <c r="Z6" s="11">
        <f t="shared" si="83"/>
        <v>53441.03022909609</v>
      </c>
      <c r="AA6" s="11">
        <f t="shared" si="83"/>
        <v>53619.166996526415</v>
      </c>
      <c r="AB6" s="11">
        <f t="shared" si="83"/>
        <v>53797.897553181509</v>
      </c>
      <c r="AC6" s="11">
        <f t="shared" si="83"/>
        <v>53977.223878358782</v>
      </c>
      <c r="AD6" s="11">
        <f t="shared" si="83"/>
        <v>54157.147957953312</v>
      </c>
      <c r="AE6" s="11">
        <f t="shared" si="83"/>
        <v>54337.671784479826</v>
      </c>
      <c r="AF6" s="11">
        <f t="shared" si="83"/>
        <v>54518.797357094758</v>
      </c>
      <c r="AG6" s="11">
        <f t="shared" si="83"/>
        <v>54700.526681618408</v>
      </c>
      <c r="AH6" s="11">
        <f t="shared" si="83"/>
        <v>54882.861770557145</v>
      </c>
      <c r="AI6" s="11">
        <f t="shared" si="83"/>
        <v>55065.804643125673</v>
      </c>
      <c r="AJ6" s="11">
        <f t="shared" si="83"/>
        <v>55249.357325269433</v>
      </c>
      <c r="AK6" s="11">
        <f t="shared" si="83"/>
        <v>55433.521849687007</v>
      </c>
      <c r="AL6" s="11">
        <f t="shared" si="83"/>
        <v>55618.300255852635</v>
      </c>
      <c r="AM6" s="11">
        <f t="shared" si="83"/>
        <v>55803.694590038824</v>
      </c>
      <c r="AN6" s="11">
        <f t="shared" si="83"/>
        <v>55989.706905338957</v>
      </c>
      <c r="AO6" s="11">
        <f t="shared" si="83"/>
        <v>56176.339261690089</v>
      </c>
      <c r="AP6" s="11">
        <f t="shared" ref="AP6:BJ6" si="84">IF(AP2&gt;=СтартОперационнойДеятельности,$C$6*AP5,0)</f>
        <v>56363.59372589572</v>
      </c>
      <c r="AQ6" s="11">
        <f t="shared" si="84"/>
        <v>56551.472371648713</v>
      </c>
      <c r="AR6" s="11">
        <f t="shared" si="84"/>
        <v>56739.977279554209</v>
      </c>
      <c r="AS6" s="11">
        <f t="shared" si="84"/>
        <v>56929.11053715273</v>
      </c>
      <c r="AT6" s="11">
        <f t="shared" si="84"/>
        <v>57118.874238943237</v>
      </c>
      <c r="AU6" s="11">
        <f t="shared" si="84"/>
        <v>57309.270486406393</v>
      </c>
      <c r="AV6" s="11">
        <f t="shared" si="84"/>
        <v>57500.30138802775</v>
      </c>
      <c r="AW6" s="11">
        <f t="shared" si="84"/>
        <v>57691.969059321178</v>
      </c>
      <c r="AX6" s="11">
        <f t="shared" si="84"/>
        <v>57884.275622852256</v>
      </c>
      <c r="AY6" s="11">
        <f t="shared" si="84"/>
        <v>58077.223208261763</v>
      </c>
      <c r="AZ6" s="11">
        <f t="shared" si="84"/>
        <v>58270.813952289303</v>
      </c>
      <c r="BA6" s="11">
        <f t="shared" si="84"/>
        <v>58465.049998796938</v>
      </c>
      <c r="BB6" s="11">
        <f t="shared" si="84"/>
        <v>58659.933498792925</v>
      </c>
      <c r="BC6" s="11">
        <f t="shared" si="84"/>
        <v>58855.466610455573</v>
      </c>
      <c r="BD6" s="11">
        <f t="shared" si="84"/>
        <v>59051.651499157095</v>
      </c>
      <c r="BE6" s="11">
        <f t="shared" si="84"/>
        <v>59248.490337487623</v>
      </c>
      <c r="BF6" s="11">
        <f t="shared" si="84"/>
        <v>59445.985305279261</v>
      </c>
      <c r="BG6" s="11">
        <f t="shared" si="84"/>
        <v>59644.138589630194</v>
      </c>
      <c r="BH6" s="11">
        <f t="shared" si="84"/>
        <v>59842.952384928962</v>
      </c>
      <c r="BI6" s="11">
        <f t="shared" si="84"/>
        <v>60042.428892878728</v>
      </c>
      <c r="BJ6" s="11">
        <f t="shared" si="84"/>
        <v>60242.570322521657</v>
      </c>
      <c r="BK6" s="11">
        <f t="shared" ref="BK6:BM6" si="85">IF(BK2&gt;=СтартОперационнойДеятельности,$C$6*BK5,0)</f>
        <v>60443.378890263397</v>
      </c>
      <c r="BL6" s="11">
        <f t="shared" si="85"/>
        <v>60644.856819897621</v>
      </c>
      <c r="BM6" s="11">
        <f t="shared" si="85"/>
        <v>60847.006342630615</v>
      </c>
    </row>
    <row r="7" spans="2:65" x14ac:dyDescent="0.35">
      <c r="B7" s="1" t="s">
        <v>28</v>
      </c>
      <c r="C7" s="11">
        <v>10000</v>
      </c>
      <c r="D7" s="7"/>
      <c r="E7" s="11">
        <f t="shared" ref="E7:E22" si="86">SUM(F7:AO7)</f>
        <v>371815.62355373445</v>
      </c>
      <c r="F7" s="11">
        <f t="shared" ref="F7:AO7" si="87">IF(F2&gt;=СтартОперационнойДеятельности,$C$7*F5,0)</f>
        <v>0</v>
      </c>
      <c r="G7" s="11">
        <f t="shared" si="87"/>
        <v>10033.333333333334</v>
      </c>
      <c r="H7" s="11">
        <f t="shared" si="87"/>
        <v>10066.777777777779</v>
      </c>
      <c r="I7" s="11">
        <f t="shared" si="87"/>
        <v>10100.333703703707</v>
      </c>
      <c r="J7" s="11">
        <f t="shared" si="87"/>
        <v>10134.001482716056</v>
      </c>
      <c r="K7" s="11">
        <f t="shared" si="87"/>
        <v>10167.781487658443</v>
      </c>
      <c r="L7" s="11">
        <f t="shared" si="87"/>
        <v>10201.674092617306</v>
      </c>
      <c r="M7" s="11">
        <f t="shared" si="87"/>
        <v>10235.67967292603</v>
      </c>
      <c r="N7" s="11">
        <f t="shared" si="87"/>
        <v>10269.798605169119</v>
      </c>
      <c r="O7" s="11">
        <f t="shared" si="87"/>
        <v>10304.031267186348</v>
      </c>
      <c r="P7" s="11">
        <f t="shared" si="87"/>
        <v>10338.378038076969</v>
      </c>
      <c r="Q7" s="11">
        <f t="shared" si="87"/>
        <v>10372.839298203893</v>
      </c>
      <c r="R7" s="11">
        <f t="shared" si="87"/>
        <v>10407.415429197907</v>
      </c>
      <c r="S7" s="11">
        <f t="shared" si="87"/>
        <v>10442.1068139619</v>
      </c>
      <c r="T7" s="11">
        <f t="shared" si="87"/>
        <v>10476.913836675109</v>
      </c>
      <c r="U7" s="11">
        <f t="shared" si="87"/>
        <v>10511.836882797359</v>
      </c>
      <c r="V7" s="11">
        <f t="shared" si="87"/>
        <v>10546.876339073349</v>
      </c>
      <c r="W7" s="11">
        <f t="shared" si="87"/>
        <v>10582.032593536929</v>
      </c>
      <c r="X7" s="11">
        <f t="shared" si="87"/>
        <v>10617.306035515387</v>
      </c>
      <c r="Y7" s="11">
        <f t="shared" si="87"/>
        <v>10652.697055633771</v>
      </c>
      <c r="Z7" s="11">
        <f t="shared" si="87"/>
        <v>10688.206045819217</v>
      </c>
      <c r="AA7" s="11">
        <f t="shared" si="87"/>
        <v>10723.833399305282</v>
      </c>
      <c r="AB7" s="11">
        <f t="shared" si="87"/>
        <v>10759.579510636302</v>
      </c>
      <c r="AC7" s="11">
        <f t="shared" si="87"/>
        <v>10795.444775671756</v>
      </c>
      <c r="AD7" s="11">
        <f t="shared" si="87"/>
        <v>10831.429591590662</v>
      </c>
      <c r="AE7" s="11">
        <f t="shared" si="87"/>
        <v>10867.534356895965</v>
      </c>
      <c r="AF7" s="11">
        <f t="shared" si="87"/>
        <v>10903.759471418953</v>
      </c>
      <c r="AG7" s="11">
        <f t="shared" si="87"/>
        <v>10940.105336323682</v>
      </c>
      <c r="AH7" s="11">
        <f t="shared" si="87"/>
        <v>10976.572354111429</v>
      </c>
      <c r="AI7" s="11">
        <f t="shared" si="87"/>
        <v>11013.160928625135</v>
      </c>
      <c r="AJ7" s="11">
        <f t="shared" si="87"/>
        <v>11049.871465053886</v>
      </c>
      <c r="AK7" s="11">
        <f t="shared" si="87"/>
        <v>11086.704369937401</v>
      </c>
      <c r="AL7" s="11">
        <f t="shared" si="87"/>
        <v>11123.660051170527</v>
      </c>
      <c r="AM7" s="11">
        <f t="shared" si="87"/>
        <v>11160.738918007764</v>
      </c>
      <c r="AN7" s="11">
        <f t="shared" si="87"/>
        <v>11197.941381067791</v>
      </c>
      <c r="AO7" s="11">
        <f t="shared" si="87"/>
        <v>11235.267852338018</v>
      </c>
      <c r="AP7" s="11">
        <f t="shared" ref="AP7:BJ7" si="88">IF(AP2&gt;=СтартОперационнойДеятельности,$C$7*AP5,0)</f>
        <v>11272.718745179145</v>
      </c>
      <c r="AQ7" s="11">
        <f t="shared" si="88"/>
        <v>11310.294474329743</v>
      </c>
      <c r="AR7" s="11">
        <f t="shared" si="88"/>
        <v>11347.995455910843</v>
      </c>
      <c r="AS7" s="11">
        <f t="shared" si="88"/>
        <v>11385.822107430546</v>
      </c>
      <c r="AT7" s="11">
        <f t="shared" si="88"/>
        <v>11423.774847788649</v>
      </c>
      <c r="AU7" s="11">
        <f t="shared" si="88"/>
        <v>11461.854097281279</v>
      </c>
      <c r="AV7" s="11">
        <f t="shared" si="88"/>
        <v>11500.060277605551</v>
      </c>
      <c r="AW7" s="11">
        <f t="shared" si="88"/>
        <v>11538.393811864236</v>
      </c>
      <c r="AX7" s="11">
        <f t="shared" si="88"/>
        <v>11576.855124570451</v>
      </c>
      <c r="AY7" s="11">
        <f t="shared" si="88"/>
        <v>11615.444641652353</v>
      </c>
      <c r="AZ7" s="11">
        <f t="shared" si="88"/>
        <v>11654.16279045786</v>
      </c>
      <c r="BA7" s="11">
        <f t="shared" si="88"/>
        <v>11693.009999759388</v>
      </c>
      <c r="BB7" s="11">
        <f t="shared" si="88"/>
        <v>11731.986699758585</v>
      </c>
      <c r="BC7" s="11">
        <f t="shared" si="88"/>
        <v>11771.093322091116</v>
      </c>
      <c r="BD7" s="11">
        <f t="shared" si="88"/>
        <v>11810.330299831419</v>
      </c>
      <c r="BE7" s="11">
        <f t="shared" si="88"/>
        <v>11849.698067497526</v>
      </c>
      <c r="BF7" s="11">
        <f t="shared" si="88"/>
        <v>11889.197061055851</v>
      </c>
      <c r="BG7" s="11">
        <f t="shared" si="88"/>
        <v>11928.827717926039</v>
      </c>
      <c r="BH7" s="11">
        <f t="shared" si="88"/>
        <v>11968.590476985792</v>
      </c>
      <c r="BI7" s="11">
        <f t="shared" si="88"/>
        <v>12008.485778575747</v>
      </c>
      <c r="BJ7" s="11">
        <f t="shared" si="88"/>
        <v>12048.514064504332</v>
      </c>
      <c r="BK7" s="11">
        <f t="shared" ref="BK7:BM7" si="89">IF(BK2&gt;=СтартОперационнойДеятельности,$C$7*BK5,0)</f>
        <v>12088.67577805268</v>
      </c>
      <c r="BL7" s="11">
        <f t="shared" si="89"/>
        <v>12128.971363979525</v>
      </c>
      <c r="BM7" s="11">
        <f t="shared" si="89"/>
        <v>12169.401268526124</v>
      </c>
    </row>
    <row r="8" spans="2:65" x14ac:dyDescent="0.35">
      <c r="B8" s="3" t="s">
        <v>22</v>
      </c>
      <c r="C8" s="11">
        <f t="shared" ref="C8" si="90">SUM(C9:C10)</f>
        <v>10000</v>
      </c>
      <c r="D8" s="7"/>
      <c r="E8" s="11">
        <f t="shared" si="86"/>
        <v>1059663.6030311389</v>
      </c>
      <c r="F8" s="11">
        <f t="shared" ref="F8" si="91">SUM(F9:F10)</f>
        <v>0</v>
      </c>
      <c r="G8" s="11">
        <f t="shared" ref="G8" si="92">SUM(G9:G10)</f>
        <v>3138.4427083333335</v>
      </c>
      <c r="H8" s="11">
        <f t="shared" ref="H8" si="93">SUM(H9:H10)</f>
        <v>3150.6834418402782</v>
      </c>
      <c r="I8" s="11">
        <f t="shared" ref="I8" si="94">SUM(I9:I10)</f>
        <v>9488.9171740993952</v>
      </c>
      <c r="J8" s="11">
        <f t="shared" ref="J8" si="95">SUM(J9:J10)</f>
        <v>11113.584119826473</v>
      </c>
      <c r="K8" s="11">
        <f t="shared" ref="K8" si="96">SUM(K9:K10)</f>
        <v>11156.934969893293</v>
      </c>
      <c r="L8" s="11">
        <f t="shared" ref="L8" si="97">SUM(L9:L10)</f>
        <v>11200.456596000615</v>
      </c>
      <c r="M8" s="11">
        <f t="shared" ref="M8" si="98">SUM(M9:M10)</f>
        <v>16204.981258476941</v>
      </c>
      <c r="N8" s="11">
        <f t="shared" ref="N8" si="99">SUM(N9:N10)</f>
        <v>16269.943093802363</v>
      </c>
      <c r="O8" s="11">
        <f t="shared" ref="O8" si="100">SUM(O9:O10)</f>
        <v>24502.750610562871</v>
      </c>
      <c r="P8" s="11">
        <f t="shared" ref="P8" si="101">SUM(P9:P10)</f>
        <v>19134.096639037609</v>
      </c>
      <c r="Q8" s="11">
        <f t="shared" ref="Q8" si="102">SUM(Q9:Q10)</f>
        <v>19210.80668143916</v>
      </c>
      <c r="R8" s="11">
        <f t="shared" ref="R8" si="103">SUM(R9:R10)</f>
        <v>27554.037568309301</v>
      </c>
      <c r="S8" s="11">
        <f t="shared" ref="S8" si="104">SUM(S9:S10)</f>
        <v>32744.766054121617</v>
      </c>
      <c r="T8" s="11">
        <f t="shared" ref="T8" si="105">SUM(T9:T10)</f>
        <v>29589.166531357176</v>
      </c>
      <c r="U8" s="11">
        <f t="shared" ref="U8" si="106">SUM(U9:U10)</f>
        <v>39611.367843398766</v>
      </c>
      <c r="V8" s="11">
        <f t="shared" ref="V8" si="107">SUM(V9:V10)</f>
        <v>29828.369468228651</v>
      </c>
      <c r="W8" s="11">
        <f t="shared" ref="W8" si="108">SUM(W9:W10)</f>
        <v>26621.066011009589</v>
      </c>
      <c r="X8" s="11">
        <f t="shared" ref="X8" si="109">SUM(X9:X10)</f>
        <v>36751.632190887547</v>
      </c>
      <c r="Y8" s="11">
        <f t="shared" ref="Y8" si="110">SUM(Y9:Y10)</f>
        <v>40254.433883363599</v>
      </c>
      <c r="Z8" s="11">
        <f t="shared" ref="Z8" si="111">SUM(Z9:Z10)</f>
        <v>47152.973399796989</v>
      </c>
      <c r="AA8" s="11">
        <f t="shared" ref="AA8" si="112">SUM(AA9:AA10)</f>
        <v>60869.840574132118</v>
      </c>
      <c r="AB8" s="11">
        <f t="shared" ref="AB8" si="113">SUM(AB9:AB10)</f>
        <v>23767.10856909207</v>
      </c>
      <c r="AC8" s="11">
        <f t="shared" ref="AC8" si="114">SUM(AC9:AC10)</f>
        <v>27271.9999742164</v>
      </c>
      <c r="AD8" s="11">
        <f t="shared" ref="AD8" si="115">SUM(AD9:AD10)</f>
        <v>41073.052238775614</v>
      </c>
      <c r="AE8" s="11">
        <f t="shared" ref="AE8" si="116">SUM(AE9:AE10)</f>
        <v>48111.903281914951</v>
      </c>
      <c r="AF8" s="11">
        <f t="shared" ref="AF8" si="117">SUM(AF9:AF10)</f>
        <v>41405.168700469774</v>
      </c>
      <c r="AG8" s="11">
        <f t="shared" ref="AG8" si="118">SUM(AG9:AG10)</f>
        <v>48500.944749817027</v>
      </c>
      <c r="AH8" s="11">
        <f t="shared" ref="AH8" si="119">SUM(AH9:AH10)</f>
        <v>34783.321636782195</v>
      </c>
      <c r="AI8" s="11">
        <f t="shared" ref="AI8" si="120">SUM(AI9:AI10)</f>
        <v>27938.942857430331</v>
      </c>
      <c r="AJ8" s="11">
        <f t="shared" ref="AJ8" si="121">SUM(AJ9:AJ10)</f>
        <v>42077.526098540118</v>
      </c>
      <c r="AK8" s="11">
        <f t="shared" ref="AK8" si="122">SUM(AK9:AK10)</f>
        <v>42247.324188218176</v>
      </c>
      <c r="AL8" s="11">
        <f t="shared" ref="AL8" si="123">SUM(AL9:AL10)</f>
        <v>49487.44657906481</v>
      </c>
      <c r="AM8" s="11">
        <f t="shared" ref="AM8" si="124">SUM(AM9:AM10)</f>
        <v>63883.485606147071</v>
      </c>
      <c r="AN8" s="11">
        <f t="shared" ref="AN8" si="125">SUM(AN9:AN10)</f>
        <v>24943.837427438295</v>
      </c>
      <c r="AO8" s="11">
        <f t="shared" ref="AO8:BI8" si="126">SUM(AO9:AO10)</f>
        <v>28622.290305314069</v>
      </c>
      <c r="AP8" s="11">
        <f t="shared" si="126"/>
        <v>43106.707138453145</v>
      </c>
      <c r="AQ8" s="11">
        <f t="shared" si="126"/>
        <v>50494.129068628128</v>
      </c>
      <c r="AR8" s="11">
        <f t="shared" si="126"/>
        <v>43455.363086832054</v>
      </c>
      <c r="AS8" s="11">
        <f t="shared" si="126"/>
        <v>43630.753101965885</v>
      </c>
      <c r="AT8" s="11">
        <f t="shared" si="126"/>
        <v>36505.71249625308</v>
      </c>
      <c r="AU8" s="11">
        <f t="shared" si="126"/>
        <v>29322.447780374045</v>
      </c>
      <c r="AV8" s="11">
        <f t="shared" si="126"/>
        <v>44161.206042139762</v>
      </c>
      <c r="AW8" s="11">
        <f t="shared" si="126"/>
        <v>44339.461037176545</v>
      </c>
      <c r="AX8" s="11">
        <f t="shared" si="126"/>
        <v>51938.179527024207</v>
      </c>
      <c r="AY8" s="11">
        <f t="shared" si="126"/>
        <v>67047.216998011034</v>
      </c>
      <c r="AZ8" s="11">
        <f t="shared" si="126"/>
        <v>26179.171207267627</v>
      </c>
      <c r="BA8" s="11">
        <f t="shared" si="126"/>
        <v>30039.830807410315</v>
      </c>
      <c r="BB8" s="11">
        <f t="shared" si="126"/>
        <v>45241.648648661903</v>
      </c>
      <c r="BC8" s="11">
        <f t="shared" si="126"/>
        <v>52995.004445461702</v>
      </c>
      <c r="BD8" s="11">
        <f t="shared" si="126"/>
        <v>45607.671851039915</v>
      </c>
      <c r="BE8" s="11">
        <f t="shared" si="126"/>
        <v>45791.798651935998</v>
      </c>
      <c r="BF8" s="11">
        <f t="shared" si="126"/>
        <v>38313.894136626652</v>
      </c>
      <c r="BG8" s="11">
        <f t="shared" si="126"/>
        <v>30774.86522406973</v>
      </c>
      <c r="BH8" s="11">
        <f t="shared" si="126"/>
        <v>46348.676329896072</v>
      </c>
      <c r="BI8" s="11">
        <f t="shared" si="126"/>
        <v>46535.811519365467</v>
      </c>
      <c r="BJ8" s="11">
        <f t="shared" ref="BJ8:BM8" si="127">SUM(BJ9:BJ10)</f>
        <v>54510.990906330233</v>
      </c>
      <c r="BK8" s="11">
        <f t="shared" si="127"/>
        <v>70368.546516731556</v>
      </c>
      <c r="BL8" s="11">
        <f t="shared" si="127"/>
        <v>27476.04311163097</v>
      </c>
      <c r="BM8" s="11">
        <f t="shared" si="127"/>
        <v>31527.987437655167</v>
      </c>
    </row>
    <row r="9" spans="2:65" x14ac:dyDescent="0.35">
      <c r="B9" s="29" t="s">
        <v>169</v>
      </c>
      <c r="C9" s="11"/>
      <c r="D9" s="74">
        <v>0.05</v>
      </c>
      <c r="E9" s="11">
        <f t="shared" si="86"/>
        <v>880309.58380550006</v>
      </c>
      <c r="F9" s="11">
        <f>Выручка!F12*7%</f>
        <v>0</v>
      </c>
      <c r="G9" s="11">
        <f>Выручка!G12*5%</f>
        <v>2135.109375</v>
      </c>
      <c r="H9" s="11">
        <f>Выручка!H12*5%</f>
        <v>2144.0056640625003</v>
      </c>
      <c r="I9" s="11">
        <f>Выручка!I12*5%</f>
        <v>6458.8170629882825</v>
      </c>
      <c r="J9" s="11">
        <f>Выручка!J12*5%</f>
        <v>7566.6836008758546</v>
      </c>
      <c r="K9" s="11">
        <f>Выручка!K12*5%</f>
        <v>7598.2114492128376</v>
      </c>
      <c r="L9" s="11">
        <f>Выручка!L12*5%</f>
        <v>7629.8706635845583</v>
      </c>
      <c r="M9" s="11">
        <f>Выручка!M12*5%</f>
        <v>13134.277356599132</v>
      </c>
      <c r="N9" s="11">
        <f>Выручка!N12*5%</f>
        <v>13189.003512251627</v>
      </c>
      <c r="O9" s="11">
        <f>Выручка!O12*5%</f>
        <v>19865.936540329014</v>
      </c>
      <c r="P9" s="11">
        <f>Выручка!P12*5%</f>
        <v>15515.66432571067</v>
      </c>
      <c r="Q9" s="11">
        <f>Выручка!Q12*5%</f>
        <v>15580.312927067798</v>
      </c>
      <c r="R9" s="11">
        <f>Выручка!R12*5%</f>
        <v>22350.329853710347</v>
      </c>
      <c r="S9" s="11">
        <f>Выручка!S12*5%</f>
        <v>27523.712647140666</v>
      </c>
      <c r="T9" s="11">
        <f>Выручка!T12*5%</f>
        <v>24874.555304853377</v>
      </c>
      <c r="U9" s="11">
        <f>Выручка!U12*5%</f>
        <v>33304.26571372035</v>
      </c>
      <c r="V9" s="11">
        <f>Выручка!V12*5%</f>
        <v>25082.275115645643</v>
      </c>
      <c r="W9" s="11">
        <f>Выручка!W12*5%</f>
        <v>22388.252973594816</v>
      </c>
      <c r="X9" s="11">
        <f>Выручка!X12*5%</f>
        <v>30912.113871354086</v>
      </c>
      <c r="Y9" s="11">
        <f>Выручка!Y12*5%</f>
        <v>33862.815649983335</v>
      </c>
      <c r="Z9" s="11">
        <f>Выручка!Z12*5%</f>
        <v>39671.229167723541</v>
      </c>
      <c r="AA9" s="11">
        <f>Выручка!AA12*5%</f>
        <v>51218.390514757361</v>
      </c>
      <c r="AB9" s="11">
        <f>Выручка!AB12*5%</f>
        <v>20001.255740369365</v>
      </c>
      <c r="AC9" s="11">
        <f>Выручка!AC12*5%</f>
        <v>22953.822063947697</v>
      </c>
      <c r="AD9" s="11">
        <f>Выручка!AD12*5%</f>
        <v>34574.194483821215</v>
      </c>
      <c r="AE9" s="11">
        <f>Выручка!AE12*5%</f>
        <v>40504.629232087776</v>
      </c>
      <c r="AF9" s="11">
        <f>Выручка!AF12*5%</f>
        <v>34862.913017618404</v>
      </c>
      <c r="AG9" s="11">
        <f>Выручка!AG12*5%</f>
        <v>40842.871014390446</v>
      </c>
      <c r="AH9" s="11">
        <f>Выручка!AH12*5%</f>
        <v>29295.035459726481</v>
      </c>
      <c r="AI9" s="11">
        <f>Выручка!AI12*5%</f>
        <v>23533.678485980276</v>
      </c>
      <c r="AJ9" s="11">
        <f>Выручка!AJ12*5%</f>
        <v>35447.603219507786</v>
      </c>
      <c r="AK9" s="11">
        <f>Выручка!AK12*5%</f>
        <v>35595.301566255737</v>
      </c>
      <c r="AL9" s="11">
        <f>Выручка!AL12*5%</f>
        <v>41700.88454324544</v>
      </c>
      <c r="AM9" s="11">
        <f>Выручка!AM12*5%</f>
        <v>53838.820579940082</v>
      </c>
      <c r="AN9" s="11">
        <f>Выручка!AN12*5%</f>
        <v>21024.557944064567</v>
      </c>
      <c r="AO9" s="11">
        <f>Выручка!AO12*5%</f>
        <v>24128.183164378861</v>
      </c>
      <c r="AP9" s="11">
        <f>Выручка!AP12*5%</f>
        <v>36343.075891345659</v>
      </c>
      <c r="AQ9" s="11">
        <f>Выручка!AQ12*5%</f>
        <v>42576.922936597308</v>
      </c>
      <c r="AR9" s="11">
        <f>Выручка!AR12*5%</f>
        <v>36646.565813285546</v>
      </c>
      <c r="AS9" s="11">
        <f>Выручка!AS12*5%</f>
        <v>36799.259837507561</v>
      </c>
      <c r="AT9" s="11">
        <f>Выручка!AT12*5%</f>
        <v>30793.825072358759</v>
      </c>
      <c r="AU9" s="11">
        <f>Выручка!AU12*5%</f>
        <v>24737.706141461535</v>
      </c>
      <c r="AV9" s="11">
        <f>Выручка!AV12*5%</f>
        <v>37261.16987557643</v>
      </c>
      <c r="AW9" s="11">
        <f>Выручка!AW12*5%</f>
        <v>37416.424750058002</v>
      </c>
      <c r="AX9" s="11">
        <f>Выручка!AX12*5%</f>
        <v>43834.380939824892</v>
      </c>
      <c r="AY9" s="11">
        <f>Выручка!AY12*5%</f>
        <v>56593.316820523913</v>
      </c>
      <c r="AZ9" s="11">
        <f>Выручка!AZ12*5%</f>
        <v>22100.214230607377</v>
      </c>
      <c r="BA9" s="11">
        <f>Выручка!BA12*5%</f>
        <v>25362.62680750656</v>
      </c>
      <c r="BB9" s="11">
        <f>Выручка!BB12*5%</f>
        <v>38202.456628806751</v>
      </c>
      <c r="BC9" s="11">
        <f>Выручка!BC12*5%</f>
        <v>44755.239119997917</v>
      </c>
      <c r="BD9" s="11">
        <f>Выручка!BD12*5%</f>
        <v>38521.473671141066</v>
      </c>
      <c r="BE9" s="11">
        <f>Выручка!BE12*5%</f>
        <v>38681.979811437486</v>
      </c>
      <c r="BF9" s="11">
        <f>Выручка!BF12*5%</f>
        <v>32369.295606098727</v>
      </c>
      <c r="BG9" s="11">
        <f>Выручка!BG12*5%</f>
        <v>26003.334136899313</v>
      </c>
      <c r="BH9" s="11">
        <f>Выручка!BH12*5%</f>
        <v>39167.522043704594</v>
      </c>
      <c r="BI9" s="11">
        <f>Выручка!BI12*5%</f>
        <v>39330.720052220022</v>
      </c>
      <c r="BJ9" s="11">
        <f>Выручка!BJ12*5%</f>
        <v>46077.0310611772</v>
      </c>
      <c r="BK9" s="11">
        <f>Выручка!BK12*5%</f>
        <v>59488.738316484145</v>
      </c>
      <c r="BL9" s="11">
        <f>Выручка!BL12*5%</f>
        <v>23230.903134238135</v>
      </c>
      <c r="BM9" s="11">
        <f>Выручка!BM12*5%</f>
        <v>26660.226930244717</v>
      </c>
    </row>
    <row r="10" spans="2:65" x14ac:dyDescent="0.35">
      <c r="B10" s="29" t="s">
        <v>39</v>
      </c>
      <c r="C10" s="11">
        <v>10000</v>
      </c>
      <c r="D10" s="7"/>
      <c r="E10" s="11">
        <f t="shared" si="86"/>
        <v>179354.01922563862</v>
      </c>
      <c r="F10" s="11">
        <f>$C$10*F5*Выручка!F6</f>
        <v>0</v>
      </c>
      <c r="G10" s="11">
        <f>$C$10*G5*Выручка!G6</f>
        <v>1003.3333333333335</v>
      </c>
      <c r="H10" s="11">
        <f>$C$10*H5*Выручка!H6</f>
        <v>1006.6777777777779</v>
      </c>
      <c r="I10" s="11">
        <f>$C$10*I5*Выручка!I6</f>
        <v>3030.1001111111123</v>
      </c>
      <c r="J10" s="11">
        <f>$C$10*J5*Выручка!J6</f>
        <v>3546.9005189506192</v>
      </c>
      <c r="K10" s="11">
        <f>$C$10*K5*Выручка!K6</f>
        <v>3558.7235206804548</v>
      </c>
      <c r="L10" s="11">
        <f>$C$10*L5*Выручка!L6</f>
        <v>3570.5859324160569</v>
      </c>
      <c r="M10" s="11">
        <f>$C$10*M5*Выручка!M6</f>
        <v>3070.7039018778087</v>
      </c>
      <c r="N10" s="11">
        <f>$C$10*N5*Выручка!N6</f>
        <v>3080.9395815507355</v>
      </c>
      <c r="O10" s="11">
        <f>$C$10*O5*Выручка!O6</f>
        <v>4636.8140702338569</v>
      </c>
      <c r="P10" s="11">
        <f>$C$10*P5*Выручка!P6</f>
        <v>3618.432313326939</v>
      </c>
      <c r="Q10" s="11">
        <f>$C$10*Q5*Выручка!Q6</f>
        <v>3630.4937543713622</v>
      </c>
      <c r="R10" s="11">
        <f>$C$10*R5*Выручка!R6</f>
        <v>5203.7077145989533</v>
      </c>
      <c r="S10" s="11">
        <f>$C$10*S5*Выручка!S6</f>
        <v>5221.0534069809501</v>
      </c>
      <c r="T10" s="11">
        <f>$C$10*T5*Выручка!T6</f>
        <v>4714.6112265037991</v>
      </c>
      <c r="U10" s="11">
        <f>$C$10*U5*Выручка!U6</f>
        <v>6307.1021296784156</v>
      </c>
      <c r="V10" s="11">
        <f>$C$10*V5*Выручка!V6</f>
        <v>4746.0943525830071</v>
      </c>
      <c r="W10" s="11">
        <f>$C$10*W5*Выручка!W6</f>
        <v>4232.8130374147722</v>
      </c>
      <c r="X10" s="11">
        <f>$C$10*X5*Выручка!X6</f>
        <v>5839.518319533463</v>
      </c>
      <c r="Y10" s="11">
        <f>$C$10*Y5*Выручка!Y6</f>
        <v>6391.6182333802626</v>
      </c>
      <c r="Z10" s="11">
        <f>$C$10*Z5*Выручка!Z6</f>
        <v>7481.7442320734517</v>
      </c>
      <c r="AA10" s="11">
        <f>$C$10*AA5*Выручка!AA6</f>
        <v>9651.4500593747543</v>
      </c>
      <c r="AB10" s="11">
        <f>$C$10*AB5*Выручка!AB6</f>
        <v>3765.8528287227055</v>
      </c>
      <c r="AC10" s="11">
        <f>$C$10*AC5*Выручка!AC6</f>
        <v>4318.1779102687024</v>
      </c>
      <c r="AD10" s="11">
        <f>$C$10*AD5*Выручка!AD6</f>
        <v>6498.857754954397</v>
      </c>
      <c r="AE10" s="11">
        <f>$C$10*AE5*Выручка!AE6</f>
        <v>7607.2740498271751</v>
      </c>
      <c r="AF10" s="11">
        <f>$C$10*AF5*Выручка!AF6</f>
        <v>6542.2556828513716</v>
      </c>
      <c r="AG10" s="11">
        <f>$C$10*AG5*Выручка!AG6</f>
        <v>7658.0737354265775</v>
      </c>
      <c r="AH10" s="11">
        <f>$C$10*AH5*Выручка!AH6</f>
        <v>5488.2861770557147</v>
      </c>
      <c r="AI10" s="11">
        <f>$C$10*AI5*Выручка!AI6</f>
        <v>4405.2643714500546</v>
      </c>
      <c r="AJ10" s="11">
        <f>$C$10*AJ5*Выручка!AJ6</f>
        <v>6629.9228790323314</v>
      </c>
      <c r="AK10" s="11">
        <f>$C$10*AK5*Выручка!AK6</f>
        <v>6652.0226219624401</v>
      </c>
      <c r="AL10" s="11">
        <f>$C$10*AL5*Выручка!AL6</f>
        <v>7786.5620358193682</v>
      </c>
      <c r="AM10" s="11">
        <f>$C$10*AM5*Выручка!AM6</f>
        <v>10044.665026206989</v>
      </c>
      <c r="AN10" s="11">
        <f>$C$10*AN5*Выручка!AN6</f>
        <v>3919.2794833737266</v>
      </c>
      <c r="AO10" s="11">
        <f>$C$10*AO5*Выручка!AO6</f>
        <v>4494.1071409352071</v>
      </c>
      <c r="AP10" s="11">
        <f>$C$10*AP5*Выручка!AP6</f>
        <v>6763.6312471074871</v>
      </c>
      <c r="AQ10" s="11">
        <f>$C$10*AQ5*Выручка!AQ6</f>
        <v>7917.2061320308194</v>
      </c>
      <c r="AR10" s="11">
        <f>$C$10*AR5*Выручка!AR6</f>
        <v>6808.7972735465055</v>
      </c>
      <c r="AS10" s="11">
        <f>$C$10*AS5*Выручка!AS6</f>
        <v>6831.4932644583268</v>
      </c>
      <c r="AT10" s="11">
        <f>$C$10*AT5*Выручка!AT6</f>
        <v>5711.8874238943245</v>
      </c>
      <c r="AU10" s="11">
        <f>$C$10*AU5*Выручка!AU6</f>
        <v>4584.7416389125119</v>
      </c>
      <c r="AV10" s="11">
        <f>$C$10*AV5*Выручка!AV6</f>
        <v>6900.0361665633309</v>
      </c>
      <c r="AW10" s="11">
        <f>$C$10*AW5*Выручка!AW6</f>
        <v>6923.0362871185416</v>
      </c>
      <c r="AX10" s="11">
        <f>$C$10*AX5*Выручка!AX6</f>
        <v>8103.7985871993151</v>
      </c>
      <c r="AY10" s="11">
        <f>$C$10*AY5*Выручка!AY6</f>
        <v>10453.900177487118</v>
      </c>
      <c r="AZ10" s="11">
        <f>$C$10*AZ5*Выручка!AZ6</f>
        <v>4078.9569766602508</v>
      </c>
      <c r="BA10" s="11">
        <f>$C$10*BA5*Выручка!BA6</f>
        <v>4677.2039999037552</v>
      </c>
      <c r="BB10" s="11">
        <f>$C$10*BB5*Выручка!BB6</f>
        <v>7039.1920198551506</v>
      </c>
      <c r="BC10" s="11">
        <f>$C$10*BC5*Выручка!BC6</f>
        <v>8239.7653254637808</v>
      </c>
      <c r="BD10" s="11">
        <f>$C$10*BD5*Выручка!BD6</f>
        <v>7086.1981798988518</v>
      </c>
      <c r="BE10" s="11">
        <f>$C$10*BE5*Выручка!BE6</f>
        <v>7109.8188404985149</v>
      </c>
      <c r="BF10" s="11">
        <f>$C$10*BF5*Выручка!BF6</f>
        <v>5944.5985305279255</v>
      </c>
      <c r="BG10" s="11">
        <f>$C$10*BG5*Выручка!BG6</f>
        <v>4771.531087170416</v>
      </c>
      <c r="BH10" s="11">
        <f>$C$10*BH5*Выручка!BH6</f>
        <v>7181.154286191475</v>
      </c>
      <c r="BI10" s="11">
        <f>$C$10*BI5*Выручка!BI6</f>
        <v>7205.0914671454475</v>
      </c>
      <c r="BJ10" s="11">
        <f>$C$10*BJ5*Выручка!BJ6</f>
        <v>8433.9598451530328</v>
      </c>
      <c r="BK10" s="11">
        <f>$C$10*BK5*Выручка!BK6</f>
        <v>10879.808200247413</v>
      </c>
      <c r="BL10" s="11">
        <f>$C$10*BL5*Выручка!BL6</f>
        <v>4245.1399773928333</v>
      </c>
      <c r="BM10" s="11">
        <f>$C$10*BM5*Выручка!BM6</f>
        <v>4867.7605074104495</v>
      </c>
    </row>
    <row r="11" spans="2:65" x14ac:dyDescent="0.35">
      <c r="B11" s="3" t="s">
        <v>23</v>
      </c>
      <c r="C11" s="11">
        <f>SUM(C12:C16)</f>
        <v>115000</v>
      </c>
      <c r="D11" s="7"/>
      <c r="E11" s="11">
        <f>SUM(F11:AO11)</f>
        <v>10288088.94933424</v>
      </c>
      <c r="F11" s="11">
        <f t="shared" ref="F11:I11" si="128">SUM(F12:F16)</f>
        <v>0</v>
      </c>
      <c r="G11" s="11">
        <f t="shared" si="128"/>
        <v>73432.719427083328</v>
      </c>
      <c r="H11" s="11">
        <f t="shared" si="128"/>
        <v>73692.70298025175</v>
      </c>
      <c r="I11" s="11">
        <f t="shared" si="128"/>
        <v>110757.17879282321</v>
      </c>
      <c r="J11" s="11">
        <f>SUM(J12:J16)</f>
        <v>120411.6014561035</v>
      </c>
      <c r="K11" s="11">
        <f t="shared" ref="K11:AO11" si="129">SUM(K12:K16)</f>
        <v>120866.86895537481</v>
      </c>
      <c r="L11" s="11">
        <f t="shared" si="129"/>
        <v>121323.87857753712</v>
      </c>
      <c r="M11" s="11">
        <f t="shared" si="129"/>
        <v>168558.63625410892</v>
      </c>
      <c r="N11" s="11">
        <f t="shared" si="129"/>
        <v>169214.05037333348</v>
      </c>
      <c r="O11" s="11">
        <f t="shared" si="129"/>
        <v>226471.97252466055</v>
      </c>
      <c r="P11" s="11">
        <f t="shared" si="129"/>
        <v>189477.86788373528</v>
      </c>
      <c r="Q11" s="11">
        <f t="shared" si="129"/>
        <v>190219.97476724297</v>
      </c>
      <c r="R11" s="11">
        <f t="shared" si="129"/>
        <v>248275.40051020932</v>
      </c>
      <c r="S11" s="11">
        <f t="shared" si="129"/>
        <v>289904.23204393685</v>
      </c>
      <c r="T11" s="11">
        <f t="shared" si="129"/>
        <v>267720.17862927169</v>
      </c>
      <c r="U11" s="11">
        <f t="shared" si="129"/>
        <v>339111.84596172778</v>
      </c>
      <c r="V11" s="11">
        <f t="shared" si="129"/>
        <v>269859.42951686744</v>
      </c>
      <c r="W11" s="11">
        <f t="shared" si="129"/>
        <v>247298.35676861362</v>
      </c>
      <c r="X11" s="11">
        <f t="shared" si="129"/>
        <v>319487.17150967289</v>
      </c>
      <c r="Y11" s="11">
        <f t="shared" si="129"/>
        <v>344604.23918669263</v>
      </c>
      <c r="Z11" s="11">
        <f t="shared" si="129"/>
        <v>393858.95400009776</v>
      </c>
      <c r="AA11" s="11">
        <f t="shared" si="129"/>
        <v>491585.32012630504</v>
      </c>
      <c r="AB11" s="11">
        <f t="shared" si="129"/>
        <v>228113.64722924557</v>
      </c>
      <c r="AC11" s="11">
        <f t="shared" si="129"/>
        <v>253249.07169905069</v>
      </c>
      <c r="AD11" s="11">
        <f t="shared" si="129"/>
        <v>416584.34173653211</v>
      </c>
      <c r="AE11" s="11">
        <f t="shared" si="129"/>
        <v>467089.58588060562</v>
      </c>
      <c r="AF11" s="11">
        <f t="shared" si="129"/>
        <v>419854.72937520652</v>
      </c>
      <c r="AG11" s="11">
        <f t="shared" si="129"/>
        <v>470781.03277793759</v>
      </c>
      <c r="AH11" s="11">
        <f t="shared" si="129"/>
        <v>373664.29326234653</v>
      </c>
      <c r="AI11" s="11">
        <f t="shared" si="129"/>
        <v>325423.09866854135</v>
      </c>
      <c r="AJ11" s="11">
        <f t="shared" si="129"/>
        <v>426473.46725708153</v>
      </c>
      <c r="AK11" s="11">
        <f t="shared" si="129"/>
        <v>428144.54543577938</v>
      </c>
      <c r="AL11" s="11">
        <f t="shared" si="129"/>
        <v>480138.92393650906</v>
      </c>
      <c r="AM11" s="11">
        <f t="shared" si="129"/>
        <v>583085.58775465854</v>
      </c>
      <c r="AN11" s="11">
        <f t="shared" si="129"/>
        <v>306355.37013304327</v>
      </c>
      <c r="AO11" s="11">
        <f t="shared" si="129"/>
        <v>332998.67394204938</v>
      </c>
      <c r="AP11" s="11">
        <f t="shared" ref="AP11:BJ11" si="130">SUM(AP12:AP16)</f>
        <v>436599.6128650544</v>
      </c>
      <c r="AQ11" s="11">
        <f t="shared" si="130"/>
        <v>489684.47457111062</v>
      </c>
      <c r="AR11" s="11">
        <f t="shared" si="130"/>
        <v>440028.65215737751</v>
      </c>
      <c r="AS11" s="11">
        <f t="shared" si="130"/>
        <v>441753.35325158079</v>
      </c>
      <c r="AT11" s="11">
        <f t="shared" si="130"/>
        <v>391466.30020403885</v>
      </c>
      <c r="AU11" s="11">
        <f t="shared" si="130"/>
        <v>340752.6099804918</v>
      </c>
      <c r="AV11" s="11">
        <f t="shared" si="130"/>
        <v>446968.50803423539</v>
      </c>
      <c r="AW11" s="11">
        <f t="shared" si="130"/>
        <v>448720.66790671769</v>
      </c>
      <c r="AX11" s="11">
        <f t="shared" si="130"/>
        <v>503370.74894058832</v>
      </c>
      <c r="AY11" s="11">
        <f t="shared" si="130"/>
        <v>611579.91614829563</v>
      </c>
      <c r="AZ11" s="11">
        <f t="shared" si="130"/>
        <v>320687.19726892241</v>
      </c>
      <c r="BA11" s="11">
        <f t="shared" si="130"/>
        <v>348689.1500832155</v>
      </c>
      <c r="BB11" s="11">
        <f t="shared" si="130"/>
        <v>457586.02177048498</v>
      </c>
      <c r="BC11" s="11">
        <f t="shared" si="130"/>
        <v>513382.30289720179</v>
      </c>
      <c r="BD11" s="11">
        <f t="shared" si="130"/>
        <v>461181.47650538315</v>
      </c>
      <c r="BE11" s="11">
        <f t="shared" si="130"/>
        <v>462989.88365878223</v>
      </c>
      <c r="BF11" s="11">
        <f t="shared" si="130"/>
        <v>410125.50150664616</v>
      </c>
      <c r="BG11" s="11">
        <f t="shared" si="130"/>
        <v>356812.63945076754</v>
      </c>
      <c r="BH11" s="11">
        <f t="shared" si="130"/>
        <v>468458.1660316051</v>
      </c>
      <c r="BI11" s="11">
        <f t="shared" si="130"/>
        <v>470295.37606466573</v>
      </c>
      <c r="BJ11" s="11">
        <f t="shared" si="130"/>
        <v>527736.84998751665</v>
      </c>
      <c r="BK11" s="11">
        <f t="shared" ref="BK11:BM11" si="131">SUM(BK12:BK16)</f>
        <v>641477.57921841531</v>
      </c>
      <c r="BL11" s="11">
        <f t="shared" si="131"/>
        <v>335697.59700737457</v>
      </c>
      <c r="BM11" s="11">
        <f t="shared" si="131"/>
        <v>365127.52765237435</v>
      </c>
    </row>
    <row r="12" spans="2:65" x14ac:dyDescent="0.35">
      <c r="B12" s="29" t="s">
        <v>91</v>
      </c>
      <c r="C12" s="11">
        <v>60000</v>
      </c>
      <c r="D12" s="7" t="s">
        <v>188</v>
      </c>
      <c r="E12" s="11">
        <f t="shared" si="86"/>
        <v>794320.47645924729</v>
      </c>
      <c r="F12" s="11">
        <f t="shared" ref="F12:AK12" si="132">IF(F2&gt;=(Старт+365*2),$C$12*F5,0)</f>
        <v>0</v>
      </c>
      <c r="G12" s="11">
        <f t="shared" si="132"/>
        <v>0</v>
      </c>
      <c r="H12" s="11">
        <f t="shared" si="132"/>
        <v>0</v>
      </c>
      <c r="I12" s="11">
        <f t="shared" si="132"/>
        <v>0</v>
      </c>
      <c r="J12" s="11">
        <f t="shared" si="132"/>
        <v>0</v>
      </c>
      <c r="K12" s="11">
        <f t="shared" si="132"/>
        <v>0</v>
      </c>
      <c r="L12" s="11">
        <f t="shared" si="132"/>
        <v>0</v>
      </c>
      <c r="M12" s="11">
        <f t="shared" si="132"/>
        <v>0</v>
      </c>
      <c r="N12" s="11">
        <f t="shared" si="132"/>
        <v>0</v>
      </c>
      <c r="O12" s="11">
        <f t="shared" si="132"/>
        <v>0</v>
      </c>
      <c r="P12" s="11">
        <f t="shared" si="132"/>
        <v>0</v>
      </c>
      <c r="Q12" s="11">
        <f t="shared" si="132"/>
        <v>0</v>
      </c>
      <c r="R12" s="11">
        <f t="shared" si="132"/>
        <v>0</v>
      </c>
      <c r="S12" s="11">
        <f t="shared" si="132"/>
        <v>0</v>
      </c>
      <c r="T12" s="11">
        <f t="shared" si="132"/>
        <v>0</v>
      </c>
      <c r="U12" s="11">
        <f t="shared" si="132"/>
        <v>0</v>
      </c>
      <c r="V12" s="11">
        <f t="shared" si="132"/>
        <v>0</v>
      </c>
      <c r="W12" s="11">
        <f t="shared" si="132"/>
        <v>0</v>
      </c>
      <c r="X12" s="11">
        <f t="shared" si="132"/>
        <v>0</v>
      </c>
      <c r="Y12" s="11">
        <f t="shared" si="132"/>
        <v>0</v>
      </c>
      <c r="Z12" s="11">
        <f t="shared" si="132"/>
        <v>0</v>
      </c>
      <c r="AA12" s="11">
        <f t="shared" si="132"/>
        <v>0</v>
      </c>
      <c r="AB12" s="11">
        <f t="shared" si="132"/>
        <v>0</v>
      </c>
      <c r="AC12" s="11">
        <f t="shared" si="132"/>
        <v>0</v>
      </c>
      <c r="AD12" s="11">
        <f t="shared" si="132"/>
        <v>64988.577549543974</v>
      </c>
      <c r="AE12" s="11">
        <f t="shared" si="132"/>
        <v>65205.206141375791</v>
      </c>
      <c r="AF12" s="11">
        <f t="shared" si="132"/>
        <v>65422.556828513712</v>
      </c>
      <c r="AG12" s="11">
        <f t="shared" si="132"/>
        <v>65640.632017942087</v>
      </c>
      <c r="AH12" s="11">
        <f t="shared" si="132"/>
        <v>65859.43412466858</v>
      </c>
      <c r="AI12" s="11">
        <f t="shared" si="132"/>
        <v>66078.965571750799</v>
      </c>
      <c r="AJ12" s="11">
        <f t="shared" si="132"/>
        <v>66299.228790323323</v>
      </c>
      <c r="AK12" s="11">
        <f t="shared" si="132"/>
        <v>66520.226219624412</v>
      </c>
      <c r="AL12" s="11">
        <f t="shared" ref="AL12:BM12" si="133">IF(AL2&gt;=(Старт+365*2),$C$12*AL5,0)</f>
        <v>66741.960307023168</v>
      </c>
      <c r="AM12" s="11">
        <f t="shared" si="133"/>
        <v>66964.433508046583</v>
      </c>
      <c r="AN12" s="11">
        <f t="shared" si="133"/>
        <v>67187.648286406751</v>
      </c>
      <c r="AO12" s="11">
        <f t="shared" si="133"/>
        <v>67411.607114028113</v>
      </c>
      <c r="AP12" s="11">
        <f t="shared" si="133"/>
        <v>67636.312471074867</v>
      </c>
      <c r="AQ12" s="11">
        <f t="shared" si="133"/>
        <v>67861.766845978462</v>
      </c>
      <c r="AR12" s="11">
        <f t="shared" si="133"/>
        <v>68087.972735465053</v>
      </c>
      <c r="AS12" s="11">
        <f t="shared" si="133"/>
        <v>68314.93264458327</v>
      </c>
      <c r="AT12" s="11">
        <f t="shared" si="133"/>
        <v>68542.649086731893</v>
      </c>
      <c r="AU12" s="11">
        <f t="shared" si="133"/>
        <v>68771.124583687677</v>
      </c>
      <c r="AV12" s="11">
        <f t="shared" si="133"/>
        <v>69000.361665633303</v>
      </c>
      <c r="AW12" s="11">
        <f t="shared" si="133"/>
        <v>69230.362871185411</v>
      </c>
      <c r="AX12" s="11">
        <f t="shared" si="133"/>
        <v>69461.130747422707</v>
      </c>
      <c r="AY12" s="11">
        <f t="shared" si="133"/>
        <v>69692.667849914113</v>
      </c>
      <c r="AZ12" s="11">
        <f t="shared" si="133"/>
        <v>69924.976742747167</v>
      </c>
      <c r="BA12" s="11">
        <f t="shared" si="133"/>
        <v>70158.059998556317</v>
      </c>
      <c r="BB12" s="11">
        <f t="shared" si="133"/>
        <v>70391.92019855151</v>
      </c>
      <c r="BC12" s="11">
        <f t="shared" si="133"/>
        <v>70626.55993254669</v>
      </c>
      <c r="BD12" s="11">
        <f t="shared" si="133"/>
        <v>70861.98179898852</v>
      </c>
      <c r="BE12" s="11">
        <f t="shared" si="133"/>
        <v>71098.188404985151</v>
      </c>
      <c r="BF12" s="11">
        <f t="shared" si="133"/>
        <v>71335.18236633511</v>
      </c>
      <c r="BG12" s="11">
        <f t="shared" si="133"/>
        <v>71572.966307556228</v>
      </c>
      <c r="BH12" s="11">
        <f t="shared" si="133"/>
        <v>71811.542861914757</v>
      </c>
      <c r="BI12" s="11">
        <f t="shared" si="133"/>
        <v>72050.914671454477</v>
      </c>
      <c r="BJ12" s="11">
        <f t="shared" si="133"/>
        <v>72291.084387025985</v>
      </c>
      <c r="BK12" s="11">
        <f t="shared" si="133"/>
        <v>72532.054668316079</v>
      </c>
      <c r="BL12" s="11">
        <f t="shared" si="133"/>
        <v>72773.828183877136</v>
      </c>
      <c r="BM12" s="11">
        <f t="shared" si="133"/>
        <v>73016.407611156741</v>
      </c>
    </row>
    <row r="13" spans="2:65" x14ac:dyDescent="0.35">
      <c r="B13" s="29" t="s">
        <v>52</v>
      </c>
      <c r="C13" s="11"/>
      <c r="D13" s="74" t="s">
        <v>186</v>
      </c>
      <c r="E13" s="11">
        <f t="shared" si="86"/>
        <v>7448782.5433294512</v>
      </c>
      <c r="F13" s="11">
        <f>Выручка!F8*'Входящие данные'!$C$5+Выручка!F10*'Входящие данные'!$C$6</f>
        <v>0</v>
      </c>
      <c r="G13" s="11">
        <f>Выручка!G8*'Входящие данные'!$C$5+Выручка!G10*'Входящие данные'!$C$6</f>
        <v>18249.386093749999</v>
      </c>
      <c r="H13" s="11">
        <f>Выручка!H8*'Входящие данные'!$C$5+Выручка!H10*'Входящие данные'!$C$6</f>
        <v>18325.425202473962</v>
      </c>
      <c r="I13" s="11">
        <f>Выручка!I8*'Входящие данные'!$C$5+Выручка!I10*'Входящие данные'!$C$6</f>
        <v>55205.34342245281</v>
      </c>
      <c r="J13" s="11">
        <f>Выручка!J8*'Входящие данные'!$C$5+Выручка!J10*'Входящие данные'!$C$6</f>
        <v>64674.593301165194</v>
      </c>
      <c r="K13" s="11">
        <f>Выручка!K8*'Входящие данные'!$C$5+Выручка!K10*'Входящие данные'!$C$6</f>
        <v>64944.070773253377</v>
      </c>
      <c r="L13" s="11">
        <f>Выручка!L8*'Входящие данные'!$C$5+Выручка!L10*'Входящие данные'!$C$6</f>
        <v>65214.671068141935</v>
      </c>
      <c r="M13" s="11">
        <f>Выручка!M8*'Входящие данные'!$C$5+Выручка!M10*'Входящие данные'!$C$6</f>
        <v>112262.39805301576</v>
      </c>
      <c r="N13" s="11">
        <f>Выручка!N8*'Входящие данные'!$C$5+Выручка!N10*'Входящие данные'!$C$6</f>
        <v>112730.15804490334</v>
      </c>
      <c r="O13" s="11">
        <f>Выручка!O8*'Входящие данные'!$C$5+Выручка!O10*'Входящие данные'!$C$6</f>
        <v>169799.80055513565</v>
      </c>
      <c r="P13" s="11">
        <f>Выручка!P8*'Входящие данные'!$C$5+Выручка!P10*'Входящие данные'!$C$6</f>
        <v>132616.78867431195</v>
      </c>
      <c r="Q13" s="11">
        <f>Выручка!Q8*'Входящие данные'!$C$5+Выручка!Q10*'Входящие данные'!$C$6</f>
        <v>133169.35862712158</v>
      </c>
      <c r="R13" s="11">
        <f>Выручка!R8*'Входящие данные'!$C$5+Выручка!R10*'Входящие данные'!$C$6</f>
        <v>191034.61564962083</v>
      </c>
      <c r="S13" s="11">
        <f>Выручка!S8*'Входящие данные'!$C$5+Выручка!S10*'Входящие данные'!$C$6</f>
        <v>232472.64456714643</v>
      </c>
      <c r="T13" s="11">
        <f>Выручка!T8*'Входящие данные'!$C$5+Выручка!T10*'Входящие данные'!$C$6</f>
        <v>210097.15252755859</v>
      </c>
      <c r="U13" s="11">
        <f>Выручка!U8*'Входящие данные'!$C$5+Выручка!U10*'Входящие данные'!$C$6</f>
        <v>281296.74310634233</v>
      </c>
      <c r="V13" s="11">
        <f>Выручка!V8*'Входящие данные'!$C$5+Выручка!V10*'Входящие данные'!$C$6</f>
        <v>211851.60965196404</v>
      </c>
      <c r="W13" s="11">
        <f>Выручка!W8*'Входящие данные'!$C$5+Выручка!W10*'Входящие данные'!$C$6</f>
        <v>189097.1775041605</v>
      </c>
      <c r="X13" s="11">
        <f>Выручка!X8*'Входящие данные'!$C$5+Выручка!X10*'Входящие данные'!$C$6</f>
        <v>261091.98831433829</v>
      </c>
      <c r="Y13" s="11">
        <f>Выручка!Y8*'Входящие данные'!$C$5+Выручка!Y10*'Входящие данные'!$C$6</f>
        <v>286014.40538070688</v>
      </c>
      <c r="Z13" s="11">
        <f>Выручка!Z8*'Входящие данные'!$C$5+Выручка!Z10*'Входящие данные'!$C$6</f>
        <v>335073.82074809208</v>
      </c>
      <c r="AA13" s="11">
        <f>Выручка!AA8*'Входящие данные'!$C$5+Выручка!AA10*'Входящие данные'!$C$6</f>
        <v>432604.23643012601</v>
      </c>
      <c r="AB13" s="11">
        <f>Выручка!AB8*'Входящие данные'!$C$5+Выручка!AB10*'Входящие данные'!$C$6</f>
        <v>168935.95992074593</v>
      </c>
      <c r="AC13" s="11">
        <f>Выручка!AC8*'Входящие данные'!$C$5+Выручка!AC10*'Входящие данные'!$C$6</f>
        <v>193874.12543285603</v>
      </c>
      <c r="AD13" s="11">
        <f>Выручка!AD8*'Входящие данные'!$C$5+Выручка!AD10*'Входящие данные'!$C$6</f>
        <v>292022.90143323946</v>
      </c>
      <c r="AE13" s="11">
        <f>Выручка!AE8*'Входящие данные'!$C$5+Выручка!AE10*'Входящие данные'!$C$6</f>
        <v>342112.94077630201</v>
      </c>
      <c r="AF13" s="11">
        <f>Выручка!AF8*'Входящие данные'!$C$5+Выручка!AF10*'Входящие данные'!$C$6</f>
        <v>294461.49545388855</v>
      </c>
      <c r="AG13" s="11">
        <f>Выручка!AG8*'Входящие данные'!$C$5+Выручка!AG10*'Входящие данные'!$C$6</f>
        <v>344969.82141021523</v>
      </c>
      <c r="AH13" s="11">
        <f>Выручка!AH8*'Входящие данные'!$C$5+Выручка!AH10*'Входящие данные'!$C$6</f>
        <v>247433.71119006508</v>
      </c>
      <c r="AI13" s="11">
        <f>Выручка!AI8*'Входящие данные'!$C$5+Выручка!AI10*'Входящие данные'!$C$6</f>
        <v>198771.7479893523</v>
      </c>
      <c r="AJ13" s="11">
        <f>Выручка!AJ8*'Входящие данные'!$C$5+Выручка!AJ10*'Входящие данные'!$C$6</f>
        <v>299399.94540896185</v>
      </c>
      <c r="AK13" s="11">
        <f>Выручка!AK8*'Входящие данные'!$C$5+Выручка!AK10*'Входящие данные'!$C$6</f>
        <v>300647.44518149924</v>
      </c>
      <c r="AL13" s="11">
        <f>Выручка!AL8*'Входящие данные'!$C$5+Выручка!AL10*'Входящие данные'!$C$6</f>
        <v>352216.83334804804</v>
      </c>
      <c r="AM13" s="11">
        <f>Выручка!AM8*'Входящие данные'!$C$5+Выручка!AM10*'Входящие данные'!$C$6</f>
        <v>454737.09019756917</v>
      </c>
      <c r="AN13" s="11">
        <f>Выручка!AN8*'Входящие данные'!$C$5+Выручка!AN10*'Входящие данные'!$C$6</f>
        <v>177579.04425076369</v>
      </c>
      <c r="AO13" s="11">
        <f>Выручка!AO8*'Входящие данные'!$C$5+Выручка!AO10*'Входящие данные'!$C$6</f>
        <v>203793.09364016214</v>
      </c>
      <c r="AP13" s="11">
        <f>Выручка!AP8*'Входящие данные'!$C$5+Выручка!AP10*'Входящие данные'!$C$6</f>
        <v>306963.34729549428</v>
      </c>
      <c r="AQ13" s="11">
        <f>Выручка!AQ8*'Входящие данные'!$C$5+Выручка!AQ10*'Входящие данные'!$C$6</f>
        <v>359616.08811631857</v>
      </c>
      <c r="AR13" s="11">
        <f>Выручка!AR8*'Входящие данные'!$C$5+Выручка!AR10*'Входящие данные'!$C$6</f>
        <v>309526.70441440283</v>
      </c>
      <c r="AS13" s="11">
        <f>Выручка!AS8*'Входящие данные'!$C$5+Выручка!AS10*'Входящие данные'!$C$6</f>
        <v>310816.39901612949</v>
      </c>
      <c r="AT13" s="11">
        <f>Выручка!AT8*'Входящие данные'!$C$5+Выручка!AT10*'Входящие данные'!$C$6</f>
        <v>260092.88945446943</v>
      </c>
      <c r="AU13" s="11">
        <f>Выручка!AU8*'Входящие данные'!$C$5+Выручка!AU10*'Входящие данные'!$C$6</f>
        <v>208941.2878617571</v>
      </c>
      <c r="AV13" s="11">
        <f>Выручка!AV8*'Входящие данные'!$C$5+Выручка!AV10*'Входящие данные'!$C$6</f>
        <v>314717.81484177161</v>
      </c>
      <c r="AW13" s="11">
        <f>Выручка!AW8*'Входящие данные'!$C$5+Выручка!AW10*'Входящие данные'!$C$6</f>
        <v>316029.13907027896</v>
      </c>
      <c r="AX13" s="11">
        <f>Выручка!AX8*'Входящие данные'!$C$5+Выручка!AX10*'Входящие данные'!$C$6</f>
        <v>370236.91500802815</v>
      </c>
      <c r="AY13" s="11">
        <f>Выручка!AY8*'Входящие данные'!$C$5+Выручка!AY10*'Входящие данные'!$C$6</f>
        <v>478002.30276929354</v>
      </c>
      <c r="AZ13" s="11">
        <f>Выручка!AZ8*'Входящие данные'!$C$5+Выручка!AZ10*'Входящие данные'!$C$6</f>
        <v>186664.32517865702</v>
      </c>
      <c r="BA13" s="11">
        <f>Выручка!BA8*'Входящие данные'!$C$5+Выручка!BA10*'Входящие данные'!$C$6</f>
        <v>214219.53508598253</v>
      </c>
      <c r="BB13" s="11">
        <f>Выручка!BB8*'Входящие данные'!$C$5+Выручка!BB10*'Входящие данные'!$C$6</f>
        <v>322668.17472326127</v>
      </c>
      <c r="BC13" s="11">
        <f>Выручка!BC8*'Входящие данные'!$C$5+Выручка!BC10*'Входящие данные'!$C$6</f>
        <v>378014.72969315399</v>
      </c>
      <c r="BD13" s="11">
        <f>Выручка!BD8*'Входящие данные'!$C$5+Выручка!BD10*'Входящие данные'!$C$6</f>
        <v>325362.67805732181</v>
      </c>
      <c r="BE13" s="11">
        <f>Выручка!BE8*'Входящие данные'!$C$5+Выручка!BE10*'Входящие данные'!$C$6</f>
        <v>326718.35588256066</v>
      </c>
      <c r="BF13" s="11">
        <f>Выручка!BF8*'Входящие данные'!$C$5+Выручка!BF10*'Входящие данные'!$C$6</f>
        <v>273399.73530450388</v>
      </c>
      <c r="BG13" s="11">
        <f>Выручка!BG8*'Входящие данные'!$C$5+Выручка!BG10*'Входящие данные'!$C$6</f>
        <v>219631.12069461815</v>
      </c>
      <c r="BH13" s="11">
        <f>Выручка!BH8*'Входящие данные'!$C$5+Выручка!BH10*'Входящие данные'!$C$6</f>
        <v>330819.37554626854</v>
      </c>
      <c r="BI13" s="11">
        <f>Выручка!BI8*'Входящие данные'!$C$5+Выручка!BI10*'Входящие данные'!$C$6</f>
        <v>332197.78961104463</v>
      </c>
      <c r="BJ13" s="11">
        <f>Выручка!BJ8*'Входящие данные'!$C$5+Выручка!BJ10*'Входящие данные'!$C$6</f>
        <v>389178.93824571685</v>
      </c>
      <c r="BK13" s="11">
        <f>Выручка!BK8*'Входящие данные'!$C$5+Выручка!BK10*'Входящие данные'!$C$6</f>
        <v>502457.80777080951</v>
      </c>
      <c r="BL13" s="11">
        <f>Выручка!BL8*'Входящие данные'!$C$5+Выручка!BL10*'Входящие данные'!$C$6</f>
        <v>196214.42632161008</v>
      </c>
      <c r="BM13" s="11">
        <f>Выручка!BM8*'Входящие данные'!$C$5+Выручка!BM10*'Входящие данные'!$C$6</f>
        <v>225179.41306432395</v>
      </c>
    </row>
    <row r="14" spans="2:65" x14ac:dyDescent="0.35">
      <c r="B14" s="29" t="s">
        <v>90</v>
      </c>
      <c r="C14" s="11">
        <v>40000</v>
      </c>
      <c r="D14" s="7"/>
      <c r="E14" s="11">
        <f t="shared" si="86"/>
        <v>1487262.4942149378</v>
      </c>
      <c r="F14" s="11">
        <f t="shared" ref="F14:AO14" si="134">IF(F2&gt;=СтартОперационнойДеятельности,$C$14*F5,0)</f>
        <v>0</v>
      </c>
      <c r="G14" s="11">
        <f t="shared" si="134"/>
        <v>40133.333333333336</v>
      </c>
      <c r="H14" s="11">
        <f t="shared" si="134"/>
        <v>40267.111111111117</v>
      </c>
      <c r="I14" s="11">
        <f t="shared" si="134"/>
        <v>40401.334814814829</v>
      </c>
      <c r="J14" s="11">
        <f t="shared" si="134"/>
        <v>40536.005930864223</v>
      </c>
      <c r="K14" s="11">
        <f t="shared" si="134"/>
        <v>40671.125950633774</v>
      </c>
      <c r="L14" s="11">
        <f t="shared" si="134"/>
        <v>40806.696370469224</v>
      </c>
      <c r="M14" s="11">
        <f t="shared" si="134"/>
        <v>40942.718691704118</v>
      </c>
      <c r="N14" s="11">
        <f t="shared" si="134"/>
        <v>41079.194420676475</v>
      </c>
      <c r="O14" s="11">
        <f t="shared" si="134"/>
        <v>41216.125068745394</v>
      </c>
      <c r="P14" s="11">
        <f t="shared" si="134"/>
        <v>41353.512152307878</v>
      </c>
      <c r="Q14" s="11">
        <f t="shared" si="134"/>
        <v>41491.357192815572</v>
      </c>
      <c r="R14" s="11">
        <f t="shared" si="134"/>
        <v>41629.661716791627</v>
      </c>
      <c r="S14" s="11">
        <f t="shared" si="134"/>
        <v>41768.4272558476</v>
      </c>
      <c r="T14" s="11">
        <f t="shared" si="134"/>
        <v>41907.655346700434</v>
      </c>
      <c r="U14" s="11">
        <f t="shared" si="134"/>
        <v>42047.347531189436</v>
      </c>
      <c r="V14" s="11">
        <f t="shared" si="134"/>
        <v>42187.505356293397</v>
      </c>
      <c r="W14" s="11">
        <f t="shared" si="134"/>
        <v>42328.130374147717</v>
      </c>
      <c r="X14" s="11">
        <f t="shared" si="134"/>
        <v>42469.224142061546</v>
      </c>
      <c r="Y14" s="11">
        <f t="shared" si="134"/>
        <v>42610.788222535084</v>
      </c>
      <c r="Z14" s="11">
        <f t="shared" si="134"/>
        <v>42752.824183276869</v>
      </c>
      <c r="AA14" s="11">
        <f t="shared" si="134"/>
        <v>42895.333597221128</v>
      </c>
      <c r="AB14" s="11">
        <f t="shared" si="134"/>
        <v>43038.318042545208</v>
      </c>
      <c r="AC14" s="11">
        <f t="shared" si="134"/>
        <v>43181.779102687025</v>
      </c>
      <c r="AD14" s="11">
        <f t="shared" si="134"/>
        <v>43325.718366362649</v>
      </c>
      <c r="AE14" s="11">
        <f t="shared" si="134"/>
        <v>43470.137427583861</v>
      </c>
      <c r="AF14" s="11">
        <f t="shared" si="134"/>
        <v>43615.037885675811</v>
      </c>
      <c r="AG14" s="11">
        <f t="shared" si="134"/>
        <v>43760.42134529473</v>
      </c>
      <c r="AH14" s="11">
        <f t="shared" si="134"/>
        <v>43906.289416445718</v>
      </c>
      <c r="AI14" s="11">
        <f t="shared" si="134"/>
        <v>44052.64371450054</v>
      </c>
      <c r="AJ14" s="11">
        <f t="shared" si="134"/>
        <v>44199.485860215544</v>
      </c>
      <c r="AK14" s="11">
        <f t="shared" si="134"/>
        <v>44346.817479749603</v>
      </c>
      <c r="AL14" s="11">
        <f t="shared" si="134"/>
        <v>44494.640204682109</v>
      </c>
      <c r="AM14" s="11">
        <f t="shared" si="134"/>
        <v>44642.955672031057</v>
      </c>
      <c r="AN14" s="11">
        <f t="shared" si="134"/>
        <v>44791.765524271163</v>
      </c>
      <c r="AO14" s="11">
        <f t="shared" si="134"/>
        <v>44941.071409352073</v>
      </c>
      <c r="AP14" s="11">
        <f t="shared" ref="AP14:BJ14" si="135">IF(AP2&gt;=СтартОперационнойДеятельности,$C$14*AP5,0)</f>
        <v>45090.87498071658</v>
      </c>
      <c r="AQ14" s="11">
        <f t="shared" si="135"/>
        <v>45241.177897318972</v>
      </c>
      <c r="AR14" s="11">
        <f t="shared" si="135"/>
        <v>45391.981823643371</v>
      </c>
      <c r="AS14" s="11">
        <f t="shared" si="135"/>
        <v>45543.288429722183</v>
      </c>
      <c r="AT14" s="11">
        <f t="shared" si="135"/>
        <v>45695.099391154596</v>
      </c>
      <c r="AU14" s="11">
        <f t="shared" si="135"/>
        <v>45847.416389125116</v>
      </c>
      <c r="AV14" s="11">
        <f t="shared" si="135"/>
        <v>46000.241110422205</v>
      </c>
      <c r="AW14" s="11">
        <f t="shared" si="135"/>
        <v>46153.575247456945</v>
      </c>
      <c r="AX14" s="11">
        <f t="shared" si="135"/>
        <v>46307.420498281805</v>
      </c>
      <c r="AY14" s="11">
        <f t="shared" si="135"/>
        <v>46461.778566609413</v>
      </c>
      <c r="AZ14" s="11">
        <f t="shared" si="135"/>
        <v>46616.65116183144</v>
      </c>
      <c r="BA14" s="11">
        <f t="shared" si="135"/>
        <v>46772.039999037552</v>
      </c>
      <c r="BB14" s="11">
        <f t="shared" si="135"/>
        <v>46927.94679903434</v>
      </c>
      <c r="BC14" s="11">
        <f t="shared" si="135"/>
        <v>47084.373288364462</v>
      </c>
      <c r="BD14" s="11">
        <f t="shared" si="135"/>
        <v>47241.321199325677</v>
      </c>
      <c r="BE14" s="11">
        <f t="shared" si="135"/>
        <v>47398.792269990103</v>
      </c>
      <c r="BF14" s="11">
        <f t="shared" si="135"/>
        <v>47556.788244223404</v>
      </c>
      <c r="BG14" s="11">
        <f t="shared" si="135"/>
        <v>47715.310871704154</v>
      </c>
      <c r="BH14" s="11">
        <f t="shared" si="135"/>
        <v>47874.361907943166</v>
      </c>
      <c r="BI14" s="11">
        <f t="shared" si="135"/>
        <v>48033.943114302987</v>
      </c>
      <c r="BJ14" s="11">
        <f t="shared" si="135"/>
        <v>48194.056258017328</v>
      </c>
      <c r="BK14" s="11">
        <f t="shared" ref="BK14:BM14" si="136">IF(BK2&gt;=СтартОперационнойДеятельности,$C$14*BK5,0)</f>
        <v>48354.703112210722</v>
      </c>
      <c r="BL14" s="11">
        <f t="shared" si="136"/>
        <v>48515.885455918098</v>
      </c>
      <c r="BM14" s="11">
        <f t="shared" si="136"/>
        <v>48677.605074104496</v>
      </c>
    </row>
    <row r="15" spans="2:65" x14ac:dyDescent="0.35">
      <c r="B15" s="29" t="s">
        <v>29</v>
      </c>
      <c r="C15" s="11">
        <v>5000</v>
      </c>
      <c r="D15" s="7"/>
      <c r="E15" s="11">
        <f t="shared" si="86"/>
        <v>185907.81177686722</v>
      </c>
      <c r="F15" s="11">
        <f t="shared" ref="F15:AO15" si="137">IF(F2&gt;=СтартОперационнойДеятельности,$C$15*F5,0)</f>
        <v>0</v>
      </c>
      <c r="G15" s="11">
        <f t="shared" si="137"/>
        <v>5016.666666666667</v>
      </c>
      <c r="H15" s="11">
        <f t="shared" si="137"/>
        <v>5033.3888888888896</v>
      </c>
      <c r="I15" s="11">
        <f t="shared" si="137"/>
        <v>5050.1668518518536</v>
      </c>
      <c r="J15" s="11">
        <f t="shared" si="137"/>
        <v>5067.0007413580279</v>
      </c>
      <c r="K15" s="11">
        <f t="shared" si="137"/>
        <v>5083.8907438292217</v>
      </c>
      <c r="L15" s="11">
        <f t="shared" si="137"/>
        <v>5100.837046308653</v>
      </c>
      <c r="M15" s="11">
        <f t="shared" si="137"/>
        <v>5117.8398364630148</v>
      </c>
      <c r="N15" s="11">
        <f t="shared" si="137"/>
        <v>5134.8993025845593</v>
      </c>
      <c r="O15" s="11">
        <f t="shared" si="137"/>
        <v>5152.0156335931742</v>
      </c>
      <c r="P15" s="11">
        <f t="shared" si="137"/>
        <v>5169.1890190384847</v>
      </c>
      <c r="Q15" s="11">
        <f t="shared" si="137"/>
        <v>5186.4196491019466</v>
      </c>
      <c r="R15" s="11">
        <f t="shared" si="137"/>
        <v>5203.7077145989533</v>
      </c>
      <c r="S15" s="11">
        <f t="shared" si="137"/>
        <v>5221.0534069809501</v>
      </c>
      <c r="T15" s="11">
        <f t="shared" si="137"/>
        <v>5238.4569183375543</v>
      </c>
      <c r="U15" s="11">
        <f t="shared" si="137"/>
        <v>5255.9184413986795</v>
      </c>
      <c r="V15" s="11">
        <f t="shared" si="137"/>
        <v>5273.4381695366746</v>
      </c>
      <c r="W15" s="11">
        <f t="shared" si="137"/>
        <v>5291.0162967684646</v>
      </c>
      <c r="X15" s="11">
        <f t="shared" si="137"/>
        <v>5308.6530177576933</v>
      </c>
      <c r="Y15" s="11">
        <f t="shared" si="137"/>
        <v>5326.3485278168855</v>
      </c>
      <c r="Z15" s="11">
        <f t="shared" si="137"/>
        <v>5344.1030229096086</v>
      </c>
      <c r="AA15" s="11">
        <f t="shared" si="137"/>
        <v>5361.916699652641</v>
      </c>
      <c r="AB15" s="11">
        <f t="shared" si="137"/>
        <v>5379.789755318151</v>
      </c>
      <c r="AC15" s="11">
        <f t="shared" si="137"/>
        <v>5397.7223878358782</v>
      </c>
      <c r="AD15" s="11">
        <f t="shared" si="137"/>
        <v>5415.7147957953312</v>
      </c>
      <c r="AE15" s="11">
        <f t="shared" si="137"/>
        <v>5433.7671784479826</v>
      </c>
      <c r="AF15" s="11">
        <f t="shared" si="137"/>
        <v>5451.8797357094763</v>
      </c>
      <c r="AG15" s="11">
        <f t="shared" si="137"/>
        <v>5470.0526681618412</v>
      </c>
      <c r="AH15" s="11">
        <f t="shared" si="137"/>
        <v>5488.2861770557147</v>
      </c>
      <c r="AI15" s="11">
        <f t="shared" si="137"/>
        <v>5506.5804643125675</v>
      </c>
      <c r="AJ15" s="11">
        <f t="shared" si="137"/>
        <v>5524.935732526943</v>
      </c>
      <c r="AK15" s="11">
        <f t="shared" si="137"/>
        <v>5543.3521849687004</v>
      </c>
      <c r="AL15" s="11">
        <f t="shared" si="137"/>
        <v>5561.8300255852637</v>
      </c>
      <c r="AM15" s="11">
        <f t="shared" si="137"/>
        <v>5580.3694590038822</v>
      </c>
      <c r="AN15" s="11">
        <f t="shared" si="137"/>
        <v>5598.9706905338953</v>
      </c>
      <c r="AO15" s="11">
        <f t="shared" si="137"/>
        <v>5617.6339261690091</v>
      </c>
      <c r="AP15" s="11">
        <f t="shared" ref="AP15:BJ15" si="138">IF(AP2&gt;=СтартОперационнойДеятельности,$C$15*AP5,0)</f>
        <v>5636.3593725895726</v>
      </c>
      <c r="AQ15" s="11">
        <f t="shared" si="138"/>
        <v>5655.1472371648715</v>
      </c>
      <c r="AR15" s="11">
        <f t="shared" si="138"/>
        <v>5673.9977279554214</v>
      </c>
      <c r="AS15" s="11">
        <f t="shared" si="138"/>
        <v>5692.9110537152728</v>
      </c>
      <c r="AT15" s="11">
        <f t="shared" si="138"/>
        <v>5711.8874238943245</v>
      </c>
      <c r="AU15" s="11">
        <f t="shared" si="138"/>
        <v>5730.9270486406394</v>
      </c>
      <c r="AV15" s="11">
        <f t="shared" si="138"/>
        <v>5750.0301388027756</v>
      </c>
      <c r="AW15" s="11">
        <f t="shared" si="138"/>
        <v>5769.1969059321182</v>
      </c>
      <c r="AX15" s="11">
        <f t="shared" si="138"/>
        <v>5788.4275622852256</v>
      </c>
      <c r="AY15" s="11">
        <f t="shared" si="138"/>
        <v>5807.7223208261767</v>
      </c>
      <c r="AZ15" s="11">
        <f t="shared" si="138"/>
        <v>5827.08139522893</v>
      </c>
      <c r="BA15" s="11">
        <f t="shared" si="138"/>
        <v>5846.504999879694</v>
      </c>
      <c r="BB15" s="11">
        <f t="shared" si="138"/>
        <v>5865.9933498792925</v>
      </c>
      <c r="BC15" s="11">
        <f t="shared" si="138"/>
        <v>5885.5466610455578</v>
      </c>
      <c r="BD15" s="11">
        <f t="shared" si="138"/>
        <v>5905.1651499157097</v>
      </c>
      <c r="BE15" s="11">
        <f t="shared" si="138"/>
        <v>5924.8490337487628</v>
      </c>
      <c r="BF15" s="11">
        <f t="shared" si="138"/>
        <v>5944.5985305279255</v>
      </c>
      <c r="BG15" s="11">
        <f t="shared" si="138"/>
        <v>5964.4138589630193</v>
      </c>
      <c r="BH15" s="11">
        <f t="shared" si="138"/>
        <v>5984.2952384928958</v>
      </c>
      <c r="BI15" s="11">
        <f t="shared" si="138"/>
        <v>6004.2428892878734</v>
      </c>
      <c r="BJ15" s="11">
        <f t="shared" si="138"/>
        <v>6024.257032252166</v>
      </c>
      <c r="BK15" s="11">
        <f t="shared" ref="BK15:BM15" si="139">IF(BK2&gt;=СтартОперационнойДеятельности,$C$15*BK5,0)</f>
        <v>6044.3378890263402</v>
      </c>
      <c r="BL15" s="11">
        <f t="shared" si="139"/>
        <v>6064.4856819897623</v>
      </c>
      <c r="BM15" s="11">
        <f t="shared" si="139"/>
        <v>6084.7006342630621</v>
      </c>
    </row>
    <row r="16" spans="2:65" x14ac:dyDescent="0.35">
      <c r="B16" s="29" t="s">
        <v>30</v>
      </c>
      <c r="C16" s="11">
        <v>10000</v>
      </c>
      <c r="D16" s="7"/>
      <c r="E16" s="11">
        <f t="shared" si="86"/>
        <v>371815.62355373445</v>
      </c>
      <c r="F16" s="11">
        <f>IF(F2&gt;=СтартОперационнойДеятельности,$C$16*F5,0)</f>
        <v>0</v>
      </c>
      <c r="G16" s="11">
        <f t="shared" ref="G16:AO16" si="140">IF(G2&gt;=СтартОперационнойДеятельности,$C$16*G5,0)</f>
        <v>10033.333333333334</v>
      </c>
      <c r="H16" s="11">
        <f t="shared" si="140"/>
        <v>10066.777777777779</v>
      </c>
      <c r="I16" s="11">
        <f t="shared" si="140"/>
        <v>10100.333703703707</v>
      </c>
      <c r="J16" s="11">
        <f t="shared" si="140"/>
        <v>10134.001482716056</v>
      </c>
      <c r="K16" s="11">
        <f t="shared" si="140"/>
        <v>10167.781487658443</v>
      </c>
      <c r="L16" s="11">
        <f t="shared" si="140"/>
        <v>10201.674092617306</v>
      </c>
      <c r="M16" s="11">
        <f t="shared" si="140"/>
        <v>10235.67967292603</v>
      </c>
      <c r="N16" s="11">
        <f t="shared" si="140"/>
        <v>10269.798605169119</v>
      </c>
      <c r="O16" s="11">
        <f t="shared" si="140"/>
        <v>10304.031267186348</v>
      </c>
      <c r="P16" s="11">
        <f t="shared" si="140"/>
        <v>10338.378038076969</v>
      </c>
      <c r="Q16" s="11">
        <f t="shared" si="140"/>
        <v>10372.839298203893</v>
      </c>
      <c r="R16" s="11">
        <f t="shared" si="140"/>
        <v>10407.415429197907</v>
      </c>
      <c r="S16" s="11">
        <f t="shared" si="140"/>
        <v>10442.1068139619</v>
      </c>
      <c r="T16" s="11">
        <f t="shared" si="140"/>
        <v>10476.913836675109</v>
      </c>
      <c r="U16" s="11">
        <f t="shared" si="140"/>
        <v>10511.836882797359</v>
      </c>
      <c r="V16" s="11">
        <f t="shared" si="140"/>
        <v>10546.876339073349</v>
      </c>
      <c r="W16" s="11">
        <f t="shared" si="140"/>
        <v>10582.032593536929</v>
      </c>
      <c r="X16" s="11">
        <f t="shared" si="140"/>
        <v>10617.306035515387</v>
      </c>
      <c r="Y16" s="11">
        <f t="shared" si="140"/>
        <v>10652.697055633771</v>
      </c>
      <c r="Z16" s="11">
        <f t="shared" si="140"/>
        <v>10688.206045819217</v>
      </c>
      <c r="AA16" s="11">
        <f t="shared" si="140"/>
        <v>10723.833399305282</v>
      </c>
      <c r="AB16" s="11">
        <f t="shared" si="140"/>
        <v>10759.579510636302</v>
      </c>
      <c r="AC16" s="11">
        <f t="shared" si="140"/>
        <v>10795.444775671756</v>
      </c>
      <c r="AD16" s="11">
        <f t="shared" si="140"/>
        <v>10831.429591590662</v>
      </c>
      <c r="AE16" s="11">
        <f t="shared" si="140"/>
        <v>10867.534356895965</v>
      </c>
      <c r="AF16" s="11">
        <f t="shared" si="140"/>
        <v>10903.759471418953</v>
      </c>
      <c r="AG16" s="11">
        <f t="shared" si="140"/>
        <v>10940.105336323682</v>
      </c>
      <c r="AH16" s="11">
        <f t="shared" si="140"/>
        <v>10976.572354111429</v>
      </c>
      <c r="AI16" s="11">
        <f t="shared" si="140"/>
        <v>11013.160928625135</v>
      </c>
      <c r="AJ16" s="11">
        <f t="shared" si="140"/>
        <v>11049.871465053886</v>
      </c>
      <c r="AK16" s="11">
        <f t="shared" si="140"/>
        <v>11086.704369937401</v>
      </c>
      <c r="AL16" s="11">
        <f t="shared" si="140"/>
        <v>11123.660051170527</v>
      </c>
      <c r="AM16" s="11">
        <f t="shared" si="140"/>
        <v>11160.738918007764</v>
      </c>
      <c r="AN16" s="11">
        <f t="shared" si="140"/>
        <v>11197.941381067791</v>
      </c>
      <c r="AO16" s="11">
        <f t="shared" si="140"/>
        <v>11235.267852338018</v>
      </c>
      <c r="AP16" s="11">
        <f t="shared" ref="AP16:BJ16" si="141">IF(AP2&gt;=СтартОперационнойДеятельности,$C$16*AP5,0)</f>
        <v>11272.718745179145</v>
      </c>
      <c r="AQ16" s="11">
        <f t="shared" si="141"/>
        <v>11310.294474329743</v>
      </c>
      <c r="AR16" s="11">
        <f t="shared" si="141"/>
        <v>11347.995455910843</v>
      </c>
      <c r="AS16" s="11">
        <f t="shared" si="141"/>
        <v>11385.822107430546</v>
      </c>
      <c r="AT16" s="11">
        <f t="shared" si="141"/>
        <v>11423.774847788649</v>
      </c>
      <c r="AU16" s="11">
        <f t="shared" si="141"/>
        <v>11461.854097281279</v>
      </c>
      <c r="AV16" s="11">
        <f t="shared" si="141"/>
        <v>11500.060277605551</v>
      </c>
      <c r="AW16" s="11">
        <f t="shared" si="141"/>
        <v>11538.393811864236</v>
      </c>
      <c r="AX16" s="11">
        <f t="shared" si="141"/>
        <v>11576.855124570451</v>
      </c>
      <c r="AY16" s="11">
        <f t="shared" si="141"/>
        <v>11615.444641652353</v>
      </c>
      <c r="AZ16" s="11">
        <f t="shared" si="141"/>
        <v>11654.16279045786</v>
      </c>
      <c r="BA16" s="11">
        <f t="shared" si="141"/>
        <v>11693.009999759388</v>
      </c>
      <c r="BB16" s="11">
        <f t="shared" si="141"/>
        <v>11731.986699758585</v>
      </c>
      <c r="BC16" s="11">
        <f t="shared" si="141"/>
        <v>11771.093322091116</v>
      </c>
      <c r="BD16" s="11">
        <f t="shared" si="141"/>
        <v>11810.330299831419</v>
      </c>
      <c r="BE16" s="11">
        <f t="shared" si="141"/>
        <v>11849.698067497526</v>
      </c>
      <c r="BF16" s="11">
        <f t="shared" si="141"/>
        <v>11889.197061055851</v>
      </c>
      <c r="BG16" s="11">
        <f t="shared" si="141"/>
        <v>11928.827717926039</v>
      </c>
      <c r="BH16" s="11">
        <f t="shared" si="141"/>
        <v>11968.590476985792</v>
      </c>
      <c r="BI16" s="11">
        <f t="shared" si="141"/>
        <v>12008.485778575747</v>
      </c>
      <c r="BJ16" s="11">
        <f t="shared" si="141"/>
        <v>12048.514064504332</v>
      </c>
      <c r="BK16" s="11">
        <f t="shared" ref="BK16:BM16" si="142">IF(BK2&gt;=СтартОперационнойДеятельности,$C$16*BK5,0)</f>
        <v>12088.67577805268</v>
      </c>
      <c r="BL16" s="11">
        <f t="shared" si="142"/>
        <v>12128.971363979525</v>
      </c>
      <c r="BM16" s="11">
        <f t="shared" si="142"/>
        <v>12169.401268526124</v>
      </c>
    </row>
    <row r="17" spans="2:65" x14ac:dyDescent="0.35">
      <c r="B17" s="1" t="s">
        <v>24</v>
      </c>
      <c r="C17" s="11"/>
      <c r="D17" s="7" t="s">
        <v>187</v>
      </c>
      <c r="E17" s="11">
        <f t="shared" si="86"/>
        <v>1302006.2464175418</v>
      </c>
      <c r="F17" s="11">
        <f>IF(F2&gt;=СтартОперационнойДеятельности,('Входящие данные'!$C$9+Выручка!F9+Выручка!F11)*'Входящие данные'!$C$8*'Входящие данные'!$C$7*F5,0)</f>
        <v>0</v>
      </c>
      <c r="G17" s="11">
        <f>IF(G2&gt;=СтартОперационнойДеятельности,('Входящие данные'!$C$9+Выручка!G9+Выручка!G11)*'Входящие данные'!$C$8*'Входящие данные'!$C$7*G5,0)</f>
        <v>23443.936833333333</v>
      </c>
      <c r="H17" s="11">
        <f>IF(H2&gt;=СтартОперационнойДеятельности,('Входящие данные'!$C$9+Выручка!H9+Выручка!H11)*'Входящие данные'!$C$8*'Входящие данные'!$C$7*H5,0)</f>
        <v>23522.08328944445</v>
      </c>
      <c r="I17" s="11">
        <f>IF(I2&gt;=СтартОперационнойДеятельности,('Входящие данные'!$C$9+Выручка!I9+Выручка!I11)*'Входящие данные'!$C$8*'Входящие данные'!$C$7*I5,0)</f>
        <v>23600.490233742603</v>
      </c>
      <c r="J17" s="11">
        <f>IF(J2&gt;=СтартОперационнойДеятельности,('Входящие данные'!$C$9+Выручка!J9+Выручка!J11)*'Входящие данные'!$C$8*'Входящие данные'!$C$7*J5,0)</f>
        <v>23679.158534521746</v>
      </c>
      <c r="K17" s="11">
        <f>IF(K2&gt;=СтартОперационнойДеятельности,('Входящие данные'!$C$9+Выручка!K9+Выручка!K11)*'Входящие данные'!$C$8*'Входящие данные'!$C$7*K5,0)</f>
        <v>23758.089062970153</v>
      </c>
      <c r="L17" s="11">
        <f>IF(L2&gt;=СтартОперационнойДеятельности,('Входящие данные'!$C$9+Выручка!L9+Выручка!L11)*'Входящие данные'!$C$8*'Входящие данные'!$C$7*L5,0)</f>
        <v>23837.282693180059</v>
      </c>
      <c r="M17" s="11">
        <f>IF(M2&gt;=СтартОперационнойДеятельности,('Входящие данные'!$C$9+Выручка!M9+Выручка!M11)*'Входящие данные'!$C$8*'Входящие данные'!$C$7*M5,0)</f>
        <v>34094.076600947679</v>
      </c>
      <c r="N17" s="11">
        <f>IF(N2&gt;=СтартОперационнойДеятельности,('Входящие данные'!$C$9+Выручка!N9+Выручка!N11)*'Входящие данные'!$C$8*'Входящие данные'!$C$7*N5,0)</f>
        <v>34207.723522950844</v>
      </c>
      <c r="O17" s="11">
        <f>IF(O2&gt;=СтартОперационнойДеятельности,('Входящие данные'!$C$9+Выручка!O9+Выручка!O11)*'Входящие данные'!$C$8*'Входящие данные'!$C$7*O5,0)</f>
        <v>34321.74926802735</v>
      </c>
      <c r="P17" s="11">
        <f>IF(P2&gt;=СтартОперационнойДеятельности,('Входящие данные'!$C$9+Выручка!P9+Выручка!P11)*'Входящие данные'!$C$8*'Входящие данные'!$C$7*P5,0)</f>
        <v>34436.155098920768</v>
      </c>
      <c r="Q17" s="11">
        <f>IF(Q2&gt;=СтартОперационнойДеятельности,('Входящие данные'!$C$9+Выручка!Q9+Выручка!Q11)*'Входящие данные'!$C$8*'Входящие данные'!$C$7*Q5,0)</f>
        <v>34550.942282583841</v>
      </c>
      <c r="R17" s="11">
        <f>IF(R2&gt;=СтартОперационнойДеятельности,('Входящие данные'!$C$9+Выручка!R9+Выручка!R11)*'Входящие данные'!$C$8*'Входящие данные'!$C$7*R5,0)</f>
        <v>34666.112090192451</v>
      </c>
      <c r="S17" s="11">
        <f>IF(S2&gt;=СтартОперационнойДеятельности,('Входящие данные'!$C$9+Выручка!S9+Выручка!S11)*'Входящие данные'!$C$8*'Входящие данные'!$C$7*S5,0)</f>
        <v>39972.959199720914</v>
      </c>
      <c r="T17" s="11">
        <f>IF(T2&gt;=СтартОперационнойДеятельности,('Входящие данные'!$C$9+Выручка!T9+Выручка!T11)*'Входящие данные'!$C$8*'Входящие данные'!$C$7*T5,0)</f>
        <v>40106.202397053326</v>
      </c>
      <c r="U17" s="11">
        <f>IF(U2&gt;=СтартОперационнойДеятельности,('Входящие данные'!$C$9+Выручка!U9+Выручка!U11)*'Входящие данные'!$C$8*'Входящие данные'!$C$7*U5,0)</f>
        <v>40239.889738376834</v>
      </c>
      <c r="V17" s="11">
        <f>IF(V2&gt;=СтартОперационнойДеятельности,('Входящие данные'!$C$9+Выручка!V9+Выручка!V11)*'Входящие данные'!$C$8*'Входящие данные'!$C$7*V5,0)</f>
        <v>40374.022704171432</v>
      </c>
      <c r="W17" s="11">
        <f>IF(W2&gt;=СтартОперационнойДеятельности,('Входящие данные'!$C$9+Выручка!W9+Выручка!W11)*'Входящие данные'!$C$8*'Входящие данные'!$C$7*W5,0)</f>
        <v>40508.602779852008</v>
      </c>
      <c r="X17" s="11">
        <f>IF(X2&gt;=СтартОперационнойДеятельности,('Входящие данные'!$C$9+Выручка!X9+Выручка!X11)*'Входящие данные'!$C$8*'Входящие данные'!$C$7*X5,0)</f>
        <v>40643.631455784845</v>
      </c>
      <c r="Y17" s="11">
        <f>IF(Y2&gt;=СтартОперационнойДеятельности,('Входящие данные'!$C$9+Выручка!Y9+Выручка!Y11)*'Входящие данные'!$C$8*'Входящие данные'!$C$7*Y5,0)</f>
        <v>40779.110227304132</v>
      </c>
      <c r="Z17" s="11">
        <f>IF(Z2&gt;=СтартОперационнойДеятельности,('Входящие данные'!$C$9+Выручка!Z9+Выручка!Z11)*'Входящие данные'!$C$8*'Входящие данные'!$C$7*Z5,0)</f>
        <v>40915.040594728482</v>
      </c>
      <c r="AA17" s="11">
        <f>IF(AA2&gt;=СтартОперационнойДеятельности,('Входящие данные'!$C$9+Выручка!AA9+Выручка!AA11)*'Входящие данные'!$C$8*'Входящие данные'!$C$7*AA5,0)</f>
        <v>41051.424063377577</v>
      </c>
      <c r="AB17" s="11">
        <f>IF(AB2&gt;=СтартОперационнойДеятельности,('Входящие данные'!$C$9+Выручка!AB9+Выручка!AB11)*'Входящие данные'!$C$8*'Входящие данные'!$C$7*AB5,0)</f>
        <v>41188.262143588843</v>
      </c>
      <c r="AC17" s="11">
        <f>IF(AC2&gt;=СтартОперационнойДеятельности,('Входящие данные'!$C$9+Выручка!AC9+Выручка!AC11)*'Входящие данные'!$C$8*'Входящие данные'!$C$7*AC5,0)</f>
        <v>41325.556350734143</v>
      </c>
      <c r="AD17" s="11">
        <f>IF(AD2&gt;=СтартОперационнойДеятельности,('Входящие данные'!$C$9+Выручка!AD9+Выручка!AD11)*'Входящие данные'!$C$8*'Входящие данные'!$C$7*AD5,0)</f>
        <v>41463.308205236586</v>
      </c>
      <c r="AE17" s="11">
        <f>IF(AE2&gt;=СтартОперационнойДеятельности,('Входящие данные'!$C$9+Выручка!AE9+Выручка!AE11)*'Входящие данные'!$C$8*'Входящие данные'!$C$7*AE5,0)</f>
        <v>41601.51923258738</v>
      </c>
      <c r="AF17" s="11">
        <f>IF(AF2&gt;=СтартОперационнойДеятельности,('Входящие данные'!$C$9+Выручка!AF9+Выручка!AF11)*'Входящие данные'!$C$8*'Входящие данные'!$C$7*AF5,0)</f>
        <v>41740.190963362671</v>
      </c>
      <c r="AG17" s="11">
        <f>IF(AG2&gt;=СтартОперационнойДеятельности,('Входящие данные'!$C$9+Выручка!AG9+Выручка!AG11)*'Входящие данные'!$C$8*'Входящие данные'!$C$7*AG5,0)</f>
        <v>41879.324933240547</v>
      </c>
      <c r="AH17" s="11">
        <f>IF(AH2&gt;=СтартОперационнойДеятельности,('Входящие данные'!$C$9+Выручка!AH9+Выручка!AH11)*'Входящие данные'!$C$8*'Входящие данные'!$C$7*AH5,0)</f>
        <v>42018.92268301802</v>
      </c>
      <c r="AI17" s="11">
        <f>IF(AI2&gt;=СтартОперационнойДеятельности,('Входящие данные'!$C$9+Выручка!AI9+Выручка!AI11)*'Входящие данные'!$C$8*'Входящие данные'!$C$7*AI5,0)</f>
        <v>42158.985758628085</v>
      </c>
      <c r="AJ17" s="11">
        <f>IF(AJ2&gt;=СтартОперационнойДеятельности,('Входящие данные'!$C$9+Выручка!AJ9+Выручка!AJ11)*'Входящие данные'!$C$8*'Входящие данные'!$C$7*AJ5,0)</f>
        <v>42299.515711156848</v>
      </c>
      <c r="AK17" s="11">
        <f>IF(AK2&gt;=СтартОперационнойДеятельности,('Входящие данные'!$C$9+Выручка!AK9+Выручка!AK11)*'Входящие данные'!$C$8*'Входящие данные'!$C$7*AK5,0)</f>
        <v>42440.514096860716</v>
      </c>
      <c r="AL17" s="11">
        <f>IF(AL2&gt;=СтартОперационнойДеятельности,('Входящие данные'!$C$9+Выручка!AL9+Выручка!AL11)*'Входящие данные'!$C$8*'Входящие данные'!$C$7*AL5,0)</f>
        <v>42581.982477183592</v>
      </c>
      <c r="AM17" s="11">
        <f>IF(AM2&gt;=СтартОперационнойДеятельности,('Входящие данные'!$C$9+Выручка!AM9+Выручка!AM11)*'Входящие данные'!$C$8*'Входящие данные'!$C$7*AM5,0)</f>
        <v>42723.922418774207</v>
      </c>
      <c r="AN17" s="11">
        <f>IF(AN2&gt;=СтартОперационнойДеятельности,('Входящие данные'!$C$9+Выручка!AN9+Выручка!AN11)*'Входящие данные'!$C$8*'Входящие данные'!$C$7*AN5,0)</f>
        <v>42866.335493503459</v>
      </c>
      <c r="AO17" s="11">
        <f>IF(AO2&gt;=СтартОперационнойДеятельности,('Входящие данные'!$C$9+Выручка!AO9+Выручка!AO11)*'Входящие данные'!$C$8*'Входящие данные'!$C$7*AO5,0)</f>
        <v>43009.223278481804</v>
      </c>
      <c r="AP17" s="11">
        <f>IF(AP2&gt;=СтартОперационнойДеятельности,('Входящие данные'!$C$9+Выручка!AP9+Выручка!AP11)*'Входящие данные'!$C$8*'Входящие данные'!$C$7*AP5,0)</f>
        <v>43152.587356076743</v>
      </c>
      <c r="AQ17" s="11">
        <f>IF(AQ2&gt;=СтартОперационнойДеятельности,('Входящие данные'!$C$9+Выручка!AQ9+Выручка!AQ11)*'Входящие данные'!$C$8*'Входящие данные'!$C$7*AQ5,0)</f>
        <v>43296.429313930341</v>
      </c>
      <c r="AR17" s="11">
        <f>IF(AR2&gt;=СтартОперационнойДеятельности,('Входящие данные'!$C$9+Выручка!AR9+Выручка!AR11)*'Входящие данные'!$C$8*'Входящие данные'!$C$7*AR5,0)</f>
        <v>43440.750744976773</v>
      </c>
      <c r="AS17" s="11">
        <f>IF(AS2&gt;=СтартОперационнойДеятельности,('Входящие данные'!$C$9+Выручка!AS9+Выручка!AS11)*'Входящие данные'!$C$8*'Входящие данные'!$C$7*AS5,0)</f>
        <v>43585.553247460033</v>
      </c>
      <c r="AT17" s="11">
        <f>IF(AT2&gt;=СтартОперационнойДеятельности,('Входящие данные'!$C$9+Выручка!AT9+Выручка!AT11)*'Входящие данные'!$C$8*'Входящие данные'!$C$7*AT5,0)</f>
        <v>43730.838424951566</v>
      </c>
      <c r="AU17" s="11">
        <f>IF(AU2&gt;=СтартОперационнойДеятельности,('Входящие данные'!$C$9+Выручка!AU9+Выручка!AU11)*'Входящие данные'!$C$8*'Входящие данные'!$C$7*AU5,0)</f>
        <v>43876.607886368081</v>
      </c>
      <c r="AV17" s="11">
        <f>IF(AV2&gt;=СтартОперационнойДеятельности,('Входящие данные'!$C$9+Выручка!AV9+Выручка!AV11)*'Входящие данные'!$C$8*'Входящие данные'!$C$7*AV5,0)</f>
        <v>44022.863245989312</v>
      </c>
      <c r="AW17" s="11">
        <f>IF(AW2&gt;=СтартОперационнойДеятельности,('Входящие данные'!$C$9+Выручка!AW9+Выручка!AW11)*'Входящие данные'!$C$8*'Входящие данные'!$C$7*AW5,0)</f>
        <v>44169.60612347594</v>
      </c>
      <c r="AX17" s="11">
        <f>IF(AX2&gt;=СтартОперационнойДеятельности,('Входящие данные'!$C$9+Выручка!AX9+Выручка!AX11)*'Входящие данные'!$C$8*'Входящие данные'!$C$7*AX5,0)</f>
        <v>44316.838143887529</v>
      </c>
      <c r="AY17" s="11">
        <f>IF(AY2&gt;=СтартОперационнойДеятельности,('Входящие данные'!$C$9+Выручка!AY9+Выручка!AY11)*'Входящие данные'!$C$8*'Входящие данные'!$C$7*AY5,0)</f>
        <v>44464.560937700495</v>
      </c>
      <c r="AZ17" s="11">
        <f>IF(AZ2&gt;=СтартОперационнойДеятельности,('Входящие данные'!$C$9+Выручка!AZ9+Выручка!AZ11)*'Входящие данные'!$C$8*'Входящие данные'!$C$7*AZ5,0)</f>
        <v>44612.776140826158</v>
      </c>
      <c r="BA17" s="11">
        <f>IF(BA2&gt;=СтартОперационнойДеятельности,('Входящие данные'!$C$9+Выручка!BA9+Выручка!BA11)*'Входящие данные'!$C$8*'Входящие данные'!$C$7*BA5,0)</f>
        <v>44761.485394628915</v>
      </c>
      <c r="BB17" s="11">
        <f>IF(BB2&gt;=СтартОперационнойДеятельности,('Входящие данные'!$C$9+Выручка!BB9+Выручка!BB11)*'Входящие данные'!$C$8*'Входящие данные'!$C$7*BB5,0)</f>
        <v>44910.690345944349</v>
      </c>
      <c r="BC17" s="11">
        <f>IF(BC2&gt;=СтартОперационнойДеятельности,('Входящие данные'!$C$9+Выручка!BC9+Выручка!BC11)*'Входящие данные'!$C$8*'Входящие данные'!$C$7*BC5,0)</f>
        <v>45060.392647097498</v>
      </c>
      <c r="BD17" s="11">
        <f>IF(BD2&gt;=СтартОперационнойДеятельности,('Входящие данные'!$C$9+Выручка!BD9+Выручка!BD11)*'Входящие данные'!$C$8*'Входящие данные'!$C$7*BD5,0)</f>
        <v>45210.593955921162</v>
      </c>
      <c r="BE17" s="11">
        <f>IF(BE2&gt;=СтартОперационнойДеятельности,('Входящие данные'!$C$9+Выручка!BE9+Выручка!BE11)*'Входящие данные'!$C$8*'Входящие данные'!$C$7*BE5,0)</f>
        <v>45361.295935774229</v>
      </c>
      <c r="BF17" s="11">
        <f>IF(BF2&gt;=СтартОперационнойДеятельности,('Входящие данные'!$C$9+Выручка!BF9+Выручка!BF11)*'Входящие данные'!$C$8*'Входящие данные'!$C$7*BF5,0)</f>
        <v>45512.500255560153</v>
      </c>
      <c r="BG17" s="11">
        <f>IF(BG2&gt;=СтартОперационнойДеятельности,('Входящие данные'!$C$9+Выручка!BG9+Выручка!BG11)*'Входящие данные'!$C$8*'Входящие данные'!$C$7*BG5,0)</f>
        <v>45664.208589745358</v>
      </c>
      <c r="BH17" s="11">
        <f>IF(BH2&gt;=СтартОперационнойДеятельности,('Входящие данные'!$C$9+Выручка!BH9+Выручка!BH11)*'Входящие данные'!$C$8*'Входящие данные'!$C$7*BH5,0)</f>
        <v>45816.422618377837</v>
      </c>
      <c r="BI17" s="11">
        <f>IF(BI2&gt;=СтартОперационнойДеятельности,('Входящие данные'!$C$9+Выручка!BI9+Выручка!BI11)*'Входящие данные'!$C$8*'Входящие данные'!$C$7*BI5,0)</f>
        <v>45969.144027105773</v>
      </c>
      <c r="BJ17" s="11">
        <f>IF(BJ2&gt;=СтартОперационнойДеятельности,('Входящие данные'!$C$9+Выручка!BJ9+Выручка!BJ11)*'Входящие данные'!$C$8*'Входящие данные'!$C$7*BJ5,0)</f>
        <v>46122.374507196124</v>
      </c>
      <c r="BK17" s="11">
        <f>IF(BK2&gt;=СтартОперационнойДеятельности,('Входящие данные'!$C$9+Выручка!BK9+Выручка!BK11)*'Входящие данные'!$C$8*'Входящие данные'!$C$7*BK5,0)</f>
        <v>46276.115755553445</v>
      </c>
      <c r="BL17" s="11">
        <f>IF(BL2&gt;=СтартОперационнойДеятельности,('Входящие данные'!$C$9+Выручка!BL9+Выручка!BL11)*'Входящие данные'!$C$8*'Входящие данные'!$C$7*BL5,0)</f>
        <v>46430.369474738633</v>
      </c>
      <c r="BM17" s="11">
        <f>IF(BM2&gt;=СтартОперационнойДеятельности,('Входящие данные'!$C$9+Выручка!BM9+Выручка!BM11)*'Входящие данные'!$C$8*'Входящие данные'!$C$7*BM5,0)</f>
        <v>46585.137372987767</v>
      </c>
    </row>
    <row r="18" spans="2:65" x14ac:dyDescent="0.35">
      <c r="B18" s="1" t="s">
        <v>25</v>
      </c>
      <c r="C18" s="11">
        <f>(952950+45000*3)*6%/12</f>
        <v>5439.75</v>
      </c>
      <c r="D18" s="7"/>
      <c r="E18" s="11">
        <f t="shared" si="86"/>
        <v>190391.25</v>
      </c>
      <c r="F18" s="11">
        <f t="shared" ref="F18:AK18" si="143">IF(F3&gt;=СтартОперационнойДеятельности,$C$18,0)</f>
        <v>0</v>
      </c>
      <c r="G18" s="11">
        <f t="shared" si="143"/>
        <v>5439.75</v>
      </c>
      <c r="H18" s="11">
        <f t="shared" si="143"/>
        <v>5439.75</v>
      </c>
      <c r="I18" s="11">
        <f t="shared" si="143"/>
        <v>5439.75</v>
      </c>
      <c r="J18" s="11">
        <f t="shared" si="143"/>
        <v>5439.75</v>
      </c>
      <c r="K18" s="11">
        <f t="shared" si="143"/>
        <v>5439.75</v>
      </c>
      <c r="L18" s="11">
        <f t="shared" si="143"/>
        <v>5439.75</v>
      </c>
      <c r="M18" s="11">
        <f t="shared" si="143"/>
        <v>5439.75</v>
      </c>
      <c r="N18" s="11">
        <f t="shared" si="143"/>
        <v>5439.75</v>
      </c>
      <c r="O18" s="11">
        <f t="shared" si="143"/>
        <v>5439.75</v>
      </c>
      <c r="P18" s="11">
        <f t="shared" si="143"/>
        <v>5439.75</v>
      </c>
      <c r="Q18" s="11">
        <f t="shared" si="143"/>
        <v>5439.75</v>
      </c>
      <c r="R18" s="11">
        <f t="shared" si="143"/>
        <v>5439.75</v>
      </c>
      <c r="S18" s="11">
        <f t="shared" si="143"/>
        <v>5439.75</v>
      </c>
      <c r="T18" s="11">
        <f t="shared" si="143"/>
        <v>5439.75</v>
      </c>
      <c r="U18" s="11">
        <f t="shared" si="143"/>
        <v>5439.75</v>
      </c>
      <c r="V18" s="11">
        <f t="shared" si="143"/>
        <v>5439.75</v>
      </c>
      <c r="W18" s="11">
        <f t="shared" si="143"/>
        <v>5439.75</v>
      </c>
      <c r="X18" s="11">
        <f t="shared" si="143"/>
        <v>5439.75</v>
      </c>
      <c r="Y18" s="11">
        <f t="shared" si="143"/>
        <v>5439.75</v>
      </c>
      <c r="Z18" s="11">
        <f t="shared" si="143"/>
        <v>5439.75</v>
      </c>
      <c r="AA18" s="11">
        <f t="shared" si="143"/>
        <v>5439.75</v>
      </c>
      <c r="AB18" s="11">
        <f t="shared" si="143"/>
        <v>5439.75</v>
      </c>
      <c r="AC18" s="11">
        <f t="shared" si="143"/>
        <v>5439.75</v>
      </c>
      <c r="AD18" s="11">
        <f t="shared" si="143"/>
        <v>5439.75</v>
      </c>
      <c r="AE18" s="11">
        <f t="shared" si="143"/>
        <v>5439.75</v>
      </c>
      <c r="AF18" s="11">
        <f t="shared" si="143"/>
        <v>5439.75</v>
      </c>
      <c r="AG18" s="11">
        <f t="shared" si="143"/>
        <v>5439.75</v>
      </c>
      <c r="AH18" s="11">
        <f t="shared" si="143"/>
        <v>5439.75</v>
      </c>
      <c r="AI18" s="11">
        <f t="shared" si="143"/>
        <v>5439.75</v>
      </c>
      <c r="AJ18" s="11">
        <f t="shared" si="143"/>
        <v>5439.75</v>
      </c>
      <c r="AK18" s="11">
        <f t="shared" si="143"/>
        <v>5439.75</v>
      </c>
      <c r="AL18" s="11">
        <f t="shared" ref="AL18:BM18" si="144">IF(AL3&gt;=СтартОперационнойДеятельности,$C$18,0)</f>
        <v>5439.75</v>
      </c>
      <c r="AM18" s="11">
        <f t="shared" si="144"/>
        <v>5439.75</v>
      </c>
      <c r="AN18" s="11">
        <f t="shared" si="144"/>
        <v>5439.75</v>
      </c>
      <c r="AO18" s="11">
        <f t="shared" si="144"/>
        <v>5439.75</v>
      </c>
      <c r="AP18" s="11">
        <f t="shared" si="144"/>
        <v>5439.75</v>
      </c>
      <c r="AQ18" s="11">
        <f t="shared" si="144"/>
        <v>5439.75</v>
      </c>
      <c r="AR18" s="11">
        <f t="shared" si="144"/>
        <v>5439.75</v>
      </c>
      <c r="AS18" s="11">
        <f t="shared" si="144"/>
        <v>5439.75</v>
      </c>
      <c r="AT18" s="11">
        <f t="shared" si="144"/>
        <v>5439.75</v>
      </c>
      <c r="AU18" s="11">
        <f t="shared" si="144"/>
        <v>5439.75</v>
      </c>
      <c r="AV18" s="11">
        <f t="shared" si="144"/>
        <v>5439.75</v>
      </c>
      <c r="AW18" s="11">
        <f t="shared" si="144"/>
        <v>5439.75</v>
      </c>
      <c r="AX18" s="11">
        <f t="shared" si="144"/>
        <v>5439.75</v>
      </c>
      <c r="AY18" s="11">
        <f t="shared" si="144"/>
        <v>5439.75</v>
      </c>
      <c r="AZ18" s="11">
        <f t="shared" si="144"/>
        <v>5439.75</v>
      </c>
      <c r="BA18" s="11">
        <f t="shared" si="144"/>
        <v>5439.75</v>
      </c>
      <c r="BB18" s="11">
        <f t="shared" si="144"/>
        <v>5439.75</v>
      </c>
      <c r="BC18" s="11">
        <f t="shared" si="144"/>
        <v>5439.75</v>
      </c>
      <c r="BD18" s="11">
        <f t="shared" si="144"/>
        <v>5439.75</v>
      </c>
      <c r="BE18" s="11">
        <f t="shared" si="144"/>
        <v>5439.75</v>
      </c>
      <c r="BF18" s="11">
        <f t="shared" si="144"/>
        <v>5439.75</v>
      </c>
      <c r="BG18" s="11">
        <f t="shared" si="144"/>
        <v>5439.75</v>
      </c>
      <c r="BH18" s="11">
        <f t="shared" si="144"/>
        <v>5439.75</v>
      </c>
      <c r="BI18" s="11">
        <f t="shared" si="144"/>
        <v>5439.75</v>
      </c>
      <c r="BJ18" s="11">
        <f t="shared" si="144"/>
        <v>5439.75</v>
      </c>
      <c r="BK18" s="11">
        <f t="shared" si="144"/>
        <v>5439.75</v>
      </c>
      <c r="BL18" s="11">
        <f t="shared" si="144"/>
        <v>5439.75</v>
      </c>
      <c r="BM18" s="11">
        <f t="shared" si="144"/>
        <v>5439.75</v>
      </c>
    </row>
    <row r="19" spans="2:65" x14ac:dyDescent="0.35">
      <c r="B19" s="1" t="s">
        <v>26</v>
      </c>
      <c r="C19" s="11">
        <v>3000</v>
      </c>
      <c r="D19" s="7"/>
      <c r="E19" s="11">
        <f t="shared" si="86"/>
        <v>111544.68706612031</v>
      </c>
      <c r="F19" s="11">
        <f t="shared" ref="F19:AK19" si="145">IF(F2&gt;=СтартОперационнойДеятельности,$C$19*F5,0)</f>
        <v>0</v>
      </c>
      <c r="G19" s="11">
        <f t="shared" si="145"/>
        <v>3010.0000000000005</v>
      </c>
      <c r="H19" s="11">
        <f t="shared" si="145"/>
        <v>3020.0333333333342</v>
      </c>
      <c r="I19" s="11">
        <f t="shared" si="145"/>
        <v>3030.1001111111123</v>
      </c>
      <c r="J19" s="11">
        <f t="shared" si="145"/>
        <v>3040.2004448148164</v>
      </c>
      <c r="K19" s="11">
        <f t="shared" si="145"/>
        <v>3050.3344462975328</v>
      </c>
      <c r="L19" s="11">
        <f t="shared" si="145"/>
        <v>3060.5022277851917</v>
      </c>
      <c r="M19" s="11">
        <f t="shared" si="145"/>
        <v>3070.7039018778091</v>
      </c>
      <c r="N19" s="11">
        <f t="shared" si="145"/>
        <v>3080.9395815507355</v>
      </c>
      <c r="O19" s="11">
        <f t="shared" si="145"/>
        <v>3091.2093801559045</v>
      </c>
      <c r="P19" s="11">
        <f t="shared" si="145"/>
        <v>3101.5134114230909</v>
      </c>
      <c r="Q19" s="11">
        <f t="shared" si="145"/>
        <v>3111.8517894611678</v>
      </c>
      <c r="R19" s="11">
        <f t="shared" si="145"/>
        <v>3122.2246287593716</v>
      </c>
      <c r="S19" s="11">
        <f t="shared" si="145"/>
        <v>3132.63204418857</v>
      </c>
      <c r="T19" s="11">
        <f t="shared" si="145"/>
        <v>3143.0741510025323</v>
      </c>
      <c r="U19" s="11">
        <f t="shared" si="145"/>
        <v>3153.5510648392074</v>
      </c>
      <c r="V19" s="11">
        <f t="shared" si="145"/>
        <v>3164.0629017220049</v>
      </c>
      <c r="W19" s="11">
        <f t="shared" si="145"/>
        <v>3174.6097780610789</v>
      </c>
      <c r="X19" s="11">
        <f t="shared" si="145"/>
        <v>3185.1918106546159</v>
      </c>
      <c r="Y19" s="11">
        <f t="shared" si="145"/>
        <v>3195.8091166901313</v>
      </c>
      <c r="Z19" s="11">
        <f t="shared" si="145"/>
        <v>3206.4618137457651</v>
      </c>
      <c r="AA19" s="11">
        <f t="shared" si="145"/>
        <v>3217.1500197915848</v>
      </c>
      <c r="AB19" s="11">
        <f t="shared" si="145"/>
        <v>3227.8738531908903</v>
      </c>
      <c r="AC19" s="11">
        <f t="shared" si="145"/>
        <v>3238.633432701527</v>
      </c>
      <c r="AD19" s="11">
        <f t="shared" si="145"/>
        <v>3249.4288774771985</v>
      </c>
      <c r="AE19" s="11">
        <f t="shared" si="145"/>
        <v>3260.2603070687896</v>
      </c>
      <c r="AF19" s="11">
        <f t="shared" si="145"/>
        <v>3271.1278414256858</v>
      </c>
      <c r="AG19" s="11">
        <f t="shared" si="145"/>
        <v>3282.0316008971045</v>
      </c>
      <c r="AH19" s="11">
        <f t="shared" si="145"/>
        <v>3292.9717062334289</v>
      </c>
      <c r="AI19" s="11">
        <f t="shared" si="145"/>
        <v>3303.9482785875402</v>
      </c>
      <c r="AJ19" s="11">
        <f t="shared" si="145"/>
        <v>3314.9614395161661</v>
      </c>
      <c r="AK19" s="11">
        <f t="shared" si="145"/>
        <v>3326.0113109812205</v>
      </c>
      <c r="AL19" s="11">
        <f t="shared" ref="AL19:BM19" si="146">IF(AL2&gt;=СтартОперационнойДеятельности,$C$19*AL5,0)</f>
        <v>3337.0980153511582</v>
      </c>
      <c r="AM19" s="11">
        <f t="shared" si="146"/>
        <v>3348.2216754023293</v>
      </c>
      <c r="AN19" s="11">
        <f t="shared" si="146"/>
        <v>3359.3824143203374</v>
      </c>
      <c r="AO19" s="11">
        <f t="shared" si="146"/>
        <v>3370.5803557014056</v>
      </c>
      <c r="AP19" s="11">
        <f t="shared" si="146"/>
        <v>3381.8156235537435</v>
      </c>
      <c r="AQ19" s="11">
        <f t="shared" si="146"/>
        <v>3393.0883422989227</v>
      </c>
      <c r="AR19" s="11">
        <f t="shared" si="146"/>
        <v>3404.3986367732527</v>
      </c>
      <c r="AS19" s="11">
        <f t="shared" si="146"/>
        <v>3415.7466322291634</v>
      </c>
      <c r="AT19" s="11">
        <f t="shared" si="146"/>
        <v>3427.1324543365945</v>
      </c>
      <c r="AU19" s="11">
        <f t="shared" si="146"/>
        <v>3438.5562291843835</v>
      </c>
      <c r="AV19" s="11">
        <f t="shared" si="146"/>
        <v>3450.018083281665</v>
      </c>
      <c r="AW19" s="11">
        <f t="shared" si="146"/>
        <v>3461.5181435592708</v>
      </c>
      <c r="AX19" s="11">
        <f t="shared" si="146"/>
        <v>3473.0565373711352</v>
      </c>
      <c r="AY19" s="11">
        <f t="shared" si="146"/>
        <v>3484.6333924957057</v>
      </c>
      <c r="AZ19" s="11">
        <f t="shared" si="146"/>
        <v>3496.2488371373584</v>
      </c>
      <c r="BA19" s="11">
        <f t="shared" si="146"/>
        <v>3507.9029999278164</v>
      </c>
      <c r="BB19" s="11">
        <f t="shared" si="146"/>
        <v>3519.5960099275758</v>
      </c>
      <c r="BC19" s="11">
        <f t="shared" si="146"/>
        <v>3531.3279966273344</v>
      </c>
      <c r="BD19" s="11">
        <f t="shared" si="146"/>
        <v>3543.0990899494259</v>
      </c>
      <c r="BE19" s="11">
        <f t="shared" si="146"/>
        <v>3554.9094202492574</v>
      </c>
      <c r="BF19" s="11">
        <f t="shared" si="146"/>
        <v>3566.7591183167556</v>
      </c>
      <c r="BG19" s="11">
        <f t="shared" si="146"/>
        <v>3578.6483153778113</v>
      </c>
      <c r="BH19" s="11">
        <f t="shared" si="146"/>
        <v>3590.5771430957375</v>
      </c>
      <c r="BI19" s="11">
        <f t="shared" si="146"/>
        <v>3602.5457335727237</v>
      </c>
      <c r="BJ19" s="11">
        <f t="shared" si="146"/>
        <v>3614.5542193512997</v>
      </c>
      <c r="BK19" s="11">
        <f t="shared" si="146"/>
        <v>3626.6027334158039</v>
      </c>
      <c r="BL19" s="11">
        <f t="shared" si="146"/>
        <v>3638.691409193857</v>
      </c>
      <c r="BM19" s="11">
        <f t="shared" si="146"/>
        <v>3650.8203805578369</v>
      </c>
    </row>
    <row r="20" spans="2:65" x14ac:dyDescent="0.35">
      <c r="B20" s="1" t="s">
        <v>27</v>
      </c>
      <c r="C20" s="11">
        <v>15000</v>
      </c>
      <c r="D20" s="7"/>
      <c r="E20" s="11">
        <f t="shared" si="86"/>
        <v>557723.43533060176</v>
      </c>
      <c r="F20" s="11">
        <f t="shared" ref="F20:AK20" si="147">IF(F2&gt;=СтартОперационнойДеятельности,$C$20*F5,0)</f>
        <v>0</v>
      </c>
      <c r="G20" s="11">
        <f t="shared" si="147"/>
        <v>15050.000000000002</v>
      </c>
      <c r="H20" s="11">
        <f t="shared" si="147"/>
        <v>15100.16666666667</v>
      </c>
      <c r="I20" s="11">
        <f t="shared" si="147"/>
        <v>15150.500555555562</v>
      </c>
      <c r="J20" s="11">
        <f t="shared" si="147"/>
        <v>15201.002224074084</v>
      </c>
      <c r="K20" s="11">
        <f t="shared" si="147"/>
        <v>15251.672231487664</v>
      </c>
      <c r="L20" s="11">
        <f t="shared" si="147"/>
        <v>15302.511138925958</v>
      </c>
      <c r="M20" s="11">
        <f t="shared" si="147"/>
        <v>15353.519509389045</v>
      </c>
      <c r="N20" s="11">
        <f t="shared" si="147"/>
        <v>15404.697907753678</v>
      </c>
      <c r="O20" s="11">
        <f t="shared" si="147"/>
        <v>15456.046900779524</v>
      </c>
      <c r="P20" s="11">
        <f t="shared" si="147"/>
        <v>15507.567057115455</v>
      </c>
      <c r="Q20" s="11">
        <f t="shared" si="147"/>
        <v>15559.25894730584</v>
      </c>
      <c r="R20" s="11">
        <f t="shared" si="147"/>
        <v>15611.123143796858</v>
      </c>
      <c r="S20" s="11">
        <f t="shared" si="147"/>
        <v>15663.160220942849</v>
      </c>
      <c r="T20" s="11">
        <f t="shared" si="147"/>
        <v>15715.370755012662</v>
      </c>
      <c r="U20" s="11">
        <f t="shared" si="147"/>
        <v>15767.755324196038</v>
      </c>
      <c r="V20" s="11">
        <f t="shared" si="147"/>
        <v>15820.314508610025</v>
      </c>
      <c r="W20" s="11">
        <f t="shared" si="147"/>
        <v>15873.048890305394</v>
      </c>
      <c r="X20" s="11">
        <f t="shared" si="147"/>
        <v>15925.959053273078</v>
      </c>
      <c r="Y20" s="11">
        <f t="shared" si="147"/>
        <v>15979.045583450656</v>
      </c>
      <c r="Z20" s="11">
        <f t="shared" si="147"/>
        <v>16032.309068728826</v>
      </c>
      <c r="AA20" s="11">
        <f t="shared" si="147"/>
        <v>16085.750098957924</v>
      </c>
      <c r="AB20" s="11">
        <f t="shared" si="147"/>
        <v>16139.369265954452</v>
      </c>
      <c r="AC20" s="11">
        <f t="shared" si="147"/>
        <v>16193.167163507635</v>
      </c>
      <c r="AD20" s="11">
        <f t="shared" si="147"/>
        <v>16247.144387385993</v>
      </c>
      <c r="AE20" s="11">
        <f t="shared" si="147"/>
        <v>16301.301535343948</v>
      </c>
      <c r="AF20" s="11">
        <f t="shared" si="147"/>
        <v>16355.639207128428</v>
      </c>
      <c r="AG20" s="11">
        <f t="shared" si="147"/>
        <v>16410.158004485522</v>
      </c>
      <c r="AH20" s="11">
        <f t="shared" si="147"/>
        <v>16464.858531167145</v>
      </c>
      <c r="AI20" s="11">
        <f t="shared" si="147"/>
        <v>16519.7413929377</v>
      </c>
      <c r="AJ20" s="11">
        <f t="shared" si="147"/>
        <v>16574.807197580831</v>
      </c>
      <c r="AK20" s="11">
        <f t="shared" si="147"/>
        <v>16630.056554906103</v>
      </c>
      <c r="AL20" s="11">
        <f t="shared" ref="AL20:BM20" si="148">IF(AL2&gt;=СтартОперационнойДеятельности,$C$20*AL5,0)</f>
        <v>16685.490076755792</v>
      </c>
      <c r="AM20" s="11">
        <f t="shared" si="148"/>
        <v>16741.108377011646</v>
      </c>
      <c r="AN20" s="11">
        <f t="shared" si="148"/>
        <v>16796.912071601688</v>
      </c>
      <c r="AO20" s="11">
        <f t="shared" si="148"/>
        <v>16852.901778507028</v>
      </c>
      <c r="AP20" s="11">
        <f t="shared" si="148"/>
        <v>16909.078117768717</v>
      </c>
      <c r="AQ20" s="11">
        <f t="shared" si="148"/>
        <v>16965.441711494615</v>
      </c>
      <c r="AR20" s="11">
        <f t="shared" si="148"/>
        <v>17021.993183866263</v>
      </c>
      <c r="AS20" s="11">
        <f t="shared" si="148"/>
        <v>17078.733161145818</v>
      </c>
      <c r="AT20" s="11">
        <f t="shared" si="148"/>
        <v>17135.662271682973</v>
      </c>
      <c r="AU20" s="11">
        <f t="shared" si="148"/>
        <v>17192.781145921919</v>
      </c>
      <c r="AV20" s="11">
        <f t="shared" si="148"/>
        <v>17250.090416408326</v>
      </c>
      <c r="AW20" s="11">
        <f t="shared" si="148"/>
        <v>17307.590717796353</v>
      </c>
      <c r="AX20" s="11">
        <f t="shared" si="148"/>
        <v>17365.282686855677</v>
      </c>
      <c r="AY20" s="11">
        <f t="shared" si="148"/>
        <v>17423.166962478528</v>
      </c>
      <c r="AZ20" s="11">
        <f t="shared" si="148"/>
        <v>17481.244185686792</v>
      </c>
      <c r="BA20" s="11">
        <f t="shared" si="148"/>
        <v>17539.514999639079</v>
      </c>
      <c r="BB20" s="11">
        <f t="shared" si="148"/>
        <v>17597.980049637878</v>
      </c>
      <c r="BC20" s="11">
        <f t="shared" si="148"/>
        <v>17656.639983136673</v>
      </c>
      <c r="BD20" s="11">
        <f t="shared" si="148"/>
        <v>17715.49544974713</v>
      </c>
      <c r="BE20" s="11">
        <f t="shared" si="148"/>
        <v>17774.547101246288</v>
      </c>
      <c r="BF20" s="11">
        <f t="shared" si="148"/>
        <v>17833.795591583777</v>
      </c>
      <c r="BG20" s="11">
        <f t="shared" si="148"/>
        <v>17893.241576889057</v>
      </c>
      <c r="BH20" s="11">
        <f t="shared" si="148"/>
        <v>17952.885715478689</v>
      </c>
      <c r="BI20" s="11">
        <f t="shared" si="148"/>
        <v>18012.728667863619</v>
      </c>
      <c r="BJ20" s="11">
        <f t="shared" si="148"/>
        <v>18072.771096756496</v>
      </c>
      <c r="BK20" s="11">
        <f t="shared" si="148"/>
        <v>18133.01366707902</v>
      </c>
      <c r="BL20" s="11">
        <f t="shared" si="148"/>
        <v>18193.457045969284</v>
      </c>
      <c r="BM20" s="11">
        <f t="shared" si="148"/>
        <v>18254.101902789185</v>
      </c>
    </row>
    <row r="21" spans="2:65" x14ac:dyDescent="0.35">
      <c r="B21" s="1" t="s">
        <v>40</v>
      </c>
      <c r="C21" s="11"/>
      <c r="D21" s="74">
        <v>0.02</v>
      </c>
      <c r="E21" s="11">
        <f t="shared" si="86"/>
        <v>352123.8335222</v>
      </c>
      <c r="F21" s="11">
        <f>Выручка!F12*'Входящие данные'!$C$10</f>
        <v>0</v>
      </c>
      <c r="G21" s="11">
        <f>Выручка!G12*'Входящие данные'!$C$10</f>
        <v>854.04375000000005</v>
      </c>
      <c r="H21" s="11">
        <f>Выручка!H12*'Входящие данные'!$C$10</f>
        <v>857.60226562499997</v>
      </c>
      <c r="I21" s="11">
        <f>Выручка!I12*'Входящие данные'!$C$10</f>
        <v>2583.526825195313</v>
      </c>
      <c r="J21" s="11">
        <f>Выручка!J12*'Входящие данные'!$C$10</f>
        <v>3026.6734403503419</v>
      </c>
      <c r="K21" s="11">
        <f>Выручка!K12*'Входящие данные'!$C$10</f>
        <v>3039.2845796851348</v>
      </c>
      <c r="L21" s="11">
        <f>Выручка!L12*'Входящие данные'!$C$10</f>
        <v>3051.9482654338231</v>
      </c>
      <c r="M21" s="11">
        <f>Выручка!M12*'Входящие данные'!$C$10</f>
        <v>5253.7109426396528</v>
      </c>
      <c r="N21" s="11">
        <f>Выручка!N12*'Входящие данные'!$C$10</f>
        <v>5275.6014049006508</v>
      </c>
      <c r="O21" s="11">
        <f>Выручка!O12*'Входящие данные'!$C$10</f>
        <v>7946.3746161316058</v>
      </c>
      <c r="P21" s="11">
        <f>Выручка!P12*'Входящие данные'!$C$10</f>
        <v>6206.2657302842672</v>
      </c>
      <c r="Q21" s="11">
        <f>Выручка!Q12*'Входящие данные'!$C$10</f>
        <v>6232.1251708271193</v>
      </c>
      <c r="R21" s="11">
        <f>Выручка!R12*'Входящие данные'!$C$10</f>
        <v>8940.1319414841382</v>
      </c>
      <c r="S21" s="11">
        <f>Выручка!S12*'Входящие данные'!$C$10</f>
        <v>11009.485058856268</v>
      </c>
      <c r="T21" s="11">
        <f>Выручка!T12*'Входящие данные'!$C$10</f>
        <v>9949.8221219413517</v>
      </c>
      <c r="U21" s="11">
        <f>Выручка!U12*'Входящие данные'!$C$10</f>
        <v>13321.706285488141</v>
      </c>
      <c r="V21" s="11">
        <f>Выручка!V12*'Входящие данные'!$C$10</f>
        <v>10032.910046258257</v>
      </c>
      <c r="W21" s="11">
        <f>Выручка!W12*'Входящие данные'!$C$10</f>
        <v>8955.3011894379251</v>
      </c>
      <c r="X21" s="11">
        <f>Выручка!X12*'Входящие данные'!$C$10</f>
        <v>12364.845548541634</v>
      </c>
      <c r="Y21" s="11">
        <f>Выручка!Y12*'Входящие данные'!$C$10</f>
        <v>13545.126259993334</v>
      </c>
      <c r="Z21" s="11">
        <f>Выручка!Z12*'Входящие данные'!$C$10</f>
        <v>15868.491667089416</v>
      </c>
      <c r="AA21" s="11">
        <f>Выручка!AA12*'Входящие данные'!$C$10</f>
        <v>20487.356205902943</v>
      </c>
      <c r="AB21" s="11">
        <f>Выручка!AB12*'Входящие данные'!$C$10</f>
        <v>8000.5022961477453</v>
      </c>
      <c r="AC21" s="11">
        <f>Выручка!AC12*'Входящие данные'!$C$10</f>
        <v>9181.5288255790783</v>
      </c>
      <c r="AD21" s="11">
        <f>Выручка!AD12*'Входящие данные'!$C$10</f>
        <v>13829.677793528486</v>
      </c>
      <c r="AE21" s="11">
        <f>Выручка!AE12*'Входящие данные'!$C$10</f>
        <v>16201.851692835109</v>
      </c>
      <c r="AF21" s="11">
        <f>Выручка!AF12*'Входящие данные'!$C$10</f>
        <v>13945.165207047361</v>
      </c>
      <c r="AG21" s="11">
        <f>Выручка!AG12*'Входящие данные'!$C$10</f>
        <v>16337.148405756177</v>
      </c>
      <c r="AH21" s="11">
        <f>Выручка!AH12*'Входящие данные'!$C$10</f>
        <v>11718.014183890591</v>
      </c>
      <c r="AI21" s="11">
        <f>Выручка!AI12*'Входящие данные'!$C$10</f>
        <v>9413.4713943921106</v>
      </c>
      <c r="AJ21" s="11">
        <f>Выручка!AJ12*'Входящие данные'!$C$10</f>
        <v>14179.041287803115</v>
      </c>
      <c r="AK21" s="11">
        <f>Выручка!AK12*'Входящие данные'!$C$10</f>
        <v>14238.120626502294</v>
      </c>
      <c r="AL21" s="11">
        <f>Выручка!AL12*'Входящие данные'!$C$10</f>
        <v>16680.353817298175</v>
      </c>
      <c r="AM21" s="11">
        <f>Выручка!AM12*'Входящие данные'!$C$10</f>
        <v>21535.528231976034</v>
      </c>
      <c r="AN21" s="11">
        <f>Выручка!AN12*'Входящие данные'!$C$10</f>
        <v>8409.8231776258253</v>
      </c>
      <c r="AO21" s="11">
        <f>Выручка!AO12*'Входящие данные'!$C$10</f>
        <v>9651.2732657515426</v>
      </c>
      <c r="AP21" s="11">
        <f>Выручка!AP12*'Входящие данные'!$C$10</f>
        <v>14537.230356538263</v>
      </c>
      <c r="AQ21" s="11">
        <f>Выручка!AQ12*'Входящие данные'!$C$10</f>
        <v>17030.769174638921</v>
      </c>
      <c r="AR21" s="11">
        <f>Выручка!AR12*'Входящие данные'!$C$10</f>
        <v>14658.626325314217</v>
      </c>
      <c r="AS21" s="11">
        <f>Выручка!AS12*'Входящие данные'!$C$10</f>
        <v>14719.703935003025</v>
      </c>
      <c r="AT21" s="11">
        <f>Выручка!AT12*'Входящие данные'!$C$10</f>
        <v>12317.530028943504</v>
      </c>
      <c r="AU21" s="11">
        <f>Выручка!AU12*'Входящие данные'!$C$10</f>
        <v>9895.0824565846142</v>
      </c>
      <c r="AV21" s="11">
        <f>Выручка!AV12*'Входящие данные'!$C$10</f>
        <v>14904.467950230572</v>
      </c>
      <c r="AW21" s="11">
        <f>Выручка!AW12*'Входящие данные'!$C$10</f>
        <v>14966.5699000232</v>
      </c>
      <c r="AX21" s="11">
        <f>Выручка!AX12*'Входящие данные'!$C$10</f>
        <v>17533.752375929958</v>
      </c>
      <c r="AY21" s="11">
        <f>Выручка!AY12*'Входящие данные'!$C$10</f>
        <v>22637.326728209566</v>
      </c>
      <c r="AZ21" s="11">
        <f>Выручка!AZ12*'Входящие данные'!$C$10</f>
        <v>8840.0856922429502</v>
      </c>
      <c r="BA21" s="11">
        <f>Выручка!BA12*'Входящие данные'!$C$10</f>
        <v>10145.050723002623</v>
      </c>
      <c r="BB21" s="11">
        <f>Выручка!BB12*'Входящие данные'!$C$10</f>
        <v>15280.9826515227</v>
      </c>
      <c r="BC21" s="11">
        <f>Выручка!BC12*'Входящие данные'!$C$10</f>
        <v>17902.095647999166</v>
      </c>
      <c r="BD21" s="11">
        <f>Выручка!BD12*'Входящие данные'!$C$10</f>
        <v>15408.589468456426</v>
      </c>
      <c r="BE21" s="11">
        <f>Выручка!BE12*'Входящие данные'!$C$10</f>
        <v>15472.791924574994</v>
      </c>
      <c r="BF21" s="11">
        <f>Выручка!BF12*'Входящие данные'!$C$10</f>
        <v>12947.71824243949</v>
      </c>
      <c r="BG21" s="11">
        <f>Выручка!BG12*'Входящие данные'!$C$10</f>
        <v>10401.333654759725</v>
      </c>
      <c r="BH21" s="11">
        <f>Выручка!BH12*'Входящие данные'!$C$10</f>
        <v>15667.008817481837</v>
      </c>
      <c r="BI21" s="11">
        <f>Выручка!BI12*'Входящие данные'!$C$10</f>
        <v>15732.288020888009</v>
      </c>
      <c r="BJ21" s="11">
        <f>Выручка!BJ12*'Входящие данные'!$C$10</f>
        <v>18430.812424470882</v>
      </c>
      <c r="BK21" s="11">
        <f>Выручка!BK12*'Входящие данные'!$C$10</f>
        <v>23795.49532659366</v>
      </c>
      <c r="BL21" s="11">
        <f>Выручка!BL12*'Входящие данные'!$C$10</f>
        <v>9292.3612536952533</v>
      </c>
      <c r="BM21" s="11">
        <f>Выручка!BM12*'Входящие данные'!$C$10</f>
        <v>10664.090772097887</v>
      </c>
    </row>
    <row r="22" spans="2:65" x14ac:dyDescent="0.35">
      <c r="B22" s="1" t="s">
        <v>46</v>
      </c>
      <c r="C22" s="3"/>
      <c r="D22" s="7" t="s">
        <v>187</v>
      </c>
      <c r="E22" s="11">
        <f t="shared" si="86"/>
        <v>488990.38441562949</v>
      </c>
      <c r="F22" s="11">
        <f>IF(F2&gt;=СтартОперационнойДеятельности,Кредит!F9,0)</f>
        <v>0</v>
      </c>
      <c r="G22" s="11">
        <f>IF(G2&gt;=СтартОперационнойДеятельности,Кредит!G9,0)</f>
        <v>10877.5</v>
      </c>
      <c r="H22" s="11">
        <f>IF(H2&gt;=СтартОперационнойДеятельности,Кредит!H9,0)</f>
        <v>10877.5</v>
      </c>
      <c r="I22" s="11">
        <f>IF(I2&gt;=СтартОперационнойДеятельности,Кредит!I9,0)</f>
        <v>10877.5</v>
      </c>
      <c r="J22" s="11">
        <f>IF(J2&gt;=СтартОперационнойДеятельности,Кредит!J9,0)</f>
        <v>10877.5</v>
      </c>
      <c r="K22" s="11">
        <f>IF(K2&gt;=СтартОперационнойДеятельности,Кредит!K9,0)</f>
        <v>11202.696278634052</v>
      </c>
      <c r="L22" s="11">
        <f>IF(L2&gt;=СтартОперационнойДеятельности,Кредит!L9,0)</f>
        <v>12830.4910443463</v>
      </c>
      <c r="M22" s="11">
        <f>IF(M2&gt;=СтартОперационнойДеятельности,Кредит!M9,0)</f>
        <v>14487.599031610642</v>
      </c>
      <c r="N22" s="11">
        <f>IF(N2&gt;=СтартОперационнойДеятельности,Кредит!N9,0)</f>
        <v>15456.464581350527</v>
      </c>
      <c r="O22" s="11">
        <f>IF(O2&gt;=СтартОперационнойДеятельности,Кредит!O9,0)</f>
        <v>16441.10620233458</v>
      </c>
      <c r="P22" s="11">
        <f>IF(P2&gt;=СтартОперационнойДеятельности,Кредит!P9,0)</f>
        <v>16441.10620233458</v>
      </c>
      <c r="Q22" s="11">
        <f>IF(Q2&gt;=СтартОперационнойДеятельности,Кредит!Q9,0)</f>
        <v>17094.68950397904</v>
      </c>
      <c r="R22" s="11">
        <f>IF(R2&gt;=СтартОперационнойДеятельности,Кредит!R9,0)</f>
        <v>17760.483963498558</v>
      </c>
      <c r="S22" s="11">
        <f>IF(S2&gt;=СтартОперационнойДеятельности,Кредит!S9,0)</f>
        <v>17487.524959587288</v>
      </c>
      <c r="T22" s="11">
        <f>IF(T2&gt;=СтартОперационнойДеятельности,Кредит!T9,0)</f>
        <v>17210.244104780752</v>
      </c>
      <c r="U22" s="11">
        <f>IF(U2&gt;=СтартОперационнойДеятельности,Кредит!U9,0)</f>
        <v>16928.572969773115</v>
      </c>
      <c r="V22" s="11">
        <f>IF(V2&gt;=СтартОперационнойДеятельности,Кредит!V9,0)</f>
        <v>16642.442041794522</v>
      </c>
      <c r="W22" s="11">
        <f>IF(W2&gt;=СтартОперационнойДеятельности,Кредит!W9,0)</f>
        <v>16351.780707456268</v>
      </c>
      <c r="X22" s="11">
        <f>IF(X2&gt;=СтартОперационнойДеятельности,Кредит!X9,0)</f>
        <v>16056.517235324325</v>
      </c>
      <c r="Y22" s="11">
        <f>IF(Y2&gt;=СтартОперационнойДеятельности,Кредит!Y9,0)</f>
        <v>15756.578758216963</v>
      </c>
      <c r="Z22" s="11">
        <f>IF(Z2&gt;=СтартОперационнойДеятельности,Кредит!Z9,0)</f>
        <v>15451.891255222063</v>
      </c>
      <c r="AA22" s="11">
        <f>IF(AA2&gt;=СтартОперационнойДеятельности,Кредит!AA9,0)</f>
        <v>15142.379533429745</v>
      </c>
      <c r="AB22" s="11">
        <f>IF(AB2&gt;=СтартОперационнойДеятельности,Кредит!AB9,0)</f>
        <v>14827.967209375716</v>
      </c>
      <c r="AC22" s="11">
        <f>IF(AC2&gt;=СтартОперационнойДеятельности,Кредит!AC9,0)</f>
        <v>14508.57669019083</v>
      </c>
      <c r="AD22" s="11">
        <f>IF(AD2&gt;=СтартОперационнойДеятельности,Кредит!AD9,0)</f>
        <v>14184.129154452186</v>
      </c>
      <c r="AE22" s="11">
        <f>IF(AE2&gt;=СтартОперационнойДеятельности,Кредит!AE9,0)</f>
        <v>13854.544532731014</v>
      </c>
      <c r="AF22" s="11">
        <f>IF(AF2&gt;=СтартОперационнойДеятельности,Кредит!AF9,0)</f>
        <v>13519.741487832587</v>
      </c>
      <c r="AG22" s="11">
        <f>IF(AG2&gt;=СтартОперационнойДеятельности,Кредит!AG9,0)</f>
        <v>13179.637394723271</v>
      </c>
      <c r="AH22" s="11">
        <f>IF(AH2&gt;=СтартОперационнойДеятельности,Кредит!AH9,0)</f>
        <v>12834.148320139722</v>
      </c>
      <c r="AI22" s="11">
        <f>IF(AI2&gt;=СтартОперационнойДеятельности,Кредит!AI9,0)</f>
        <v>12483.189001875269</v>
      </c>
      <c r="AJ22" s="11">
        <f>IF(AJ2&gt;=СтартОперационнойДеятельности,Кредит!AJ9,0)</f>
        <v>12126.672827738294</v>
      </c>
      <c r="AK22" s="11">
        <f>IF(AK2&gt;=СтартОперационнойДеятельности,Кредит!AK9,0)</f>
        <v>11764.511814177482</v>
      </c>
      <c r="AL22" s="11">
        <f>IF(AL2&gt;=СтартОперационнойДеятельности,Кредит!AL9,0)</f>
        <v>11396.616584568626</v>
      </c>
      <c r="AM22" s="11">
        <f>IF(AM2&gt;=СтартОперационнойДеятельности,Кредит!AM9,0)</f>
        <v>11022.89634715763</v>
      </c>
      <c r="AN22" s="11">
        <f>IF(AN2&gt;=СтартОперационнойДеятельности,Кредит!AN9,0)</f>
        <v>10643.258872654294</v>
      </c>
      <c r="AO22" s="11">
        <f>IF(AO2&gt;=СтартОперационнойДеятельности,Кредит!AO9,0)</f>
        <v>10391.925804339206</v>
      </c>
      <c r="AP22" s="11">
        <f>IF(AP2&gt;=СтартОперационнойДеятельности,Кредит!AP9,0)</f>
        <v>10949.014711485301</v>
      </c>
      <c r="AQ22" s="11">
        <f>IF(AQ2&gt;=СтартОперационнойДеятельности,Кредит!AQ9,0)</f>
        <v>10568.20744441715</v>
      </c>
      <c r="AR22" s="11">
        <f>IF(AR2&gt;=СтартОперационнойДеятельности,Кредит!AR9,0)</f>
        <v>10181.370728953756</v>
      </c>
      <c r="AS22" s="11">
        <f>IF(AS2&gt;=СтартОперационнойДеятельности,Кредит!AS9,0)</f>
        <v>9788.4090988288572</v>
      </c>
      <c r="AT22" s="11">
        <f>IF(AT2&gt;=СтартОперационнойДеятельности,Кредит!AT9,0)</f>
        <v>9389.2255762269815</v>
      </c>
      <c r="AU22" s="11">
        <f>IF(AU2&gt;=СтартОперационнойДеятельности,Кредит!AU9,0)</f>
        <v>8983.7216478505743</v>
      </c>
      <c r="AV22" s="11">
        <f>IF(AV2&gt;=СтартОперационнойДеятельности,Кредит!AV9,0)</f>
        <v>9012.1632997349279</v>
      </c>
      <c r="AW22" s="11">
        <f>IF(AW2&gt;=СтартОперационнойДеятельности,Кредит!AW9,0)</f>
        <v>8600.6892186473979</v>
      </c>
      <c r="AX22" s="11">
        <f>IF(AX2&gt;=СтартОперационнойДеятельности,Кредит!AX9,0)</f>
        <v>8182.7001312759821</v>
      </c>
      <c r="AY22" s="11">
        <f>IF(AY2&gt;=СтартОперационнойДеятельности,Кредит!AY9,0)</f>
        <v>7758.0928833545186</v>
      </c>
      <c r="AZ22" s="11">
        <f>IF(AZ2&gt;=СтартОперационнойДеятельности,Кредит!AZ9,0)</f>
        <v>7326.7626873409654</v>
      </c>
      <c r="BA22" s="11">
        <f>IF(BA2&gt;=СтартОперационнойДеятельности,Кредит!BA9,0)</f>
        <v>7493.3835101741024</v>
      </c>
      <c r="BB22" s="11">
        <f>IF(BB2&gt;=СтартОперационнойДеятельности,Кредит!BB9,0)</f>
        <v>7976.6420559758071</v>
      </c>
      <c r="BC22" s="11">
        <f>IF(BC2&gt;=СтартОперационнойДеятельности,Кредит!BC9,0)</f>
        <v>7548.7722218620902</v>
      </c>
      <c r="BD22" s="11">
        <f>IF(BD2&gt;=СтартОперационнойДеятельности,Кредит!BD9,0)</f>
        <v>7114.1277820415735</v>
      </c>
      <c r="BE22" s="11">
        <f>IF(BE2&gt;=СтартОперационнойДеятельности,Кредит!BE9,0)</f>
        <v>6672.6014719238983</v>
      </c>
      <c r="BF22" s="11">
        <f>IF(BF2&gt;=СтартОперационнойДеятельности,Кредит!BF9,0)</f>
        <v>6224.0843285626934</v>
      </c>
      <c r="BG22" s="11">
        <f>IF(BG2&gt;=СтартОперационнойДеятельности,Кредит!BG9,0)</f>
        <v>5768.4656637649359</v>
      </c>
      <c r="BH22" s="11">
        <f>IF(BH2&gt;=СтартОперационнойДеятельности,Кредит!BH9,0)</f>
        <v>5652.6844950835839</v>
      </c>
      <c r="BI22" s="11">
        <f>IF(BI2&gt;=СтартОперационнойДеятельности,Кредит!BI9,0)</f>
        <v>5188.0186662557408</v>
      </c>
      <c r="BJ22" s="11">
        <f>IF(BJ2&gt;=СтартОперационнойДеятельности,Кредит!BJ9,0)</f>
        <v>4715.9956284714563</v>
      </c>
      <c r="BK22" s="11">
        <f>IF(BK2&gt;=СтартОперационнойДеятельности,Кредит!BK9,0)</f>
        <v>4236.4988925889211</v>
      </c>
      <c r="BL22" s="11">
        <f>IF(BL2&gt;=СтартОперационнойДеятельности,Кредит!BL9,0)</f>
        <v>3749.410125054912</v>
      </c>
      <c r="BM22" s="11">
        <f>IF(BM2&gt;=СтартОперационнойДеятельности,Кредит!BM9,0)</f>
        <v>3781.149867991317</v>
      </c>
    </row>
    <row r="23" spans="2:65" x14ac:dyDescent="0.35">
      <c r="B23" s="16" t="s">
        <v>36</v>
      </c>
      <c r="C23" s="17">
        <f>SUM(C6:C8,C11,C17:C22)</f>
        <v>208439.75</v>
      </c>
      <c r="D23" s="17"/>
      <c r="E23" s="17">
        <f t="shared" ref="E23:AJ23" si="149">SUM(E6:E8,E11,E17:E22)</f>
        <v>16581426.130439879</v>
      </c>
      <c r="F23" s="17">
        <f t="shared" si="149"/>
        <v>0</v>
      </c>
      <c r="G23" s="17">
        <f t="shared" si="149"/>
        <v>195446.39271875002</v>
      </c>
      <c r="H23" s="17">
        <f t="shared" si="149"/>
        <v>196061.18864382815</v>
      </c>
      <c r="I23" s="17">
        <f t="shared" si="149"/>
        <v>241529.96591474948</v>
      </c>
      <c r="J23" s="17">
        <f t="shared" si="149"/>
        <v>253593.47911598731</v>
      </c>
      <c r="K23" s="17">
        <f t="shared" si="149"/>
        <v>254772.31945029329</v>
      </c>
      <c r="L23" s="17">
        <f t="shared" si="149"/>
        <v>257256.86509891291</v>
      </c>
      <c r="M23" s="17">
        <f t="shared" si="149"/>
        <v>323877.05553660693</v>
      </c>
      <c r="N23" s="17">
        <f t="shared" si="149"/>
        <v>325967.96209665696</v>
      </c>
      <c r="O23" s="17">
        <f t="shared" si="149"/>
        <v>395495.14710577048</v>
      </c>
      <c r="P23" s="17">
        <f t="shared" si="149"/>
        <v>351774.59025131277</v>
      </c>
      <c r="Q23" s="17">
        <f t="shared" si="149"/>
        <v>353656.43493206252</v>
      </c>
      <c r="R23" s="17">
        <f t="shared" si="149"/>
        <v>423813.75642143743</v>
      </c>
      <c r="S23" s="17">
        <f t="shared" si="149"/>
        <v>478007.1504651258</v>
      </c>
      <c r="T23" s="17">
        <f t="shared" si="149"/>
        <v>451735.2917104701</v>
      </c>
      <c r="U23" s="17">
        <f t="shared" si="149"/>
        <v>536645.46048458398</v>
      </c>
      <c r="V23" s="17">
        <f t="shared" si="149"/>
        <v>454442.55922209239</v>
      </c>
      <c r="W23" s="17">
        <f t="shared" si="149"/>
        <v>427714.7116859575</v>
      </c>
      <c r="X23" s="17">
        <f t="shared" si="149"/>
        <v>513558.53501723119</v>
      </c>
      <c r="Y23" s="17">
        <f t="shared" si="149"/>
        <v>543470.27534951398</v>
      </c>
      <c r="Z23" s="17">
        <f t="shared" si="149"/>
        <v>602055.10807432455</v>
      </c>
      <c r="AA23" s="17">
        <f t="shared" si="149"/>
        <v>718221.97101772856</v>
      </c>
      <c r="AB23" s="17">
        <f t="shared" si="149"/>
        <v>405261.95763041312</v>
      </c>
      <c r="AC23" s="17">
        <f t="shared" si="149"/>
        <v>435180.95279001084</v>
      </c>
      <c r="AD23" s="17">
        <f t="shared" si="149"/>
        <v>617059.40994293231</v>
      </c>
      <c r="AE23" s="17">
        <f t="shared" si="149"/>
        <v>677065.92260446271</v>
      </c>
      <c r="AF23" s="17">
        <f t="shared" si="149"/>
        <v>620954.06961098686</v>
      </c>
      <c r="AG23" s="17">
        <f t="shared" si="149"/>
        <v>681450.65988479939</v>
      </c>
      <c r="AH23" s="17">
        <f t="shared" si="149"/>
        <v>566075.71444824617</v>
      </c>
      <c r="AI23" s="17">
        <f t="shared" si="149"/>
        <v>508760.0929241433</v>
      </c>
      <c r="AJ23" s="17">
        <f t="shared" si="149"/>
        <v>628784.97060974024</v>
      </c>
      <c r="AK23" s="17">
        <f t="shared" ref="AK23:BM23" si="150">SUM(AK6:AK8,AK11,AK17:AK22)</f>
        <v>630751.0602470499</v>
      </c>
      <c r="AL23" s="17">
        <f t="shared" si="150"/>
        <v>692489.62179375428</v>
      </c>
      <c r="AM23" s="17">
        <f t="shared" si="150"/>
        <v>814744.93391917413</v>
      </c>
      <c r="AN23" s="17">
        <f t="shared" si="150"/>
        <v>486002.31787659385</v>
      </c>
      <c r="AO23" s="17">
        <f t="shared" si="150"/>
        <v>517748.22584417259</v>
      </c>
      <c r="AP23" s="17">
        <f t="shared" si="150"/>
        <v>641712.10864000511</v>
      </c>
      <c r="AQ23" s="17">
        <f t="shared" si="150"/>
        <v>704734.05647249706</v>
      </c>
      <c r="AR23" s="17">
        <f t="shared" si="150"/>
        <v>645718.87759955879</v>
      </c>
      <c r="AS23" s="17">
        <f t="shared" si="150"/>
        <v>647726.935072797</v>
      </c>
      <c r="AT23" s="17">
        <f t="shared" si="150"/>
        <v>587954.80054316553</v>
      </c>
      <c r="AU23" s="17">
        <f t="shared" si="150"/>
        <v>527672.68171046302</v>
      </c>
      <c r="AV23" s="17">
        <f t="shared" si="150"/>
        <v>654209.4287376533</v>
      </c>
      <c r="AW23" s="17">
        <f t="shared" si="150"/>
        <v>656236.21591858182</v>
      </c>
      <c r="AX23" s="17">
        <f t="shared" si="150"/>
        <v>721081.43909035553</v>
      </c>
      <c r="AY23" s="17">
        <f t="shared" si="150"/>
        <v>849527.3319004596</v>
      </c>
      <c r="AZ23" s="17">
        <f t="shared" si="150"/>
        <v>503988.21276217146</v>
      </c>
      <c r="BA23" s="17">
        <f t="shared" si="150"/>
        <v>537774.1285165546</v>
      </c>
      <c r="BB23" s="17">
        <f t="shared" si="150"/>
        <v>667945.23173070676</v>
      </c>
      <c r="BC23" s="17">
        <f t="shared" si="150"/>
        <v>734142.84577193297</v>
      </c>
      <c r="BD23" s="17">
        <f t="shared" si="150"/>
        <v>672082.78590152715</v>
      </c>
      <c r="BE23" s="17">
        <f t="shared" si="150"/>
        <v>674155.76656947203</v>
      </c>
      <c r="BF23" s="17">
        <f t="shared" si="150"/>
        <v>611299.1855460708</v>
      </c>
      <c r="BG23" s="17">
        <f t="shared" si="150"/>
        <v>547906.11878293031</v>
      </c>
      <c r="BH23" s="17">
        <f t="shared" si="150"/>
        <v>680737.71401293366</v>
      </c>
      <c r="BI23" s="17">
        <f t="shared" si="150"/>
        <v>682826.57737117156</v>
      </c>
      <c r="BJ23" s="17">
        <f t="shared" si="150"/>
        <v>750935.18315711909</v>
      </c>
      <c r="BK23" s="17">
        <f t="shared" si="150"/>
        <v>885885.65677869378</v>
      </c>
      <c r="BL23" s="17">
        <f t="shared" si="150"/>
        <v>522691.50761153462</v>
      </c>
      <c r="BM23" s="17">
        <f t="shared" si="150"/>
        <v>558046.97299761034</v>
      </c>
    </row>
    <row r="24" spans="2:65" x14ac:dyDescent="0.35">
      <c r="C24" s="11"/>
    </row>
    <row r="25" spans="2:65" x14ac:dyDescent="0.35">
      <c r="G25" s="11"/>
      <c r="H25" s="11"/>
      <c r="I25" s="11"/>
      <c r="J25" s="11"/>
      <c r="K25" s="11"/>
      <c r="L25" s="11"/>
      <c r="M25" s="11"/>
    </row>
    <row r="26" spans="2:65" x14ac:dyDescent="0.35">
      <c r="C26" s="11"/>
    </row>
  </sheetData>
  <mergeCells count="1"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M19"/>
  <sheetViews>
    <sheetView showGridLines="0" workbookViewId="0">
      <selection activeCell="I22" sqref="I22"/>
    </sheetView>
  </sheetViews>
  <sheetFormatPr defaultRowHeight="14.5" x14ac:dyDescent="0.35"/>
  <cols>
    <col min="1" max="1" width="3.6328125" style="1" customWidth="1"/>
    <col min="2" max="2" width="28.1796875" style="1" customWidth="1"/>
    <col min="3" max="3" width="7.7265625" style="1" bestFit="1" customWidth="1"/>
    <col min="4" max="5" width="9.36328125" style="1" bestFit="1" customWidth="1"/>
    <col min="6" max="65" width="10.6328125" style="1" customWidth="1"/>
    <col min="66" max="16384" width="8.7265625" style="1"/>
  </cols>
  <sheetData>
    <row r="2" spans="2:65" ht="15.5" x14ac:dyDescent="0.35">
      <c r="B2" s="33" t="s">
        <v>114</v>
      </c>
      <c r="F2" s="2">
        <f>Старт</f>
        <v>44621</v>
      </c>
      <c r="G2" s="2">
        <f>EDATE(F2,1)</f>
        <v>44652</v>
      </c>
      <c r="H2" s="2">
        <f t="shared" ref="H2:AO2" si="0">EDATE(G2,1)</f>
        <v>44682</v>
      </c>
      <c r="I2" s="2">
        <f t="shared" si="0"/>
        <v>44713</v>
      </c>
      <c r="J2" s="2">
        <f t="shared" si="0"/>
        <v>44743</v>
      </c>
      <c r="K2" s="2">
        <f t="shared" si="0"/>
        <v>44774</v>
      </c>
      <c r="L2" s="2">
        <f t="shared" si="0"/>
        <v>44805</v>
      </c>
      <c r="M2" s="2">
        <f t="shared" si="0"/>
        <v>44835</v>
      </c>
      <c r="N2" s="2">
        <f t="shared" si="0"/>
        <v>44866</v>
      </c>
      <c r="O2" s="2">
        <f t="shared" si="0"/>
        <v>44896</v>
      </c>
      <c r="P2" s="2">
        <f t="shared" si="0"/>
        <v>44927</v>
      </c>
      <c r="Q2" s="2">
        <f t="shared" si="0"/>
        <v>44958</v>
      </c>
      <c r="R2" s="2">
        <f t="shared" si="0"/>
        <v>44986</v>
      </c>
      <c r="S2" s="2">
        <f t="shared" si="0"/>
        <v>45017</v>
      </c>
      <c r="T2" s="2">
        <f t="shared" si="0"/>
        <v>45047</v>
      </c>
      <c r="U2" s="2">
        <f t="shared" si="0"/>
        <v>45078</v>
      </c>
      <c r="V2" s="2">
        <f t="shared" si="0"/>
        <v>45108</v>
      </c>
      <c r="W2" s="2">
        <f t="shared" si="0"/>
        <v>45139</v>
      </c>
      <c r="X2" s="2">
        <f t="shared" si="0"/>
        <v>45170</v>
      </c>
      <c r="Y2" s="2">
        <f t="shared" si="0"/>
        <v>45200</v>
      </c>
      <c r="Z2" s="2">
        <f t="shared" si="0"/>
        <v>45231</v>
      </c>
      <c r="AA2" s="2">
        <f t="shared" si="0"/>
        <v>45261</v>
      </c>
      <c r="AB2" s="2">
        <f t="shared" si="0"/>
        <v>45292</v>
      </c>
      <c r="AC2" s="2">
        <f t="shared" si="0"/>
        <v>45323</v>
      </c>
      <c r="AD2" s="2">
        <f t="shared" si="0"/>
        <v>45352</v>
      </c>
      <c r="AE2" s="2">
        <f t="shared" si="0"/>
        <v>45383</v>
      </c>
      <c r="AF2" s="2">
        <f t="shared" si="0"/>
        <v>45413</v>
      </c>
      <c r="AG2" s="2">
        <f t="shared" si="0"/>
        <v>45444</v>
      </c>
      <c r="AH2" s="2">
        <f t="shared" si="0"/>
        <v>45474</v>
      </c>
      <c r="AI2" s="2">
        <f t="shared" si="0"/>
        <v>45505</v>
      </c>
      <c r="AJ2" s="2">
        <f t="shared" si="0"/>
        <v>45536</v>
      </c>
      <c r="AK2" s="2">
        <f t="shared" si="0"/>
        <v>45566</v>
      </c>
      <c r="AL2" s="2">
        <f t="shared" si="0"/>
        <v>45597</v>
      </c>
      <c r="AM2" s="2">
        <f t="shared" si="0"/>
        <v>45627</v>
      </c>
      <c r="AN2" s="2">
        <f t="shared" si="0"/>
        <v>45658</v>
      </c>
      <c r="AO2" s="2">
        <f t="shared" si="0"/>
        <v>45689</v>
      </c>
      <c r="AP2" s="2">
        <f t="shared" ref="AP2" si="1">EDATE(AO2,1)</f>
        <v>45717</v>
      </c>
      <c r="AQ2" s="2">
        <f t="shared" ref="AQ2" si="2">EDATE(AP2,1)</f>
        <v>45748</v>
      </c>
      <c r="AR2" s="2">
        <f t="shared" ref="AR2" si="3">EDATE(AQ2,1)</f>
        <v>45778</v>
      </c>
      <c r="AS2" s="2">
        <f t="shared" ref="AS2" si="4">EDATE(AR2,1)</f>
        <v>45809</v>
      </c>
      <c r="AT2" s="2">
        <f t="shared" ref="AT2" si="5">EDATE(AS2,1)</f>
        <v>45839</v>
      </c>
      <c r="AU2" s="2">
        <f t="shared" ref="AU2" si="6">EDATE(AT2,1)</f>
        <v>45870</v>
      </c>
      <c r="AV2" s="2">
        <f t="shared" ref="AV2" si="7">EDATE(AU2,1)</f>
        <v>45901</v>
      </c>
      <c r="AW2" s="2">
        <f t="shared" ref="AW2" si="8">EDATE(AV2,1)</f>
        <v>45931</v>
      </c>
      <c r="AX2" s="2">
        <f t="shared" ref="AX2" si="9">EDATE(AW2,1)</f>
        <v>45962</v>
      </c>
      <c r="AY2" s="2">
        <f t="shared" ref="AY2" si="10">EDATE(AX2,1)</f>
        <v>45992</v>
      </c>
      <c r="AZ2" s="2">
        <f t="shared" ref="AZ2" si="11">EDATE(AY2,1)</f>
        <v>46023</v>
      </c>
      <c r="BA2" s="2">
        <f t="shared" ref="BA2" si="12">EDATE(AZ2,1)</f>
        <v>46054</v>
      </c>
      <c r="BB2" s="2">
        <f t="shared" ref="BB2" si="13">EDATE(BA2,1)</f>
        <v>46082</v>
      </c>
      <c r="BC2" s="2">
        <f t="shared" ref="BC2" si="14">EDATE(BB2,1)</f>
        <v>46113</v>
      </c>
      <c r="BD2" s="2">
        <f t="shared" ref="BD2" si="15">EDATE(BC2,1)</f>
        <v>46143</v>
      </c>
      <c r="BE2" s="2">
        <f t="shared" ref="BE2" si="16">EDATE(BD2,1)</f>
        <v>46174</v>
      </c>
      <c r="BF2" s="2">
        <f t="shared" ref="BF2" si="17">EDATE(BE2,1)</f>
        <v>46204</v>
      </c>
      <c r="BG2" s="2">
        <f t="shared" ref="BG2" si="18">EDATE(BF2,1)</f>
        <v>46235</v>
      </c>
      <c r="BH2" s="2">
        <f t="shared" ref="BH2" si="19">EDATE(BG2,1)</f>
        <v>46266</v>
      </c>
      <c r="BI2" s="2">
        <f t="shared" ref="BI2" si="20">EDATE(BH2,1)</f>
        <v>46296</v>
      </c>
      <c r="BJ2" s="2">
        <f t="shared" ref="BJ2" si="21">EDATE(BI2,1)</f>
        <v>46327</v>
      </c>
      <c r="BK2" s="2">
        <f t="shared" ref="BK2" si="22">EDATE(BJ2,1)</f>
        <v>46357</v>
      </c>
      <c r="BL2" s="2">
        <f t="shared" ref="BL2" si="23">EDATE(BK2,1)</f>
        <v>46388</v>
      </c>
      <c r="BM2" s="2">
        <f t="shared" ref="BM2" si="24">EDATE(BL2,1)</f>
        <v>46419</v>
      </c>
    </row>
    <row r="3" spans="2:65" x14ac:dyDescent="0.35">
      <c r="F3" s="2">
        <f>EDATE(F2,1)-1</f>
        <v>44651</v>
      </c>
      <c r="G3" s="2">
        <f t="shared" ref="G3" si="25">EDATE(G2,1)-1</f>
        <v>44681</v>
      </c>
      <c r="H3" s="2">
        <f t="shared" ref="H3" si="26">EDATE(H2,1)-1</f>
        <v>44712</v>
      </c>
      <c r="I3" s="2">
        <f t="shared" ref="I3" si="27">EDATE(I2,1)-1</f>
        <v>44742</v>
      </c>
      <c r="J3" s="2">
        <f t="shared" ref="J3" si="28">EDATE(J2,1)-1</f>
        <v>44773</v>
      </c>
      <c r="K3" s="2">
        <f t="shared" ref="K3" si="29">EDATE(K2,1)-1</f>
        <v>44804</v>
      </c>
      <c r="L3" s="2">
        <f t="shared" ref="L3" si="30">EDATE(L2,1)-1</f>
        <v>44834</v>
      </c>
      <c r="M3" s="2">
        <f t="shared" ref="M3" si="31">EDATE(M2,1)-1</f>
        <v>44865</v>
      </c>
      <c r="N3" s="2">
        <f t="shared" ref="N3" si="32">EDATE(N2,1)-1</f>
        <v>44895</v>
      </c>
      <c r="O3" s="2">
        <f t="shared" ref="O3" si="33">EDATE(O2,1)-1</f>
        <v>44926</v>
      </c>
      <c r="P3" s="2">
        <f t="shared" ref="P3" si="34">EDATE(P2,1)-1</f>
        <v>44957</v>
      </c>
      <c r="Q3" s="2">
        <f t="shared" ref="Q3" si="35">EDATE(Q2,1)-1</f>
        <v>44985</v>
      </c>
      <c r="R3" s="2">
        <f t="shared" ref="R3" si="36">EDATE(R2,1)-1</f>
        <v>45016</v>
      </c>
      <c r="S3" s="2">
        <f t="shared" ref="S3" si="37">EDATE(S2,1)-1</f>
        <v>45046</v>
      </c>
      <c r="T3" s="2">
        <f t="shared" ref="T3" si="38">EDATE(T2,1)-1</f>
        <v>45077</v>
      </c>
      <c r="U3" s="2">
        <f t="shared" ref="U3" si="39">EDATE(U2,1)-1</f>
        <v>45107</v>
      </c>
      <c r="V3" s="2">
        <f t="shared" ref="V3" si="40">EDATE(V2,1)-1</f>
        <v>45138</v>
      </c>
      <c r="W3" s="2">
        <f t="shared" ref="W3" si="41">EDATE(W2,1)-1</f>
        <v>45169</v>
      </c>
      <c r="X3" s="2">
        <f t="shared" ref="X3" si="42">EDATE(X2,1)-1</f>
        <v>45199</v>
      </c>
      <c r="Y3" s="2">
        <f t="shared" ref="Y3" si="43">EDATE(Y2,1)-1</f>
        <v>45230</v>
      </c>
      <c r="Z3" s="2">
        <f t="shared" ref="Z3" si="44">EDATE(Z2,1)-1</f>
        <v>45260</v>
      </c>
      <c r="AA3" s="2">
        <f t="shared" ref="AA3" si="45">EDATE(AA2,1)-1</f>
        <v>45291</v>
      </c>
      <c r="AB3" s="2">
        <f t="shared" ref="AB3" si="46">EDATE(AB2,1)-1</f>
        <v>45322</v>
      </c>
      <c r="AC3" s="2">
        <f t="shared" ref="AC3" si="47">EDATE(AC2,1)-1</f>
        <v>45351</v>
      </c>
      <c r="AD3" s="2">
        <f t="shared" ref="AD3" si="48">EDATE(AD2,1)-1</f>
        <v>45382</v>
      </c>
      <c r="AE3" s="2">
        <f t="shared" ref="AE3" si="49">EDATE(AE2,1)-1</f>
        <v>45412</v>
      </c>
      <c r="AF3" s="2">
        <f t="shared" ref="AF3" si="50">EDATE(AF2,1)-1</f>
        <v>45443</v>
      </c>
      <c r="AG3" s="2">
        <f t="shared" ref="AG3" si="51">EDATE(AG2,1)-1</f>
        <v>45473</v>
      </c>
      <c r="AH3" s="2">
        <f t="shared" ref="AH3" si="52">EDATE(AH2,1)-1</f>
        <v>45504</v>
      </c>
      <c r="AI3" s="2">
        <f t="shared" ref="AI3" si="53">EDATE(AI2,1)-1</f>
        <v>45535</v>
      </c>
      <c r="AJ3" s="2">
        <f t="shared" ref="AJ3" si="54">EDATE(AJ2,1)-1</f>
        <v>45565</v>
      </c>
      <c r="AK3" s="2">
        <f t="shared" ref="AK3" si="55">EDATE(AK2,1)-1</f>
        <v>45596</v>
      </c>
      <c r="AL3" s="2">
        <f t="shared" ref="AL3" si="56">EDATE(AL2,1)-1</f>
        <v>45626</v>
      </c>
      <c r="AM3" s="2">
        <f t="shared" ref="AM3" si="57">EDATE(AM2,1)-1</f>
        <v>45657</v>
      </c>
      <c r="AN3" s="2">
        <f t="shared" ref="AN3" si="58">EDATE(AN2,1)-1</f>
        <v>45688</v>
      </c>
      <c r="AO3" s="2">
        <f t="shared" ref="AO3:BE3" si="59">EDATE(AO2,1)-1</f>
        <v>45716</v>
      </c>
      <c r="AP3" s="2">
        <f t="shared" si="59"/>
        <v>45747</v>
      </c>
      <c r="AQ3" s="2">
        <f t="shared" si="59"/>
        <v>45777</v>
      </c>
      <c r="AR3" s="2">
        <f t="shared" si="59"/>
        <v>45808</v>
      </c>
      <c r="AS3" s="2">
        <f t="shared" si="59"/>
        <v>45838</v>
      </c>
      <c r="AT3" s="2">
        <f t="shared" si="59"/>
        <v>45869</v>
      </c>
      <c r="AU3" s="2">
        <f t="shared" si="59"/>
        <v>45900</v>
      </c>
      <c r="AV3" s="2">
        <f t="shared" si="59"/>
        <v>45930</v>
      </c>
      <c r="AW3" s="2">
        <f t="shared" si="59"/>
        <v>45961</v>
      </c>
      <c r="AX3" s="2">
        <f t="shared" si="59"/>
        <v>45991</v>
      </c>
      <c r="AY3" s="2">
        <f t="shared" si="59"/>
        <v>46022</v>
      </c>
      <c r="AZ3" s="2">
        <f t="shared" si="59"/>
        <v>46053</v>
      </c>
      <c r="BA3" s="2">
        <f t="shared" si="59"/>
        <v>46081</v>
      </c>
      <c r="BB3" s="2">
        <f t="shared" si="59"/>
        <v>46112</v>
      </c>
      <c r="BC3" s="2">
        <f t="shared" si="59"/>
        <v>46142</v>
      </c>
      <c r="BD3" s="2">
        <f t="shared" si="59"/>
        <v>46173</v>
      </c>
      <c r="BE3" s="2">
        <f t="shared" si="59"/>
        <v>46203</v>
      </c>
      <c r="BF3" s="2">
        <f t="shared" ref="BF3:BM3" si="60">EDATE(BF2,1)-1</f>
        <v>46234</v>
      </c>
      <c r="BG3" s="2">
        <f t="shared" si="60"/>
        <v>46265</v>
      </c>
      <c r="BH3" s="2">
        <f t="shared" si="60"/>
        <v>46295</v>
      </c>
      <c r="BI3" s="2">
        <f t="shared" si="60"/>
        <v>46326</v>
      </c>
      <c r="BJ3" s="2">
        <f t="shared" si="60"/>
        <v>46356</v>
      </c>
      <c r="BK3" s="2">
        <f t="shared" si="60"/>
        <v>46387</v>
      </c>
      <c r="BL3" s="2">
        <f t="shared" si="60"/>
        <v>46418</v>
      </c>
      <c r="BM3" s="2">
        <f t="shared" si="60"/>
        <v>46446</v>
      </c>
    </row>
    <row r="4" spans="2:65" x14ac:dyDescent="0.35">
      <c r="B4" s="1" t="s">
        <v>41</v>
      </c>
      <c r="C4" s="4">
        <f>Ставка_кредита</f>
        <v>0.19</v>
      </c>
    </row>
    <row r="5" spans="2:65" x14ac:dyDescent="0.35">
      <c r="B5" s="1" t="s">
        <v>42</v>
      </c>
      <c r="C5" s="11">
        <f>Платеж_по_кредиту</f>
        <v>35000</v>
      </c>
    </row>
    <row r="6" spans="2:65" x14ac:dyDescent="0.35">
      <c r="B6" s="1" t="s">
        <v>142</v>
      </c>
      <c r="C6" s="2">
        <f>Дата_начала_погашения_кредита</f>
        <v>45016</v>
      </c>
    </row>
    <row r="7" spans="2:65" x14ac:dyDescent="0.35">
      <c r="C7" s="2"/>
      <c r="E7" s="20" t="s">
        <v>36</v>
      </c>
    </row>
    <row r="8" spans="2:65" x14ac:dyDescent="0.35">
      <c r="B8" s="1" t="s">
        <v>49</v>
      </c>
      <c r="C8" s="2"/>
      <c r="E8" s="11">
        <f>SUM(F8:BM8)</f>
        <v>1425263.4760306289</v>
      </c>
      <c r="F8" s="11">
        <f>IF((CashFlow!E31+CashFlow!F5+CashFlow!F19-CashFlow!F27)&gt;0,0,-(CashFlow!E31+CashFlow!F5+CashFlow!F19-CashFlow!F27))</f>
        <v>687000</v>
      </c>
      <c r="G8" s="11">
        <f>IF((CashFlow!F31+CashFlow!G5+CashFlow!G19-CashFlow!G27)&gt;0,0,-(CashFlow!F31+CashFlow!G5+CashFlow!G19-CashFlow!G27))</f>
        <v>0</v>
      </c>
      <c r="H8" s="11">
        <f>IF((CashFlow!G31+CashFlow!H5+CashFlow!H19-CashFlow!H27)&gt;0,0,-(CashFlow!G31+CashFlow!H5+CashFlow!H19-CashFlow!H27))</f>
        <v>0</v>
      </c>
      <c r="I8" s="11">
        <f>IF((CashFlow!H31+CashFlow!I5+CashFlow!I19-CashFlow!I27)&gt;0,0,-(CashFlow!H31+CashFlow!I5+CashFlow!I19-CashFlow!I27))</f>
        <v>0</v>
      </c>
      <c r="J8" s="11">
        <f>IF((CashFlow!I31+CashFlow!J5+CashFlow!J19-CashFlow!J27)&gt;0,0,-(CashFlow!I31+CashFlow!J5+CashFlow!J19-CashFlow!J27))</f>
        <v>20538.712334782263</v>
      </c>
      <c r="K8" s="11">
        <f>IF((CashFlow!J31+CashFlow!K5+CashFlow!K19-CashFlow!K27)&gt;0,0,-(CashFlow!J31+CashFlow!K5+CashFlow!K19-CashFlow!K27))</f>
        <v>102808.09046603655</v>
      </c>
      <c r="L8" s="11">
        <f>IF((CashFlow!K31+CashFlow!L5+CashFlow!L19-CashFlow!L27)&gt;0,0,-(CashFlow!K31+CashFlow!L5+CashFlow!L19-CashFlow!L27))</f>
        <v>104659.45182722175</v>
      </c>
      <c r="M8" s="11">
        <f>IF((CashFlow!L31+CashFlow!M5+CashFlow!M19-CashFlow!M27)&gt;0,0,-(CashFlow!L31+CashFlow!M5+CashFlow!M19-CashFlow!M27))</f>
        <v>61191.508404624299</v>
      </c>
      <c r="N8" s="11">
        <f>IF((CashFlow!M31+CashFlow!N5+CashFlow!N19-CashFlow!N27)&gt;0,0,-(CashFlow!M31+CashFlow!N5+CashFlow!N19-CashFlow!N27))</f>
        <v>62187.891851624416</v>
      </c>
      <c r="O8" s="11">
        <f>IF((CashFlow!N31+CashFlow!O5+CashFlow!O19-CashFlow!O27)&gt;0,0,-(CashFlow!N31+CashFlow!O5+CashFlow!O19-CashFlow!O27))</f>
        <v>0</v>
      </c>
      <c r="P8" s="11">
        <f>IF((CashFlow!O31+CashFlow!P5+CashFlow!P19-CashFlow!P27)&gt;0,0,-(CashFlow!O31+CashFlow!P5+CashFlow!P19-CashFlow!P27))</f>
        <v>41278.945367018416</v>
      </c>
      <c r="Q8" s="11">
        <f>IF((CashFlow!P31+CashFlow!Q5+CashFlow!Q19-CashFlow!Q27)&gt;0,0,-(CashFlow!P31+CashFlow!Q5+CashFlow!Q19-CashFlow!Q27))</f>
        <v>42050.176390706562</v>
      </c>
      <c r="R8" s="11">
        <f>IF((CashFlow!Q31+CashFlow!R5+CashFlow!R19-CashFlow!R27)&gt;0,0,-(CashFlow!Q31+CashFlow!R5+CashFlow!R19-CashFlow!R27))</f>
        <v>0</v>
      </c>
      <c r="S8" s="11">
        <f>IF((CashFlow!R31+CashFlow!S5+CashFlow!S19-CashFlow!S27)&gt;0,0,-(CashFlow!R31+CashFlow!S5+CashFlow!S19-CashFlow!S27))</f>
        <v>0</v>
      </c>
      <c r="T8" s="11">
        <f>IF((CashFlow!S31+CashFlow!T5+CashFlow!T19-CashFlow!T27)&gt;0,0,-(CashFlow!S31+CashFlow!T5+CashFlow!T19-CashFlow!T27))</f>
        <v>0</v>
      </c>
      <c r="U8" s="11">
        <f>IF((CashFlow!T31+CashFlow!U5+CashFlow!U19-CashFlow!U27)&gt;0,0,-(CashFlow!T31+CashFlow!U5+CashFlow!U19-CashFlow!U27))</f>
        <v>0</v>
      </c>
      <c r="V8" s="11">
        <f>IF((CashFlow!U31+CashFlow!V5+CashFlow!V19-CashFlow!V27)&gt;0,0,-(CashFlow!U31+CashFlow!V5+CashFlow!V19-CashFlow!V27))</f>
        <v>0</v>
      </c>
      <c r="W8" s="11">
        <f>IF((CashFlow!V31+CashFlow!W5+CashFlow!W19-CashFlow!W27)&gt;0,0,-(CashFlow!V31+CashFlow!W5+CashFlow!W19-CashFlow!W27))</f>
        <v>0</v>
      </c>
      <c r="X8" s="11">
        <f>IF((CashFlow!W31+CashFlow!X5+CashFlow!X19-CashFlow!X27)&gt;0,0,-(CashFlow!W31+CashFlow!X5+CashFlow!X19-CashFlow!X27))</f>
        <v>0</v>
      </c>
      <c r="Y8" s="11">
        <f>IF((CashFlow!X31+CashFlow!Y5+CashFlow!Y19-CashFlow!Y27)&gt;0,0,-(CashFlow!X31+CashFlow!Y5+CashFlow!Y19-CashFlow!Y27))</f>
        <v>0</v>
      </c>
      <c r="Z8" s="11">
        <f>IF((CashFlow!Y31+CashFlow!Z5+CashFlow!Z19-CashFlow!Z27)&gt;0,0,-(CashFlow!Y31+CashFlow!Z5+CashFlow!Z19-CashFlow!Z27))</f>
        <v>0</v>
      </c>
      <c r="AA8" s="11">
        <f>IF((CashFlow!Z31+CashFlow!AA5+CashFlow!AA19-CashFlow!AA27)&gt;0,0,-(CashFlow!Z31+CashFlow!AA5+CashFlow!AA19-CashFlow!AA27))</f>
        <v>0</v>
      </c>
      <c r="AB8" s="11">
        <f>IF((CashFlow!AA31+CashFlow!AB5+CashFlow!AB19-CashFlow!AB27)&gt;0,0,-(CashFlow!AA31+CashFlow!AB5+CashFlow!AB19-CashFlow!AB27))</f>
        <v>0</v>
      </c>
      <c r="AC8" s="11">
        <f>IF((CashFlow!AB31+CashFlow!AC5+CashFlow!AC19-CashFlow!AC27)&gt;0,0,-(CashFlow!AB31+CashFlow!AC5+CashFlow!AC19-CashFlow!AC27))</f>
        <v>0</v>
      </c>
      <c r="AD8" s="11">
        <f>IF((CashFlow!AC31+CashFlow!AD5+CashFlow!AD19-CashFlow!AD27)&gt;0,0,-(CashFlow!AC31+CashFlow!AD5+CashFlow!AD19-CashFlow!AD27))</f>
        <v>0</v>
      </c>
      <c r="AE8" s="11">
        <f>IF((CashFlow!AD31+CashFlow!AE5+CashFlow!AE19-CashFlow!AE27)&gt;0,0,-(CashFlow!AD31+CashFlow!AE5+CashFlow!AE19-CashFlow!AE27))</f>
        <v>0</v>
      </c>
      <c r="AF8" s="11">
        <f>IF((CashFlow!AE31+CashFlow!AF5+CashFlow!AF19-CashFlow!AF27)&gt;0,0,-(CashFlow!AE31+CashFlow!AF5+CashFlow!AF19-CashFlow!AF27))</f>
        <v>0</v>
      </c>
      <c r="AG8" s="11">
        <f>IF((CashFlow!AF31+CashFlow!AG5+CashFlow!AG19-CashFlow!AG27)&gt;0,0,-(CashFlow!AF31+CashFlow!AG5+CashFlow!AG19-CashFlow!AG27))</f>
        <v>0</v>
      </c>
      <c r="AH8" s="11">
        <f>IF((CashFlow!AG31+CashFlow!AH5+CashFlow!AH19-CashFlow!AH27)&gt;0,0,-(CashFlow!AG31+CashFlow!AH5+CashFlow!AH19-CashFlow!AH27))</f>
        <v>0</v>
      </c>
      <c r="AI8" s="11">
        <f>IF((CashFlow!AH31+CashFlow!AI5+CashFlow!AI19-CashFlow!AI27)&gt;0,0,-(CashFlow!AH31+CashFlow!AI5+CashFlow!AI19-CashFlow!AI27))</f>
        <v>0</v>
      </c>
      <c r="AJ8" s="11">
        <f>IF((CashFlow!AI31+CashFlow!AJ5+CashFlow!AJ19-CashFlow!AJ27)&gt;0,0,-(CashFlow!AI31+CashFlow!AJ5+CashFlow!AJ19-CashFlow!AJ27))</f>
        <v>0</v>
      </c>
      <c r="AK8" s="11">
        <f>IF((CashFlow!AJ31+CashFlow!AK5+CashFlow!AK19-CashFlow!AK27)&gt;0,0,-(CashFlow!AJ31+CashFlow!AK5+CashFlow!AK19-CashFlow!AK27))</f>
        <v>0</v>
      </c>
      <c r="AL8" s="11">
        <f>IF((CashFlow!AK31+CashFlow!AL5+CashFlow!AL19-CashFlow!AL27)&gt;0,0,-(CashFlow!AK31+CashFlow!AL5+CashFlow!AL19-CashFlow!AL27))</f>
        <v>0</v>
      </c>
      <c r="AM8" s="11">
        <f>IF((CashFlow!AL31+CashFlow!AM5+CashFlow!AM19-CashFlow!AM27)&gt;0,0,-(CashFlow!AL31+CashFlow!AM5+CashFlow!AM19-CashFlow!AM27))</f>
        <v>0</v>
      </c>
      <c r="AN8" s="11">
        <f>IF((CashFlow!AM31+CashFlow!AN5+CashFlow!AN19-CashFlow!AN27)&gt;0,0,-(CashFlow!AM31+CashFlow!AN5+CashFlow!AN19-CashFlow!AN27))</f>
        <v>8483.0736548138302</v>
      </c>
      <c r="AO8" s="11">
        <f>IF((CashFlow!AN31+CashFlow!AO5+CashFlow!AO19-CashFlow!AO27)&gt;0,0,-(CashFlow!AN31+CashFlow!AO5+CashFlow!AO19-CashFlow!AO27))</f>
        <v>59792.636752256221</v>
      </c>
      <c r="AP8" s="11">
        <f>IF((CashFlow!AO31+CashFlow!AP5+CashFlow!AP19-CashFlow!AP27)&gt;0,0,-(CashFlow!AO31+CashFlow!AP5+CashFlow!AP19-CashFlow!AP27))</f>
        <v>0</v>
      </c>
      <c r="AQ8" s="11">
        <f>IF((CashFlow!AP31+CashFlow!AQ5+CashFlow!AQ19-CashFlow!AQ27)&gt;0,0,-(CashFlow!AP31+CashFlow!AQ5+CashFlow!AQ19-CashFlow!AQ27))</f>
        <v>0</v>
      </c>
      <c r="AR8" s="11">
        <f>IF((CashFlow!AQ31+CashFlow!AR5+CashFlow!AR19-CashFlow!AR27)&gt;0,0,-(CashFlow!AQ31+CashFlow!AR5+CashFlow!AR19-CashFlow!AR27))</f>
        <v>0</v>
      </c>
      <c r="AS8" s="11">
        <f>IF((CashFlow!AR31+CashFlow!AS5+CashFlow!AS19-CashFlow!AS27)&gt;0,0,-(CashFlow!AR31+CashFlow!AS5+CashFlow!AS19-CashFlow!AS27))</f>
        <v>0</v>
      </c>
      <c r="AT8" s="11">
        <f>IF((CashFlow!AS31+CashFlow!AT5+CashFlow!AT19-CashFlow!AT27)&gt;0,0,-(CashFlow!AS31+CashFlow!AT5+CashFlow!AT19-CashFlow!AT27))</f>
        <v>0</v>
      </c>
      <c r="AU8" s="11">
        <f>IF((CashFlow!AT31+CashFlow!AU5+CashFlow!AU19-CashFlow!AU27)&gt;0,0,-(CashFlow!AT31+CashFlow!AU5+CashFlow!AU19-CashFlow!AU27))</f>
        <v>27812.593208003287</v>
      </c>
      <c r="AV8" s="11">
        <f>IF((CashFlow!AU31+CashFlow!AV5+CashFlow!AV19-CashFlow!AV27)&gt;0,0,-(CashFlow!AU31+CashFlow!AV5+CashFlow!AV19-CashFlow!AV27))</f>
        <v>0</v>
      </c>
      <c r="AW8" s="11">
        <f>IF((CashFlow!AV31+CashFlow!AW5+CashFlow!AW19-CashFlow!AW27)&gt;0,0,-(CashFlow!AV31+CashFlow!AW5+CashFlow!AW19-CashFlow!AW27))</f>
        <v>0</v>
      </c>
      <c r="AX8" s="11">
        <f>IF((CashFlow!AW31+CashFlow!AX5+CashFlow!AX19-CashFlow!AX27)&gt;0,0,-(CashFlow!AW31+CashFlow!AX5+CashFlow!AX19-CashFlow!AX27))</f>
        <v>0</v>
      </c>
      <c r="AY8" s="11">
        <f>IF((CashFlow!AX31+CashFlow!AY5+CashFlow!AY19-CashFlow!AY27)&gt;0,0,-(CashFlow!AX31+CashFlow!AY5+CashFlow!AY19-CashFlow!AY27))</f>
        <v>0</v>
      </c>
      <c r="AZ8" s="11">
        <f>IF((CashFlow!AY31+CashFlow!AZ5+CashFlow!AZ19-CashFlow!AZ27)&gt;0,0,-(CashFlow!AY31+CashFlow!AZ5+CashFlow!AZ19-CashFlow!AZ27))</f>
        <v>38196.657702120312</v>
      </c>
      <c r="BA8" s="11">
        <f>IF((CashFlow!AZ31+CashFlow!BA5+CashFlow!BA19-CashFlow!BA27)&gt;0,0,-(CashFlow!AZ31+CashFlow!BA5+CashFlow!BA19-CashFlow!BA27))</f>
        <v>58028.208856249359</v>
      </c>
      <c r="BB8" s="11">
        <f>IF((CashFlow!BA31+CashFlow!BB5+CashFlow!BB19-CashFlow!BB27)&gt;0,0,-(CashFlow!BA31+CashFlow!BB5+CashFlow!BB19-CashFlow!BB27))</f>
        <v>0</v>
      </c>
      <c r="BC8" s="11">
        <f>IF((CashFlow!BB31+CashFlow!BC5+CashFlow!BC19-CashFlow!BC27)&gt;0,0,-(CashFlow!BB31+CashFlow!BC5+CashFlow!BC19-CashFlow!BC27))</f>
        <v>0</v>
      </c>
      <c r="BD8" s="11">
        <f>IF((CashFlow!BC31+CashFlow!BD5+CashFlow!BD19-CashFlow!BD27)&gt;0,0,-(CashFlow!BC31+CashFlow!BD5+CashFlow!BD19-CashFlow!BD27))</f>
        <v>0</v>
      </c>
      <c r="BE8" s="11">
        <f>IF((CashFlow!BD31+CashFlow!BE5+CashFlow!BE19-CashFlow!BE27)&gt;0,0,-(CashFlow!BD31+CashFlow!BE5+CashFlow!BE19-CashFlow!BE27))</f>
        <v>0</v>
      </c>
      <c r="BF8" s="11">
        <f>IF((CashFlow!BE31+CashFlow!BF5+CashFlow!BF19-CashFlow!BF27)&gt;0,0,-(CashFlow!BE31+CashFlow!BF5+CashFlow!BF19-CashFlow!BF27))</f>
        <v>0</v>
      </c>
      <c r="BG8" s="11">
        <f>IF((CashFlow!BF31+CashFlow!BG5+CashFlow!BG19-CashFlow!BG27)&gt;0,0,-(CashFlow!BF31+CashFlow!BG5+CashFlow!BG19-CashFlow!BG27))</f>
        <v>21919.039472149703</v>
      </c>
      <c r="BH8" s="11">
        <f>IF((CashFlow!BG31+CashFlow!BH5+CashFlow!BH19-CashFlow!BH27)&gt;0,0,-(CashFlow!BG31+CashFlow!BH5+CashFlow!BH19-CashFlow!BH27))</f>
        <v>0</v>
      </c>
      <c r="BI8" s="11">
        <f>IF((CashFlow!BH31+CashFlow!BI5+CashFlow!BI19-CashFlow!BI27)&gt;0,0,-(CashFlow!BH31+CashFlow!BI5+CashFlow!BI19-CashFlow!BI27))</f>
        <v>0</v>
      </c>
      <c r="BJ8" s="11">
        <f>IF((CashFlow!BI31+CashFlow!BJ5+CashFlow!BJ19-CashFlow!BJ27)&gt;0,0,-(CashFlow!BI31+CashFlow!BJ5+CashFlow!BJ19-CashFlow!BJ27))</f>
        <v>0</v>
      </c>
      <c r="BK8" s="11">
        <f>IF((CashFlow!BJ31+CashFlow!BK5+CashFlow!BK19-CashFlow!BK27)&gt;0,0,-(CashFlow!BJ31+CashFlow!BK5+CashFlow!BK19-CashFlow!BK27))</f>
        <v>0</v>
      </c>
      <c r="BL8" s="11">
        <f>IF((CashFlow!BK31+CashFlow!BL5+CashFlow!BL19-CashFlow!BL27)&gt;0,0,-(CashFlow!BK31+CashFlow!BL5+CashFlow!BL19-CashFlow!BL27))</f>
        <v>33255.205218296978</v>
      </c>
      <c r="BM8" s="11">
        <f>IF((CashFlow!BL31+CashFlow!BM5+CashFlow!BM19-CashFlow!BM27)&gt;0,0,-(CashFlow!BL31+CashFlow!BM5+CashFlow!BM19-CashFlow!BM27))</f>
        <v>56061.284524724717</v>
      </c>
    </row>
    <row r="9" spans="2:65" x14ac:dyDescent="0.35">
      <c r="B9" s="1" t="s">
        <v>43</v>
      </c>
      <c r="E9" s="11">
        <f>SUM(F9:BM9)</f>
        <v>665852.57655349711</v>
      </c>
      <c r="F9" s="11">
        <f t="shared" ref="F9:G9" si="61">E11*$C$4/12</f>
        <v>0</v>
      </c>
      <c r="G9" s="11">
        <f t="shared" si="61"/>
        <v>10877.5</v>
      </c>
      <c r="H9" s="11">
        <f>G11*$C$4/12</f>
        <v>10877.5</v>
      </c>
      <c r="I9" s="11">
        <f>H11*$C$4/12</f>
        <v>10877.5</v>
      </c>
      <c r="J9" s="11">
        <f t="shared" ref="J9:P9" si="62">I11*$C$4/12</f>
        <v>10877.5</v>
      </c>
      <c r="K9" s="11">
        <f t="shared" si="62"/>
        <v>11202.696278634052</v>
      </c>
      <c r="L9" s="11">
        <f t="shared" si="62"/>
        <v>12830.4910443463</v>
      </c>
      <c r="M9" s="11">
        <f t="shared" si="62"/>
        <v>14487.599031610642</v>
      </c>
      <c r="N9" s="11">
        <f t="shared" si="62"/>
        <v>15456.464581350527</v>
      </c>
      <c r="O9" s="11">
        <f t="shared" si="62"/>
        <v>16441.10620233458</v>
      </c>
      <c r="P9" s="11">
        <f t="shared" si="62"/>
        <v>16441.10620233458</v>
      </c>
      <c r="Q9" s="11">
        <f t="shared" ref="Q9:AO9" si="63">P11*$C$4/12</f>
        <v>17094.68950397904</v>
      </c>
      <c r="R9" s="11">
        <f t="shared" si="63"/>
        <v>17760.483963498558</v>
      </c>
      <c r="S9" s="11">
        <f t="shared" si="63"/>
        <v>17487.524959587288</v>
      </c>
      <c r="T9" s="11">
        <f t="shared" si="63"/>
        <v>17210.244104780752</v>
      </c>
      <c r="U9" s="11">
        <f t="shared" si="63"/>
        <v>16928.572969773115</v>
      </c>
      <c r="V9" s="11">
        <f t="shared" si="63"/>
        <v>16642.442041794522</v>
      </c>
      <c r="W9" s="11">
        <f t="shared" si="63"/>
        <v>16351.780707456268</v>
      </c>
      <c r="X9" s="11">
        <f t="shared" si="63"/>
        <v>16056.517235324325</v>
      </c>
      <c r="Y9" s="11">
        <f t="shared" si="63"/>
        <v>15756.578758216963</v>
      </c>
      <c r="Z9" s="11">
        <f t="shared" si="63"/>
        <v>15451.891255222063</v>
      </c>
      <c r="AA9" s="11">
        <f t="shared" si="63"/>
        <v>15142.379533429745</v>
      </c>
      <c r="AB9" s="11">
        <f t="shared" si="63"/>
        <v>14827.967209375716</v>
      </c>
      <c r="AC9" s="11">
        <f t="shared" si="63"/>
        <v>14508.57669019083</v>
      </c>
      <c r="AD9" s="11">
        <f t="shared" si="63"/>
        <v>14184.129154452186</v>
      </c>
      <c r="AE9" s="11">
        <f t="shared" si="63"/>
        <v>13854.544532731014</v>
      </c>
      <c r="AF9" s="11">
        <f t="shared" si="63"/>
        <v>13519.741487832587</v>
      </c>
      <c r="AG9" s="11">
        <f t="shared" si="63"/>
        <v>13179.637394723271</v>
      </c>
      <c r="AH9" s="11">
        <f t="shared" si="63"/>
        <v>12834.148320139722</v>
      </c>
      <c r="AI9" s="11">
        <f t="shared" si="63"/>
        <v>12483.189001875269</v>
      </c>
      <c r="AJ9" s="11">
        <f t="shared" si="63"/>
        <v>12126.672827738294</v>
      </c>
      <c r="AK9" s="11">
        <f t="shared" si="63"/>
        <v>11764.511814177482</v>
      </c>
      <c r="AL9" s="11">
        <f t="shared" si="63"/>
        <v>11396.616584568626</v>
      </c>
      <c r="AM9" s="11">
        <f t="shared" si="63"/>
        <v>11022.89634715763</v>
      </c>
      <c r="AN9" s="11">
        <f t="shared" si="63"/>
        <v>10643.258872654294</v>
      </c>
      <c r="AO9" s="11">
        <f t="shared" si="63"/>
        <v>10391.925804339206</v>
      </c>
      <c r="AP9" s="11">
        <f t="shared" ref="AP9" si="64">AO11*$C$4/12</f>
        <v>10949.014711485301</v>
      </c>
      <c r="AQ9" s="11">
        <f t="shared" ref="AQ9" si="65">AP11*$C$4/12</f>
        <v>10568.20744441715</v>
      </c>
      <c r="AR9" s="11">
        <f t="shared" ref="AR9" si="66">AQ11*$C$4/12</f>
        <v>10181.370728953756</v>
      </c>
      <c r="AS9" s="11">
        <f t="shared" ref="AS9" si="67">AR11*$C$4/12</f>
        <v>9788.4090988288572</v>
      </c>
      <c r="AT9" s="11">
        <f t="shared" ref="AT9" si="68">AS11*$C$4/12</f>
        <v>9389.2255762269815</v>
      </c>
      <c r="AU9" s="11">
        <f t="shared" ref="AU9" si="69">AT11*$C$4/12</f>
        <v>8983.7216478505743</v>
      </c>
      <c r="AV9" s="11">
        <f t="shared" ref="AV9" si="70">AU11*$C$4/12</f>
        <v>9012.1632997349279</v>
      </c>
      <c r="AW9" s="11">
        <f t="shared" ref="AW9" si="71">AV11*$C$4/12</f>
        <v>8600.6892186473979</v>
      </c>
      <c r="AX9" s="11">
        <f t="shared" ref="AX9" si="72">AW11*$C$4/12</f>
        <v>8182.7001312759821</v>
      </c>
      <c r="AY9" s="11">
        <f t="shared" ref="AY9" si="73">AX11*$C$4/12</f>
        <v>7758.0928833545186</v>
      </c>
      <c r="AZ9" s="11">
        <f t="shared" ref="AZ9" si="74">AY11*$C$4/12</f>
        <v>7326.7626873409654</v>
      </c>
      <c r="BA9" s="11">
        <f t="shared" ref="BA9" si="75">AZ11*$C$4/12</f>
        <v>7493.3835101741024</v>
      </c>
      <c r="BB9" s="11">
        <f t="shared" ref="BB9" si="76">BA11*$C$4/12</f>
        <v>7976.6420559758071</v>
      </c>
      <c r="BC9" s="11">
        <f t="shared" ref="BC9" si="77">BB11*$C$4/12</f>
        <v>7548.7722218620902</v>
      </c>
      <c r="BD9" s="11">
        <f t="shared" ref="BD9" si="78">BC11*$C$4/12</f>
        <v>7114.1277820415735</v>
      </c>
      <c r="BE9" s="11">
        <f t="shared" ref="BE9" si="79">BD11*$C$4/12</f>
        <v>6672.6014719238983</v>
      </c>
      <c r="BF9" s="11">
        <f t="shared" ref="BF9" si="80">BE11*$C$4/12</f>
        <v>6224.0843285626934</v>
      </c>
      <c r="BG9" s="11">
        <f t="shared" ref="BG9" si="81">BF11*$C$4/12</f>
        <v>5768.4656637649359</v>
      </c>
      <c r="BH9" s="11">
        <f t="shared" ref="BH9" si="82">BG11*$C$4/12</f>
        <v>5652.6844950835839</v>
      </c>
      <c r="BI9" s="11">
        <f t="shared" ref="BI9" si="83">BH11*$C$4/12</f>
        <v>5188.0186662557408</v>
      </c>
      <c r="BJ9" s="11">
        <f t="shared" ref="BJ9" si="84">BI11*$C$4/12</f>
        <v>4715.9956284714563</v>
      </c>
      <c r="BK9" s="11">
        <f t="shared" ref="BK9" si="85">BJ11*$C$4/12</f>
        <v>4236.4988925889211</v>
      </c>
      <c r="BL9" s="11">
        <f t="shared" ref="BL9" si="86">BK11*$C$4/12</f>
        <v>3749.410125054912</v>
      </c>
      <c r="BM9" s="11">
        <f t="shared" ref="BM9" si="87">BL11*$C$4/12</f>
        <v>3781.149867991317</v>
      </c>
    </row>
    <row r="10" spans="2:65" x14ac:dyDescent="0.35">
      <c r="B10" s="1" t="s">
        <v>44</v>
      </c>
      <c r="E10" s="11">
        <f>SUM(F10:BM10)</f>
        <v>1161611.5762910927</v>
      </c>
      <c r="F10" s="11">
        <f t="shared" ref="F10:AK10" si="88">IF(F3&lt;$C$6,0,IF(($C$5-F9)&gt;E11,E11,$C$5-F9))</f>
        <v>0</v>
      </c>
      <c r="G10" s="11">
        <f t="shared" si="88"/>
        <v>0</v>
      </c>
      <c r="H10" s="11">
        <f t="shared" si="88"/>
        <v>0</v>
      </c>
      <c r="I10" s="11">
        <f t="shared" si="88"/>
        <v>0</v>
      </c>
      <c r="J10" s="11">
        <f t="shared" si="88"/>
        <v>0</v>
      </c>
      <c r="K10" s="11">
        <f t="shared" si="88"/>
        <v>0</v>
      </c>
      <c r="L10" s="11">
        <f t="shared" si="88"/>
        <v>0</v>
      </c>
      <c r="M10" s="11">
        <f t="shared" si="88"/>
        <v>0</v>
      </c>
      <c r="N10" s="11">
        <f t="shared" si="88"/>
        <v>0</v>
      </c>
      <c r="O10" s="11">
        <f t="shared" si="88"/>
        <v>0</v>
      </c>
      <c r="P10" s="11">
        <f t="shared" si="88"/>
        <v>0</v>
      </c>
      <c r="Q10" s="11">
        <f t="shared" si="88"/>
        <v>0</v>
      </c>
      <c r="R10" s="11">
        <f t="shared" si="88"/>
        <v>17239.516036501442</v>
      </c>
      <c r="S10" s="11">
        <f t="shared" si="88"/>
        <v>17512.475040412712</v>
      </c>
      <c r="T10" s="11">
        <f t="shared" si="88"/>
        <v>17789.755895219248</v>
      </c>
      <c r="U10" s="11">
        <f t="shared" si="88"/>
        <v>18071.427030226885</v>
      </c>
      <c r="V10" s="11">
        <f t="shared" si="88"/>
        <v>18357.557958205478</v>
      </c>
      <c r="W10" s="11">
        <f t="shared" si="88"/>
        <v>18648.219292543734</v>
      </c>
      <c r="X10" s="11">
        <f t="shared" si="88"/>
        <v>18943.482764675675</v>
      </c>
      <c r="Y10" s="11">
        <f t="shared" si="88"/>
        <v>19243.421241783035</v>
      </c>
      <c r="Z10" s="11">
        <f t="shared" si="88"/>
        <v>19548.108744777935</v>
      </c>
      <c r="AA10" s="11">
        <f t="shared" si="88"/>
        <v>19857.620466570253</v>
      </c>
      <c r="AB10" s="11">
        <f t="shared" si="88"/>
        <v>20172.032790624282</v>
      </c>
      <c r="AC10" s="11">
        <f t="shared" si="88"/>
        <v>20491.423309809172</v>
      </c>
      <c r="AD10" s="11">
        <f t="shared" si="88"/>
        <v>20815.870845547812</v>
      </c>
      <c r="AE10" s="11">
        <f t="shared" si="88"/>
        <v>21145.455467268985</v>
      </c>
      <c r="AF10" s="11">
        <f t="shared" si="88"/>
        <v>21480.258512167413</v>
      </c>
      <c r="AG10" s="11">
        <f t="shared" si="88"/>
        <v>21820.362605276729</v>
      </c>
      <c r="AH10" s="11">
        <f t="shared" si="88"/>
        <v>22165.85167986028</v>
      </c>
      <c r="AI10" s="11">
        <f t="shared" si="88"/>
        <v>22516.810998124733</v>
      </c>
      <c r="AJ10" s="11">
        <f t="shared" si="88"/>
        <v>22873.327172261706</v>
      </c>
      <c r="AK10" s="11">
        <f t="shared" si="88"/>
        <v>23235.48818582252</v>
      </c>
      <c r="AL10" s="11">
        <f t="shared" ref="AL10:BM10" si="89">IF(AL3&lt;$C$6,0,IF(($C$5-AL9)&gt;AK11,AK11,$C$5-AL9))</f>
        <v>23603.383415431374</v>
      </c>
      <c r="AM10" s="11">
        <f t="shared" si="89"/>
        <v>23977.103652842372</v>
      </c>
      <c r="AN10" s="11">
        <f t="shared" si="89"/>
        <v>24356.741127345704</v>
      </c>
      <c r="AO10" s="11">
        <f t="shared" si="89"/>
        <v>24608.074195660796</v>
      </c>
      <c r="AP10" s="11">
        <f t="shared" si="89"/>
        <v>24050.985288514697</v>
      </c>
      <c r="AQ10" s="11">
        <f t="shared" si="89"/>
        <v>24431.792555582848</v>
      </c>
      <c r="AR10" s="11">
        <f t="shared" si="89"/>
        <v>24818.629271046244</v>
      </c>
      <c r="AS10" s="11">
        <f t="shared" si="89"/>
        <v>25211.590901171141</v>
      </c>
      <c r="AT10" s="11">
        <f t="shared" si="89"/>
        <v>25610.774423773018</v>
      </c>
      <c r="AU10" s="11">
        <f t="shared" si="89"/>
        <v>26016.278352149428</v>
      </c>
      <c r="AV10" s="11">
        <f t="shared" si="89"/>
        <v>25987.83670026507</v>
      </c>
      <c r="AW10" s="11">
        <f t="shared" si="89"/>
        <v>26399.3107813526</v>
      </c>
      <c r="AX10" s="11">
        <f t="shared" si="89"/>
        <v>26817.299868724018</v>
      </c>
      <c r="AY10" s="11">
        <f t="shared" si="89"/>
        <v>27241.907116645481</v>
      </c>
      <c r="AZ10" s="11">
        <f t="shared" si="89"/>
        <v>27673.237312659036</v>
      </c>
      <c r="BA10" s="11">
        <f t="shared" si="89"/>
        <v>27506.616489825898</v>
      </c>
      <c r="BB10" s="11">
        <f t="shared" si="89"/>
        <v>27023.357944024192</v>
      </c>
      <c r="BC10" s="11">
        <f t="shared" si="89"/>
        <v>27451.227778137909</v>
      </c>
      <c r="BD10" s="11">
        <f t="shared" si="89"/>
        <v>27885.872217958426</v>
      </c>
      <c r="BE10" s="11">
        <f t="shared" si="89"/>
        <v>28327.398528076101</v>
      </c>
      <c r="BF10" s="11">
        <f t="shared" si="89"/>
        <v>28775.915671437306</v>
      </c>
      <c r="BG10" s="11">
        <f t="shared" si="89"/>
        <v>29231.534336235065</v>
      </c>
      <c r="BH10" s="11">
        <f t="shared" si="89"/>
        <v>29347.315504916416</v>
      </c>
      <c r="BI10" s="11">
        <f t="shared" si="89"/>
        <v>29811.981333744261</v>
      </c>
      <c r="BJ10" s="11">
        <f t="shared" si="89"/>
        <v>30284.004371528543</v>
      </c>
      <c r="BK10" s="11">
        <f t="shared" si="89"/>
        <v>30763.501107411081</v>
      </c>
      <c r="BL10" s="11">
        <f t="shared" si="89"/>
        <v>31250.589874945086</v>
      </c>
      <c r="BM10" s="11">
        <f t="shared" si="89"/>
        <v>31218.850132008683</v>
      </c>
    </row>
    <row r="11" spans="2:65" x14ac:dyDescent="0.35">
      <c r="B11" s="1" t="s">
        <v>45</v>
      </c>
      <c r="F11" s="11">
        <f>E11+F8-F10</f>
        <v>687000</v>
      </c>
      <c r="G11" s="11">
        <f t="shared" ref="G11:BM11" si="90">F11+G8-G10</f>
        <v>687000</v>
      </c>
      <c r="H11" s="11">
        <f t="shared" si="90"/>
        <v>687000</v>
      </c>
      <c r="I11" s="11">
        <f t="shared" si="90"/>
        <v>687000</v>
      </c>
      <c r="J11" s="11">
        <f t="shared" si="90"/>
        <v>707538.71233478223</v>
      </c>
      <c r="K11" s="11">
        <f t="shared" si="90"/>
        <v>810346.80280081881</v>
      </c>
      <c r="L11" s="11">
        <f t="shared" si="90"/>
        <v>915006.25462804059</v>
      </c>
      <c r="M11" s="11">
        <f t="shared" si="90"/>
        <v>976197.76303266489</v>
      </c>
      <c r="N11" s="11">
        <f t="shared" si="90"/>
        <v>1038385.6548842893</v>
      </c>
      <c r="O11" s="11">
        <f t="shared" si="90"/>
        <v>1038385.6548842893</v>
      </c>
      <c r="P11" s="11">
        <f t="shared" si="90"/>
        <v>1079664.6002513077</v>
      </c>
      <c r="Q11" s="11">
        <f t="shared" si="90"/>
        <v>1121714.7766420143</v>
      </c>
      <c r="R11" s="11">
        <f t="shared" si="90"/>
        <v>1104475.2606055129</v>
      </c>
      <c r="S11" s="11">
        <f t="shared" si="90"/>
        <v>1086962.7855651001</v>
      </c>
      <c r="T11" s="11">
        <f t="shared" si="90"/>
        <v>1069173.0296698809</v>
      </c>
      <c r="U11" s="11">
        <f t="shared" si="90"/>
        <v>1051101.602639654</v>
      </c>
      <c r="V11" s="11">
        <f t="shared" si="90"/>
        <v>1032744.0446814485</v>
      </c>
      <c r="W11" s="11">
        <f t="shared" si="90"/>
        <v>1014095.8253889048</v>
      </c>
      <c r="X11" s="11">
        <f t="shared" si="90"/>
        <v>995152.34262422915</v>
      </c>
      <c r="Y11" s="11">
        <f t="shared" si="90"/>
        <v>975908.92138244607</v>
      </c>
      <c r="Z11" s="11">
        <f t="shared" si="90"/>
        <v>956360.8126376681</v>
      </c>
      <c r="AA11" s="11">
        <f t="shared" si="90"/>
        <v>936503.19217109785</v>
      </c>
      <c r="AB11" s="11">
        <f t="shared" si="90"/>
        <v>916331.15938047355</v>
      </c>
      <c r="AC11" s="11">
        <f t="shared" si="90"/>
        <v>895839.73607066437</v>
      </c>
      <c r="AD11" s="11">
        <f t="shared" si="90"/>
        <v>875023.86522511661</v>
      </c>
      <c r="AE11" s="11">
        <f t="shared" si="90"/>
        <v>853878.40975784766</v>
      </c>
      <c r="AF11" s="11">
        <f t="shared" si="90"/>
        <v>832398.15124568029</v>
      </c>
      <c r="AG11" s="11">
        <f t="shared" si="90"/>
        <v>810577.78864040354</v>
      </c>
      <c r="AH11" s="11">
        <f t="shared" si="90"/>
        <v>788411.93696054327</v>
      </c>
      <c r="AI11" s="11">
        <f t="shared" si="90"/>
        <v>765895.1259624185</v>
      </c>
      <c r="AJ11" s="11">
        <f t="shared" si="90"/>
        <v>743021.79879015684</v>
      </c>
      <c r="AK11" s="11">
        <f t="shared" si="90"/>
        <v>719786.31060433434</v>
      </c>
      <c r="AL11" s="11">
        <f t="shared" si="90"/>
        <v>696182.92718890298</v>
      </c>
      <c r="AM11" s="11">
        <f t="shared" si="90"/>
        <v>672205.82353606063</v>
      </c>
      <c r="AN11" s="11">
        <f t="shared" si="90"/>
        <v>656332.15606352873</v>
      </c>
      <c r="AO11" s="11">
        <f t="shared" si="90"/>
        <v>691516.71862012416</v>
      </c>
      <c r="AP11" s="11">
        <f t="shared" si="90"/>
        <v>667465.73333160952</v>
      </c>
      <c r="AQ11" s="11">
        <f t="shared" si="90"/>
        <v>643033.94077602669</v>
      </c>
      <c r="AR11" s="11">
        <f t="shared" si="90"/>
        <v>618215.31150498043</v>
      </c>
      <c r="AS11" s="11">
        <f t="shared" si="90"/>
        <v>593003.72060380934</v>
      </c>
      <c r="AT11" s="11">
        <f t="shared" si="90"/>
        <v>567392.94618003629</v>
      </c>
      <c r="AU11" s="11">
        <f t="shared" si="90"/>
        <v>569189.2610358902</v>
      </c>
      <c r="AV11" s="11">
        <f t="shared" si="90"/>
        <v>543201.42433562514</v>
      </c>
      <c r="AW11" s="11">
        <f t="shared" si="90"/>
        <v>516802.11355427257</v>
      </c>
      <c r="AX11" s="11">
        <f t="shared" si="90"/>
        <v>489984.81368554855</v>
      </c>
      <c r="AY11" s="11">
        <f t="shared" si="90"/>
        <v>462742.90656890307</v>
      </c>
      <c r="AZ11" s="11">
        <f t="shared" si="90"/>
        <v>473266.32695836434</v>
      </c>
      <c r="BA11" s="11">
        <f t="shared" si="90"/>
        <v>503787.9193247878</v>
      </c>
      <c r="BB11" s="11">
        <f t="shared" si="90"/>
        <v>476764.5613807636</v>
      </c>
      <c r="BC11" s="11">
        <f t="shared" si="90"/>
        <v>449313.3336026257</v>
      </c>
      <c r="BD11" s="11">
        <f t="shared" si="90"/>
        <v>421427.46138466726</v>
      </c>
      <c r="BE11" s="11">
        <f t="shared" si="90"/>
        <v>393100.06285659113</v>
      </c>
      <c r="BF11" s="11">
        <f t="shared" si="90"/>
        <v>364324.14718515385</v>
      </c>
      <c r="BG11" s="11">
        <f t="shared" si="90"/>
        <v>357011.65232106845</v>
      </c>
      <c r="BH11" s="11">
        <f t="shared" si="90"/>
        <v>327664.33681615203</v>
      </c>
      <c r="BI11" s="11">
        <f t="shared" si="90"/>
        <v>297852.35548240779</v>
      </c>
      <c r="BJ11" s="11">
        <f t="shared" si="90"/>
        <v>267568.35111087922</v>
      </c>
      <c r="BK11" s="11">
        <f t="shared" si="90"/>
        <v>236804.85000346813</v>
      </c>
      <c r="BL11" s="11">
        <f t="shared" si="90"/>
        <v>238809.46534682004</v>
      </c>
      <c r="BM11" s="11">
        <f t="shared" si="90"/>
        <v>263651.89973953611</v>
      </c>
    </row>
    <row r="12" spans="2:65" x14ac:dyDescent="0.35"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</row>
    <row r="13" spans="2:65" x14ac:dyDescent="0.35">
      <c r="B13" s="46" t="s">
        <v>148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</row>
    <row r="14" spans="2:65" x14ac:dyDescent="0.35">
      <c r="B14" s="1" t="s">
        <v>146</v>
      </c>
      <c r="F14" s="11">
        <f>CashFlow!E31</f>
        <v>0</v>
      </c>
      <c r="G14" s="11">
        <f>CashFlow!F31</f>
        <v>500000</v>
      </c>
      <c r="H14" s="11">
        <f>CashFlow!G31</f>
        <v>347255.79478124995</v>
      </c>
      <c r="I14" s="11">
        <f>CashFlow!H31</f>
        <v>194074.7194186718</v>
      </c>
      <c r="J14" s="11">
        <f>CashFlow!I31</f>
        <v>81721.094763687957</v>
      </c>
      <c r="K14" s="11">
        <f>CashFlow!J31</f>
        <v>0</v>
      </c>
      <c r="L14" s="11">
        <f>CashFlow!K31</f>
        <v>0</v>
      </c>
      <c r="M14" s="11">
        <f>CashFlow!L31</f>
        <v>0</v>
      </c>
      <c r="N14" s="11">
        <f>CashFlow!M31</f>
        <v>0</v>
      </c>
      <c r="O14" s="11">
        <f>CashFlow!N31</f>
        <v>0</v>
      </c>
      <c r="P14" s="11">
        <f>CashFlow!O31</f>
        <v>182.35837008098019</v>
      </c>
      <c r="Q14" s="11">
        <f>CashFlow!P31</f>
        <v>-2.9558577807620168E-12</v>
      </c>
      <c r="R14" s="11">
        <f>CashFlow!Q31</f>
        <v>-2.9558577807620168E-12</v>
      </c>
      <c r="S14" s="11">
        <f>CashFlow!R31</f>
        <v>595.33246162680075</v>
      </c>
      <c r="T14" s="11">
        <f>CashFlow!S31</f>
        <v>6090.7952053542913</v>
      </c>
      <c r="U14" s="11">
        <f>CashFlow!T31</f>
        <v>8887.4010544921111</v>
      </c>
      <c r="V14" s="11">
        <f>CashFlow!U31</f>
        <v>20024.243730451715</v>
      </c>
      <c r="W14" s="11">
        <f>CashFlow!V31</f>
        <v>22908.782243713213</v>
      </c>
      <c r="X14" s="11">
        <f>CashFlow!W31</f>
        <v>23048.995093052716</v>
      </c>
      <c r="Y14" s="11">
        <f>CashFlow!X31</f>
        <v>31623.021057570197</v>
      </c>
      <c r="Z14" s="11">
        <f>CashFlow!Y31</f>
        <v>43077.282698407173</v>
      </c>
      <c r="AA14" s="11">
        <f>CashFlow!Z31</f>
        <v>60259.419351943987</v>
      </c>
      <c r="AB14" s="11">
        <f>CashFlow!AA31</f>
        <v>88888.241233028806</v>
      </c>
      <c r="AC14" s="11">
        <f>CashFlow!AB31</f>
        <v>63479.365619378637</v>
      </c>
      <c r="AD14" s="11">
        <f>CashFlow!AC31</f>
        <v>63819.772137292028</v>
      </c>
      <c r="AE14" s="11">
        <f>CashFlow!AD31</f>
        <v>69180.633026086434</v>
      </c>
      <c r="AF14" s="11">
        <f>CashFlow!AE31</f>
        <v>80368.753683088813</v>
      </c>
      <c r="AG14" s="11">
        <f>CashFlow!AF31</f>
        <v>85851.146906010195</v>
      </c>
      <c r="AH14" s="11">
        <f>CashFlow!AG31</f>
        <v>97209.786685783474</v>
      </c>
      <c r="AI14" s="11">
        <f>CashFlow!AH31</f>
        <v>94868.92975220659</v>
      </c>
      <c r="AJ14" s="11">
        <f>CashFlow!AI31</f>
        <v>34265.59554954405</v>
      </c>
      <c r="AK14" s="11">
        <f>CashFlow!AJ31</f>
        <v>39994.972210359432</v>
      </c>
      <c r="AL14" s="11">
        <f>CashFlow!AK31</f>
        <v>45786.920499583655</v>
      </c>
      <c r="AM14" s="11">
        <f>CashFlow!AL31</f>
        <v>57579.389065155941</v>
      </c>
      <c r="AN14" s="11">
        <f>CashFlow!AM31</f>
        <v>81384.826467834442</v>
      </c>
      <c r="AO14" s="11">
        <f>CashFlow!AN31</f>
        <v>0</v>
      </c>
      <c r="AP14" s="11">
        <f>CashFlow!AO31</f>
        <v>0</v>
      </c>
      <c r="AQ14" s="11">
        <f>CashFlow!AP31</f>
        <v>6109.842389839323</v>
      </c>
      <c r="AR14" s="11">
        <f>CashFlow!AQ31</f>
        <v>18347.103360225941</v>
      </c>
      <c r="AS14" s="11">
        <f>CashFlow!AR31</f>
        <v>24586.484299736519</v>
      </c>
      <c r="AT14" s="11">
        <f>CashFlow!AS31</f>
        <v>30891.151377354821</v>
      </c>
      <c r="AU14" s="11">
        <f>CashFlow!AT31</f>
        <v>31122.244025378481</v>
      </c>
      <c r="AV14" s="11">
        <f>CashFlow!AU31</f>
        <v>0</v>
      </c>
      <c r="AW14" s="11">
        <f>CashFlow!AV31</f>
        <v>6502.6132073610206</v>
      </c>
      <c r="AX14" s="11">
        <f>CashFlow!AW31</f>
        <v>13071.910037483583</v>
      </c>
      <c r="AY14" s="11">
        <f>CashFlow!AX31</f>
        <v>25950.798021225404</v>
      </c>
      <c r="AZ14" s="11">
        <f>CashFlow!AY31</f>
        <v>51460.507760562701</v>
      </c>
      <c r="BA14" s="11">
        <f>CashFlow!AZ31</f>
        <v>0</v>
      </c>
      <c r="BB14" s="11">
        <f>CashFlow!BA31</f>
        <v>0</v>
      </c>
      <c r="BC14" s="11">
        <f>CashFlow!BB31</f>
        <v>6908.0542901403969</v>
      </c>
      <c r="BD14" s="11">
        <f>CashFlow!BC31</f>
        <v>20259.125175129098</v>
      </c>
      <c r="BE14" s="11">
        <f>CashFlow!BD31</f>
        <v>27305.206705462668</v>
      </c>
      <c r="BF14" s="11">
        <f>CashFlow!BE31</f>
        <v>34420.849818582821</v>
      </c>
      <c r="BG14" s="11">
        <f>CashFlow!BF31</f>
        <v>35151.930909029463</v>
      </c>
      <c r="BH14" s="11">
        <f>CashFlow!BG31</f>
        <v>0</v>
      </c>
      <c r="BI14" s="11">
        <f>CashFlow!BH31</f>
        <v>7326.5411356241675</v>
      </c>
      <c r="BJ14" s="11">
        <f>CashFlow!BI31</f>
        <v>14724.125369572619</v>
      </c>
      <c r="BK14" s="11">
        <f>CashFlow!BJ31</f>
        <v>28756.26873906226</v>
      </c>
      <c r="BL14" s="11">
        <f>CashFlow!BK31</f>
        <v>56068.829583420084</v>
      </c>
      <c r="BM14" s="11">
        <f>CashFlow!BL31</f>
        <v>0</v>
      </c>
    </row>
    <row r="15" spans="2:65" x14ac:dyDescent="0.35">
      <c r="B15" s="1" t="s">
        <v>147</v>
      </c>
      <c r="F15" s="11">
        <f>CashFlow!F5+CashFlow!F18</f>
        <v>0</v>
      </c>
      <c r="G15" s="11">
        <f>CashFlow!G5+CashFlow!G18</f>
        <v>-141866.70521875002</v>
      </c>
      <c r="H15" s="11">
        <f>CashFlow!H5+CashFlow!H18</f>
        <v>-142303.57536257815</v>
      </c>
      <c r="I15" s="11">
        <f>CashFlow!I5+CashFlow!I18</f>
        <v>-101476.12465498384</v>
      </c>
      <c r="J15" s="11">
        <f>CashFlow!J5+CashFlow!J18</f>
        <v>-91382.307098470221</v>
      </c>
      <c r="K15" s="11">
        <f>CashFlow!K5+CashFlow!K18</f>
        <v>-91605.394187402504</v>
      </c>
      <c r="L15" s="11">
        <f>CashFlow!L5+CashFlow!L18</f>
        <v>-91828.960782875452</v>
      </c>
      <c r="M15" s="11">
        <f>CashFlow!M5+CashFlow!M18</f>
        <v>-46703.909373013659</v>
      </c>
      <c r="N15" s="11">
        <f>CashFlow!N5+CashFlow!N18</f>
        <v>-46731.427270273889</v>
      </c>
      <c r="O15" s="11">
        <f>CashFlow!O5+CashFlow!O18</f>
        <v>18264.689903144383</v>
      </c>
      <c r="P15" s="11">
        <f>CashFlow!P5+CashFlow!P18</f>
        <v>-25020.197534764819</v>
      </c>
      <c r="Q15" s="11">
        <f>CashFlow!Q5+CashFlow!Q18</f>
        <v>-24955.486886727522</v>
      </c>
      <c r="R15" s="11">
        <f>CashFlow!R5+CashFlow!R18</f>
        <v>40953.324616268044</v>
      </c>
      <c r="S15" s="11">
        <f>CashFlow!S5+CashFlow!S18</f>
        <v>89954.627437274816</v>
      </c>
      <c r="T15" s="11">
        <f>CashFlow!T5+CashFlow!T18</f>
        <v>62966.058491378179</v>
      </c>
      <c r="U15" s="11">
        <f>CashFlow!U5+CashFlow!U18</f>
        <v>146368.42675959613</v>
      </c>
      <c r="V15" s="11">
        <f>CashFlow!V5+CashFlow!V18</f>
        <v>63845.385132614974</v>
      </c>
      <c r="W15" s="11">
        <f>CashFlow!W5+CashFlow!W18</f>
        <v>36402.12849339503</v>
      </c>
      <c r="X15" s="11">
        <f>CashFlow!X5+CashFlow!X18</f>
        <v>120740.25964517485</v>
      </c>
      <c r="Y15" s="11">
        <f>CashFlow!Y5+CashFlow!Y18</f>
        <v>149542.61640836965</v>
      </c>
      <c r="Z15" s="11">
        <f>CashFlow!Z5+CashFlow!Z18</f>
        <v>206821.36653536829</v>
      </c>
      <c r="AA15" s="11">
        <f>CashFlow!AA5+CashFlow!AA18</f>
        <v>321288.21881084831</v>
      </c>
      <c r="AB15" s="11">
        <f>CashFlow!AB5+CashFlow!AB18</f>
        <v>9591.1243863498294</v>
      </c>
      <c r="AC15" s="11">
        <f>CashFlow!AC5+CashFlow!AC18</f>
        <v>38404.065179133911</v>
      </c>
      <c r="AD15" s="11">
        <f>CashFlow!AD5+CashFlow!AD18</f>
        <v>88608.608887944196</v>
      </c>
      <c r="AE15" s="11">
        <f>CashFlow!AE5+CashFlow!AE18</f>
        <v>146881.20657002373</v>
      </c>
      <c r="AF15" s="11">
        <f>CashFlow!AF5+CashFlow!AF18</f>
        <v>89823.932229213737</v>
      </c>
      <c r="AG15" s="11">
        <f>CashFlow!AG5+CashFlow!AG18</f>
        <v>148586.39779773276</v>
      </c>
      <c r="AH15" s="11">
        <f>CashFlow!AH5+CashFlow!AH18</f>
        <v>32659.143066423116</v>
      </c>
      <c r="AI15" s="11">
        <f>CashFlow!AI5+CashFlow!AI18</f>
        <v>-25603.33420266254</v>
      </c>
      <c r="AJ15" s="11">
        <f>CashFlow!AJ5+CashFlow!AJ18</f>
        <v>92293.766608153775</v>
      </c>
      <c r="AK15" s="11">
        <f>CashFlow!AK5+CashFlow!AK18</f>
        <v>92919.482892242246</v>
      </c>
      <c r="AL15" s="11">
        <f>CashFlow!AL5+CashFlow!AL18</f>
        <v>152924.68565572309</v>
      </c>
      <c r="AM15" s="11">
        <f>CashFlow!AM5+CashFlow!AM18</f>
        <v>273054.37402678514</v>
      </c>
      <c r="AN15" s="11">
        <f>CashFlow!AN5+CashFlow!AN18</f>
        <v>-54867.900122648272</v>
      </c>
      <c r="AO15" s="11">
        <f>CashFlow!AO5+CashFlow!AO18</f>
        <v>-24792.636752256221</v>
      </c>
      <c r="AP15" s="11">
        <f>CashFlow!AP5+CashFlow!AP18</f>
        <v>96098.423898393346</v>
      </c>
      <c r="AQ15" s="11">
        <f>CashFlow!AQ5+CashFlow!AQ18</f>
        <v>157372.60970386615</v>
      </c>
      <c r="AR15" s="11">
        <f>CashFlow!AR5+CashFlow!AR18</f>
        <v>97393.809395105825</v>
      </c>
      <c r="AS15" s="11">
        <f>CashFlow!AS5+CashFlow!AS18</f>
        <v>98046.670776183077</v>
      </c>
      <c r="AT15" s="11">
        <f>CashFlow!AT5+CashFlow!AT18</f>
        <v>37310.926480236609</v>
      </c>
      <c r="AU15" s="11">
        <f>CashFlow!AU5+CashFlow!AU18</f>
        <v>-23934.837233381768</v>
      </c>
      <c r="AV15" s="11">
        <f>CashFlow!AV5+CashFlow!AV18</f>
        <v>100026.13207361019</v>
      </c>
      <c r="AW15" s="11">
        <f>CashFlow!AW5+CashFlow!AW18</f>
        <v>100692.96830122554</v>
      </c>
      <c r="AX15" s="11">
        <f>CashFlow!AX5+CashFlow!AX18</f>
        <v>163788.87983741827</v>
      </c>
      <c r="AY15" s="11">
        <f>CashFlow!AY5+CashFlow!AY18</f>
        <v>290097.09739337314</v>
      </c>
      <c r="AZ15" s="11">
        <f>CashFlow!AZ5+CashFlow!AZ18</f>
        <v>-54657.165462683006</v>
      </c>
      <c r="BA15" s="11">
        <f>CashFlow!BA5+CashFlow!BA18</f>
        <v>-23028.208856249355</v>
      </c>
      <c r="BB15" s="11">
        <f>CashFlow!BB5+CashFlow!BB18</f>
        <v>104080.54290140404</v>
      </c>
      <c r="BC15" s="11">
        <f>CashFlow!BC5+CashFlow!BC18</f>
        <v>168510.70884988733</v>
      </c>
      <c r="BD15" s="11">
        <f>CashFlow!BD5+CashFlow!BD18</f>
        <v>105460.81530333568</v>
      </c>
      <c r="BE15" s="11">
        <f>CashFlow!BE5+CashFlow!BE18</f>
        <v>106156.43113120159</v>
      </c>
      <c r="BF15" s="11">
        <f>CashFlow!BF5+CashFlow!BF18</f>
        <v>42310.810904466402</v>
      </c>
      <c r="BG15" s="11">
        <f>CashFlow!BG5+CashFlow!BG18</f>
        <v>-22070.970381179166</v>
      </c>
      <c r="BH15" s="11">
        <f>CashFlow!BH5+CashFlow!BH18</f>
        <v>108265.41135624173</v>
      </c>
      <c r="BI15" s="11">
        <f>CashFlow!BI5+CashFlow!BI18</f>
        <v>108975.84233948459</v>
      </c>
      <c r="BJ15" s="11">
        <f>CashFlow!BJ5+CashFlow!BJ18</f>
        <v>175321.43369489638</v>
      </c>
      <c r="BK15" s="11">
        <f>CashFlow!BK5+CashFlow!BK18</f>
        <v>308125.60844357806</v>
      </c>
      <c r="BL15" s="11">
        <f>CashFlow!BL5+CashFlow!BL18</f>
        <v>-54324.034801717062</v>
      </c>
      <c r="BM15" s="11">
        <f>CashFlow!BM5+CashFlow!BM18</f>
        <v>-21061.284524724721</v>
      </c>
    </row>
    <row r="16" spans="2:65" s="7" customFormat="1" x14ac:dyDescent="0.35">
      <c r="B16" s="28" t="s">
        <v>143</v>
      </c>
      <c r="F16" s="8" t="str">
        <f t="shared" ref="F16:AK16" si="91">IFERROR(IF(F15/(F9+F10)&lt;=0,"минус",F15/(F9+F10)),"-")</f>
        <v>-</v>
      </c>
      <c r="G16" s="8" t="str">
        <f t="shared" si="91"/>
        <v>минус</v>
      </c>
      <c r="H16" s="8" t="str">
        <f t="shared" si="91"/>
        <v>минус</v>
      </c>
      <c r="I16" s="8" t="str">
        <f t="shared" si="91"/>
        <v>минус</v>
      </c>
      <c r="J16" s="8" t="str">
        <f t="shared" si="91"/>
        <v>минус</v>
      </c>
      <c r="K16" s="8" t="str">
        <f t="shared" si="91"/>
        <v>минус</v>
      </c>
      <c r="L16" s="8" t="str">
        <f t="shared" si="91"/>
        <v>минус</v>
      </c>
      <c r="M16" s="8" t="str">
        <f t="shared" si="91"/>
        <v>минус</v>
      </c>
      <c r="N16" s="8" t="str">
        <f t="shared" si="91"/>
        <v>минус</v>
      </c>
      <c r="O16" s="8">
        <f t="shared" si="91"/>
        <v>1.1109161195340287</v>
      </c>
      <c r="P16" s="8" t="str">
        <f t="shared" si="91"/>
        <v>минус</v>
      </c>
      <c r="Q16" s="8" t="str">
        <f t="shared" si="91"/>
        <v>минус</v>
      </c>
      <c r="R16" s="8">
        <f t="shared" si="91"/>
        <v>1.1700949890362298</v>
      </c>
      <c r="S16" s="8">
        <f t="shared" si="91"/>
        <v>2.5701322124935664</v>
      </c>
      <c r="T16" s="8">
        <f t="shared" si="91"/>
        <v>1.7990302426108051</v>
      </c>
      <c r="U16" s="8">
        <f t="shared" si="91"/>
        <v>4.1819550502741754</v>
      </c>
      <c r="V16" s="8">
        <f t="shared" si="91"/>
        <v>1.8241538609318564</v>
      </c>
      <c r="W16" s="8">
        <f t="shared" si="91"/>
        <v>1.0400608140970009</v>
      </c>
      <c r="X16" s="8">
        <f t="shared" si="91"/>
        <v>3.4497217041478532</v>
      </c>
      <c r="Y16" s="8">
        <f t="shared" si="91"/>
        <v>4.2726461830962759</v>
      </c>
      <c r="Z16" s="8">
        <f t="shared" si="91"/>
        <v>5.9091819010105224</v>
      </c>
      <c r="AA16" s="8">
        <f t="shared" si="91"/>
        <v>9.179663394595666</v>
      </c>
      <c r="AB16" s="8">
        <f t="shared" si="91"/>
        <v>0.27403212532428084</v>
      </c>
      <c r="AC16" s="8">
        <f t="shared" si="91"/>
        <v>1.0972590051181117</v>
      </c>
      <c r="AD16" s="8">
        <f t="shared" si="91"/>
        <v>2.5316745396555485</v>
      </c>
      <c r="AE16" s="8">
        <f t="shared" si="91"/>
        <v>4.1966059020006776</v>
      </c>
      <c r="AF16" s="8">
        <f t="shared" si="91"/>
        <v>2.5663980636918211</v>
      </c>
      <c r="AG16" s="8">
        <f t="shared" si="91"/>
        <v>4.2453256513637934</v>
      </c>
      <c r="AH16" s="8">
        <f t="shared" si="91"/>
        <v>0.93311837332637471</v>
      </c>
      <c r="AI16" s="8" t="str">
        <f t="shared" si="91"/>
        <v>минус</v>
      </c>
      <c r="AJ16" s="8">
        <f t="shared" si="91"/>
        <v>2.6369647602329649</v>
      </c>
      <c r="AK16" s="8">
        <f t="shared" si="91"/>
        <v>2.6548423683497786</v>
      </c>
      <c r="AL16" s="8">
        <f t="shared" ref="AL16:BM16" si="92">IFERROR(IF(AL15/(AL9+AL10)&lt;=0,"минус",AL15/(AL9+AL10)),"-")</f>
        <v>4.3692767330206594</v>
      </c>
      <c r="AM16" s="8">
        <f t="shared" si="92"/>
        <v>7.8015535436224326</v>
      </c>
      <c r="AN16" s="8" t="str">
        <f t="shared" si="92"/>
        <v>минус</v>
      </c>
      <c r="AO16" s="8" t="str">
        <f t="shared" si="92"/>
        <v>минус</v>
      </c>
      <c r="AP16" s="8">
        <f t="shared" si="92"/>
        <v>2.74566925423981</v>
      </c>
      <c r="AQ16" s="8">
        <f t="shared" si="92"/>
        <v>4.4963602772533191</v>
      </c>
      <c r="AR16" s="8">
        <f t="shared" si="92"/>
        <v>2.7826802684315952</v>
      </c>
      <c r="AS16" s="8">
        <f t="shared" si="92"/>
        <v>2.8013334507480878</v>
      </c>
      <c r="AT16" s="8">
        <f t="shared" si="92"/>
        <v>1.0660264708639031</v>
      </c>
      <c r="AU16" s="8" t="str">
        <f t="shared" si="92"/>
        <v>минус</v>
      </c>
      <c r="AV16" s="8">
        <f t="shared" si="92"/>
        <v>2.8578894878174341</v>
      </c>
      <c r="AW16" s="8">
        <f t="shared" si="92"/>
        <v>2.876941951463587</v>
      </c>
      <c r="AX16" s="8">
        <f t="shared" si="92"/>
        <v>4.679682281069093</v>
      </c>
      <c r="AY16" s="8">
        <f t="shared" si="92"/>
        <v>8.2884884969535175</v>
      </c>
      <c r="AZ16" s="8" t="str">
        <f t="shared" si="92"/>
        <v>минус</v>
      </c>
      <c r="BA16" s="8" t="str">
        <f t="shared" si="92"/>
        <v>минус</v>
      </c>
      <c r="BB16" s="8">
        <f t="shared" si="92"/>
        <v>2.9737297971829726</v>
      </c>
      <c r="BC16" s="8">
        <f t="shared" si="92"/>
        <v>4.8145916814253527</v>
      </c>
      <c r="BD16" s="8">
        <f t="shared" si="92"/>
        <v>3.0131661515238766</v>
      </c>
      <c r="BE16" s="8">
        <f t="shared" si="92"/>
        <v>3.0330408894629026</v>
      </c>
      <c r="BF16" s="8">
        <f t="shared" si="92"/>
        <v>1.2088803115561828</v>
      </c>
      <c r="BG16" s="8" t="str">
        <f t="shared" si="92"/>
        <v>минус</v>
      </c>
      <c r="BH16" s="8">
        <f t="shared" si="92"/>
        <v>3.0932974673211926</v>
      </c>
      <c r="BI16" s="8">
        <f t="shared" si="92"/>
        <v>3.1135954954138452</v>
      </c>
      <c r="BJ16" s="8">
        <f t="shared" si="92"/>
        <v>5.009183819854182</v>
      </c>
      <c r="BK16" s="8">
        <f t="shared" si="92"/>
        <v>8.8035888126736594</v>
      </c>
      <c r="BL16" s="8" t="str">
        <f t="shared" si="92"/>
        <v>минус</v>
      </c>
      <c r="BM16" s="8" t="str">
        <f t="shared" si="92"/>
        <v>минус</v>
      </c>
    </row>
    <row r="17" spans="2:39" x14ac:dyDescent="0.35">
      <c r="B17" s="28" t="s">
        <v>144</v>
      </c>
      <c r="F17" s="8"/>
      <c r="G17" s="8"/>
      <c r="H17" s="8"/>
      <c r="I17" s="8" t="str">
        <f>IFERROR(IF(SUM(G15:I15)/(SUM(G9:I9)+SUM(G10:I10))&lt;=0,"минус",SUM(G15:I15)/(SUM(G9:I9)+SUM(G10:I10))),"-")</f>
        <v>минус</v>
      </c>
      <c r="J17" s="8"/>
      <c r="K17" s="8"/>
      <c r="L17" s="8" t="str">
        <f>IFERROR(IF(SUM(J15:L15)/(SUM(J9:L9)+SUM(J10:L10))&lt;=0,"минус",SUM(J15:L15)/(SUM(J9:L9)+SUM(J10:L10))),"-")</f>
        <v>минус</v>
      </c>
      <c r="M17" s="8"/>
      <c r="N17" s="8"/>
      <c r="O17" s="8" t="str">
        <f>IFERROR(IF(SUM(M15:O15)/(SUM(M9:O9)+SUM(M10:O10))&lt;=0,"минус",SUM(M15:O15)/(SUM(M9:O9)+SUM(M10:O10))),"-")</f>
        <v>минус</v>
      </c>
      <c r="P17" s="8"/>
      <c r="Q17" s="8"/>
      <c r="R17" s="8" t="str">
        <f>IFERROR(IF(SUM(P15:R15)/(SUM(P9:R9)+SUM(P10:R10))&lt;=0,"минус",SUM(P15:R15)/(SUM(P9:R9)+SUM(P10:R10))),"-")</f>
        <v>минус</v>
      </c>
      <c r="S17" s="8"/>
      <c r="T17" s="8"/>
      <c r="U17" s="8">
        <f>IFERROR(IF(SUM(S15:U15)/(SUM(S9:U9)+SUM(S10:U10))&lt;=0,"минус",SUM(S15:U15)/(SUM(S9:U9)+SUM(S10:U10))),"-")</f>
        <v>2.8503725017928483</v>
      </c>
      <c r="V17" s="8"/>
      <c r="W17" s="8"/>
      <c r="X17" s="8">
        <f>IFERROR(IF(SUM(V15:X15)/(SUM(V9:X9)+SUM(V10:X10))&lt;=0,"минус",SUM(V15:X15)/(SUM(V9:X9)+SUM(V10:X10))),"-")</f>
        <v>2.1046454597255702</v>
      </c>
      <c r="Y17" s="8"/>
      <c r="Z17" s="8"/>
      <c r="AA17" s="8">
        <f>IFERROR(IF(SUM(Y15:AA15)/(SUM(Y9:AA9)+SUM(Y10:AA10))&lt;=0,"минус",SUM(Y15:AA15)/(SUM(Y9:AA9)+SUM(Y10:AA10))),"-")</f>
        <v>6.4538304929008223</v>
      </c>
      <c r="AB17" s="8"/>
      <c r="AC17" s="8"/>
      <c r="AD17" s="8">
        <f>IFERROR(IF(SUM(AB15:AD15)/(SUM(AB9:AD9)+SUM(AB10:AD10))&lt;=0,"минус",SUM(AB15:AD15)/(SUM(AB9:AD9)+SUM(AB10:AD10))),"-")</f>
        <v>1.3009885566993138</v>
      </c>
      <c r="AE17" s="8"/>
      <c r="AF17" s="8"/>
      <c r="AG17" s="8">
        <f>IFERROR(IF(SUM(AE15:AG15)/(SUM(AE9:AG9)+SUM(AE10:AG10))&lt;=0,"минус",SUM(AE15:AG15)/(SUM(AE9:AG9)+SUM(AE10:AG10))),"-")</f>
        <v>3.6694432056854307</v>
      </c>
      <c r="AH17" s="8"/>
      <c r="AI17" s="8"/>
      <c r="AJ17" s="8">
        <f>IFERROR(IF(SUM(AH15:AJ15)/(SUM(AH9:AJ9)+SUM(AH10:AJ10))&lt;=0,"минус",SUM(AH15:AJ15)/(SUM(AH9:AJ9)+SUM(AH10:AJ10))),"-")</f>
        <v>0.94618643306585082</v>
      </c>
      <c r="AK17" s="8"/>
      <c r="AL17" s="8"/>
      <c r="AM17" s="8">
        <f>IFERROR(IF(SUM(AK15:AM15)/(SUM(AK9:AM9)+SUM(AK10:AM10))&lt;=0,"минус",SUM(AK15:AM15)/(SUM(AK9:AM9)+SUM(AK10:AM10))),"-")</f>
        <v>4.9418908816642908</v>
      </c>
    </row>
    <row r="18" spans="2:39" x14ac:dyDescent="0.35">
      <c r="B18" s="28" t="s">
        <v>145</v>
      </c>
      <c r="F18" s="8"/>
      <c r="O18" s="8" t="str">
        <f>IFERROR(IF(SUM(F15:O15)/(SUM(F9:O9)+SUM(F10:O10))&lt;=0,"минус",SUM(F15:O15)/(SUM(F9:O9)+SUM(F10:O10))),"-")</f>
        <v>минус</v>
      </c>
      <c r="AA18" s="8">
        <f>IFERROR(IF(SUM(P15:AA15)/(SUM(P9:AA9)+SUM(P10:AA10))&lt;=0,"минус",SUM(P15:AA15)/(SUM(P9:AA9)+SUM(P10:AA10))),"-")</f>
        <v>3.0998585822200084</v>
      </c>
      <c r="AM18" s="8">
        <f>IFERROR(IF(SUM(AB15:AM15)/(SUM(AB9:AM9)+SUM(AB10:AM10))&lt;=0,"минус",SUM(AB15:AM15)/(SUM(AB9:AM9)+SUM(AB10:AM10))),"-")</f>
        <v>2.7146272692787217</v>
      </c>
    </row>
    <row r="19" spans="2:39" x14ac:dyDescent="0.35">
      <c r="B19" s="1" t="s">
        <v>168</v>
      </c>
      <c r="D19" s="11">
        <f>ROUNDUP(E8/100000,0)*100000</f>
        <v>1500000</v>
      </c>
    </row>
  </sheetData>
  <conditionalFormatting sqref="B17:B18 F17:F18 F17:L17 A16:XFD16">
    <cfRule type="cellIs" dxfId="39" priority="37" operator="lessThan">
      <formula>1</formula>
    </cfRule>
    <cfRule type="containsText" dxfId="38" priority="38" operator="containsText" text="минус">
      <formula>NOT(ISERROR(SEARCH("минус",A16)))</formula>
    </cfRule>
    <cfRule type="containsText" dxfId="37" priority="39" operator="containsText" text="минус">
      <formula>NOT(ISERROR(SEARCH("минус",A16)))</formula>
    </cfRule>
  </conditionalFormatting>
  <conditionalFormatting sqref="M17:O17">
    <cfRule type="cellIs" dxfId="36" priority="34" operator="lessThan">
      <formula>1</formula>
    </cfRule>
    <cfRule type="containsText" dxfId="35" priority="35" operator="containsText" text="минус">
      <formula>NOT(ISERROR(SEARCH("минус",M17)))</formula>
    </cfRule>
    <cfRule type="containsText" dxfId="34" priority="36" operator="containsText" text="минус">
      <formula>NOT(ISERROR(SEARCH("минус",M17)))</formula>
    </cfRule>
  </conditionalFormatting>
  <conditionalFormatting sqref="P17:R17">
    <cfRule type="cellIs" dxfId="33" priority="31" operator="lessThan">
      <formula>1</formula>
    </cfRule>
    <cfRule type="containsText" dxfId="32" priority="32" operator="containsText" text="минус">
      <formula>NOT(ISERROR(SEARCH("минус",P17)))</formula>
    </cfRule>
    <cfRule type="containsText" dxfId="31" priority="33" operator="containsText" text="минус">
      <formula>NOT(ISERROR(SEARCH("минус",P17)))</formula>
    </cfRule>
  </conditionalFormatting>
  <conditionalFormatting sqref="S17:U17">
    <cfRule type="cellIs" dxfId="30" priority="28" operator="lessThan">
      <formula>1</formula>
    </cfRule>
    <cfRule type="containsText" dxfId="29" priority="29" operator="containsText" text="минус">
      <formula>NOT(ISERROR(SEARCH("минус",S17)))</formula>
    </cfRule>
    <cfRule type="containsText" dxfId="28" priority="30" operator="containsText" text="минус">
      <formula>NOT(ISERROR(SEARCH("минус",S17)))</formula>
    </cfRule>
  </conditionalFormatting>
  <conditionalFormatting sqref="V17:X17">
    <cfRule type="cellIs" dxfId="27" priority="25" operator="lessThan">
      <formula>1</formula>
    </cfRule>
    <cfRule type="containsText" dxfId="26" priority="26" operator="containsText" text="минус">
      <formula>NOT(ISERROR(SEARCH("минус",V17)))</formula>
    </cfRule>
    <cfRule type="containsText" dxfId="25" priority="27" operator="containsText" text="минус">
      <formula>NOT(ISERROR(SEARCH("минус",V17)))</formula>
    </cfRule>
  </conditionalFormatting>
  <conditionalFormatting sqref="Y17:AA17">
    <cfRule type="cellIs" dxfId="24" priority="22" operator="lessThan">
      <formula>1</formula>
    </cfRule>
    <cfRule type="containsText" dxfId="23" priority="23" operator="containsText" text="минус">
      <formula>NOT(ISERROR(SEARCH("минус",Y17)))</formula>
    </cfRule>
    <cfRule type="containsText" dxfId="22" priority="24" operator="containsText" text="минус">
      <formula>NOT(ISERROR(SEARCH("минус",Y17)))</formula>
    </cfRule>
  </conditionalFormatting>
  <conditionalFormatting sqref="AB17:AD17">
    <cfRule type="cellIs" dxfId="21" priority="19" operator="lessThan">
      <formula>1</formula>
    </cfRule>
    <cfRule type="containsText" dxfId="20" priority="20" operator="containsText" text="минус">
      <formula>NOT(ISERROR(SEARCH("минус",AB17)))</formula>
    </cfRule>
    <cfRule type="containsText" dxfId="19" priority="21" operator="containsText" text="минус">
      <formula>NOT(ISERROR(SEARCH("минус",AB17)))</formula>
    </cfRule>
  </conditionalFormatting>
  <conditionalFormatting sqref="AE17:AG17">
    <cfRule type="cellIs" dxfId="18" priority="16" operator="lessThan">
      <formula>1</formula>
    </cfRule>
    <cfRule type="containsText" dxfId="17" priority="17" operator="containsText" text="минус">
      <formula>NOT(ISERROR(SEARCH("минус",AE17)))</formula>
    </cfRule>
    <cfRule type="containsText" dxfId="16" priority="18" operator="containsText" text="минус">
      <formula>NOT(ISERROR(SEARCH("минус",AE17)))</formula>
    </cfRule>
  </conditionalFormatting>
  <conditionalFormatting sqref="AH17:AJ17">
    <cfRule type="cellIs" dxfId="15" priority="13" operator="lessThan">
      <formula>1</formula>
    </cfRule>
    <cfRule type="containsText" dxfId="14" priority="14" operator="containsText" text="минус">
      <formula>NOT(ISERROR(SEARCH("минус",AH17)))</formula>
    </cfRule>
    <cfRule type="containsText" dxfId="13" priority="15" operator="containsText" text="минус">
      <formula>NOT(ISERROR(SEARCH("минус",AH17)))</formula>
    </cfRule>
  </conditionalFormatting>
  <conditionalFormatting sqref="AK17:AM17">
    <cfRule type="cellIs" dxfId="12" priority="10" operator="lessThan">
      <formula>1</formula>
    </cfRule>
    <cfRule type="containsText" dxfId="11" priority="11" operator="containsText" text="минус">
      <formula>NOT(ISERROR(SEARCH("минус",AK17)))</formula>
    </cfRule>
    <cfRule type="containsText" dxfId="10" priority="12" operator="containsText" text="минус">
      <formula>NOT(ISERROR(SEARCH("минус",AK17)))</formula>
    </cfRule>
  </conditionalFormatting>
  <conditionalFormatting sqref="O18">
    <cfRule type="cellIs" dxfId="9" priority="7" operator="lessThan">
      <formula>1</formula>
    </cfRule>
    <cfRule type="containsText" dxfId="8" priority="8" operator="containsText" text="минус">
      <formula>NOT(ISERROR(SEARCH("минус",O18)))</formula>
    </cfRule>
    <cfRule type="containsText" dxfId="7" priority="9" operator="containsText" text="минус">
      <formula>NOT(ISERROR(SEARCH("минус",O18)))</formula>
    </cfRule>
  </conditionalFormatting>
  <conditionalFormatting sqref="AA18">
    <cfRule type="cellIs" dxfId="6" priority="4" operator="lessThan">
      <formula>1</formula>
    </cfRule>
    <cfRule type="containsText" dxfId="5" priority="5" operator="containsText" text="минус">
      <formula>NOT(ISERROR(SEARCH("минус",AA18)))</formula>
    </cfRule>
    <cfRule type="containsText" dxfId="4" priority="6" operator="containsText" text="минус">
      <formula>NOT(ISERROR(SEARCH("минус",AA18)))</formula>
    </cfRule>
  </conditionalFormatting>
  <conditionalFormatting sqref="AM18">
    <cfRule type="cellIs" dxfId="3" priority="1" operator="lessThan">
      <formula>1</formula>
    </cfRule>
    <cfRule type="containsText" dxfId="2" priority="2" operator="containsText" text="минус">
      <formula>NOT(ISERROR(SEARCH("минус",AM18)))</formula>
    </cfRule>
    <cfRule type="containsText" dxfId="1" priority="3" operator="containsText" text="минус">
      <formula>NOT(ISERROR(SEARCH("минус",AM18)))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workbookViewId="0">
      <selection activeCell="C15" sqref="C15"/>
    </sheetView>
  </sheetViews>
  <sheetFormatPr defaultRowHeight="14.5" x14ac:dyDescent="0.35"/>
  <cols>
    <col min="1" max="1" width="8.7265625" style="1"/>
    <col min="2" max="2" width="32.7265625" style="1" bestFit="1" customWidth="1"/>
    <col min="3" max="3" width="10.26953125" style="1" bestFit="1" customWidth="1"/>
    <col min="4" max="4" width="56.08984375" style="1" bestFit="1" customWidth="1"/>
    <col min="5" max="16384" width="8.7265625" style="1"/>
  </cols>
  <sheetData>
    <row r="2" spans="2:4" x14ac:dyDescent="0.35">
      <c r="D2" s="1" t="s">
        <v>4</v>
      </c>
    </row>
    <row r="3" spans="2:4" x14ac:dyDescent="0.35">
      <c r="B3" s="1" t="s">
        <v>0</v>
      </c>
      <c r="C3" s="9">
        <v>44621</v>
      </c>
      <c r="D3" s="1" t="s">
        <v>2</v>
      </c>
    </row>
    <row r="4" spans="2:4" x14ac:dyDescent="0.35">
      <c r="B4" s="1" t="s">
        <v>1</v>
      </c>
      <c r="C4" s="9">
        <v>44652</v>
      </c>
      <c r="D4" s="1" t="s">
        <v>3</v>
      </c>
    </row>
    <row r="5" spans="2:4" x14ac:dyDescent="0.35">
      <c r="B5" s="1" t="s">
        <v>92</v>
      </c>
      <c r="C5" s="6">
        <v>0.45</v>
      </c>
      <c r="D5" s="1" t="s">
        <v>33</v>
      </c>
    </row>
    <row r="6" spans="2:4" x14ac:dyDescent="0.35">
      <c r="B6" s="1" t="s">
        <v>93</v>
      </c>
      <c r="C6" s="6">
        <v>0.4</v>
      </c>
      <c r="D6" s="1" t="s">
        <v>33</v>
      </c>
    </row>
    <row r="7" spans="2:4" x14ac:dyDescent="0.35">
      <c r="B7" s="1" t="s">
        <v>24</v>
      </c>
      <c r="C7" s="10">
        <v>0.30499999999999999</v>
      </c>
      <c r="D7" s="1" t="s">
        <v>34</v>
      </c>
    </row>
    <row r="8" spans="2:4" x14ac:dyDescent="0.35">
      <c r="B8" s="1" t="s">
        <v>35</v>
      </c>
      <c r="C8" s="11">
        <v>16300</v>
      </c>
    </row>
    <row r="9" spans="2:4" ht="29" x14ac:dyDescent="0.35">
      <c r="B9" s="5" t="s">
        <v>174</v>
      </c>
      <c r="C9" s="67">
        <v>2.7</v>
      </c>
      <c r="D9" s="5" t="s">
        <v>177</v>
      </c>
    </row>
    <row r="10" spans="2:4" x14ac:dyDescent="0.35">
      <c r="B10" s="5" t="s">
        <v>37</v>
      </c>
      <c r="C10" s="6">
        <v>0.02</v>
      </c>
      <c r="D10" s="1" t="s">
        <v>38</v>
      </c>
    </row>
    <row r="11" spans="2:4" x14ac:dyDescent="0.35">
      <c r="B11" s="1" t="s">
        <v>48</v>
      </c>
      <c r="C11" s="11">
        <v>500000</v>
      </c>
      <c r="D11" s="1" t="s">
        <v>53</v>
      </c>
    </row>
    <row r="12" spans="2:4" x14ac:dyDescent="0.35">
      <c r="B12" s="1" t="s">
        <v>56</v>
      </c>
      <c r="C12" s="6">
        <v>0.25</v>
      </c>
      <c r="D12" s="1" t="s">
        <v>162</v>
      </c>
    </row>
    <row r="13" spans="2:4" x14ac:dyDescent="0.35">
      <c r="B13" s="1" t="s">
        <v>141</v>
      </c>
      <c r="C13" s="2">
        <v>45016</v>
      </c>
    </row>
    <row r="14" spans="2:4" x14ac:dyDescent="0.35">
      <c r="B14" s="1" t="s">
        <v>41</v>
      </c>
      <c r="C14" s="6">
        <v>0.19</v>
      </c>
    </row>
    <row r="15" spans="2:4" x14ac:dyDescent="0.35">
      <c r="B15" s="1" t="s">
        <v>167</v>
      </c>
      <c r="C15" s="11">
        <v>35000</v>
      </c>
    </row>
    <row r="16" spans="2:4" ht="29" x14ac:dyDescent="0.35">
      <c r="B16" s="1" t="s">
        <v>170</v>
      </c>
      <c r="C16" s="6">
        <v>0.49</v>
      </c>
      <c r="D16" s="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8</vt:i4>
      </vt:variant>
    </vt:vector>
  </HeadingPairs>
  <TitlesOfParts>
    <vt:vector size="15" baseType="lpstr">
      <vt:lpstr>Dashboard</vt:lpstr>
      <vt:lpstr>CashFlow</vt:lpstr>
      <vt:lpstr>Затраты на старте</vt:lpstr>
      <vt:lpstr>Выручка</vt:lpstr>
      <vt:lpstr>Текущие затраты</vt:lpstr>
      <vt:lpstr>Кредит</vt:lpstr>
      <vt:lpstr>Входящие данные</vt:lpstr>
      <vt:lpstr>Анализ_чувствительности_посещаемость</vt:lpstr>
      <vt:lpstr>Анализ_чувствительности_цены</vt:lpstr>
      <vt:lpstr>АнализЧувствительностиЧислоПарикмахеров</vt:lpstr>
      <vt:lpstr>Дата_начала_погашения_кредита</vt:lpstr>
      <vt:lpstr>Платеж_по_кредиту</vt:lpstr>
      <vt:lpstr>Ставка_кредита</vt:lpstr>
      <vt:lpstr>Старт</vt:lpstr>
      <vt:lpstr>СтартОперационнойДеятельности</vt:lpstr>
    </vt:vector>
  </TitlesOfParts>
  <Company>Sportmaster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APalitsyna</dc:creator>
  <cp:lastModifiedBy>APalitsyna</cp:lastModifiedBy>
  <dcterms:created xsi:type="dcterms:W3CDTF">2022-02-20T06:17:23Z</dcterms:created>
  <dcterms:modified xsi:type="dcterms:W3CDTF">2022-03-01T09:27:19Z</dcterms:modified>
</cp:coreProperties>
</file>