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activeX/activeX3.xml" ContentType="application/vnd.ms-office.activeX+xml"/>
  <Override PartName="/xl/activeX/activeX3.bin" ContentType="application/vnd.ms-office.activeX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/>
  <mc:AlternateContent xmlns:mc="http://schemas.openxmlformats.org/markup-compatibility/2006">
    <mc:Choice Requires="x15">
      <x15ac:absPath xmlns:x15ac="http://schemas.microsoft.com/office/spreadsheetml/2010/11/ac" url="D:\Эрроу кэпитал\"/>
    </mc:Choice>
  </mc:AlternateContent>
  <bookViews>
    <workbookView xWindow="0" yWindow="0" windowWidth="23040" windowHeight="8830" activeTab="4"/>
  </bookViews>
  <sheets>
    <sheet name="Dashboard" sheetId="4" r:id="rId1"/>
    <sheet name="График" sheetId="7" r:id="rId2"/>
    <sheet name="PL" sheetId="5" r:id="rId3"/>
    <sheet name="BS" sheetId="6" r:id="rId4"/>
    <sheet name="CF" sheetId="10" r:id="rId5"/>
    <sheet name="WACC" sheetId="11" r:id="rId6"/>
    <sheet name="Input" sheetId="8" r:id="rId7"/>
    <sheet name="Арендаторы" sheetId="9" r:id="rId8"/>
  </sheets>
  <definedNames>
    <definedName name="_xlnm._FilterDatabase" localSheetId="7" hidden="1">Арендаторы!$B$2:$I$101</definedName>
    <definedName name="AccumulatedDeprication">PL!$D$35:$DI$35</definedName>
    <definedName name="AdministrativeExpences">Input!$G$13</definedName>
    <definedName name="AdvancesPayments">Input!$J$19</definedName>
    <definedName name="AnchorRent">CF!$B$3</definedName>
    <definedName name="AnchorRentStart">Input!$C$15</definedName>
    <definedName name="AverageS">Арендаторы!$I$100</definedName>
    <definedName name="AverageSwithoutAnchors">Арендаторы!$I$101</definedName>
    <definedName name="BankInterestHistory">PL!$F$40:$DI$40</definedName>
    <definedName name="Building">Input!$J$5</definedName>
    <definedName name="BuildingDepreciationRate">Input!$C$27</definedName>
    <definedName name="CadastralValueOfRealEstate">Input!$C$32</definedName>
    <definedName name="CapitalContribution">Input!$C$34</definedName>
    <definedName name="CAPM">WACC!$C$17</definedName>
    <definedName name="DebtToSuppliers">Input!$J$16</definedName>
    <definedName name="DPP">CF!$S$4</definedName>
    <definedName name="Ebitda">PL!$D$28</definedName>
    <definedName name="EbitdaMargin">PL!$D$29</definedName>
    <definedName name="ElectricityCosts">Input!$G$5</definedName>
    <definedName name="EndDebt">BS!$BY$19</definedName>
    <definedName name="Equipment">Input!$J$6</definedName>
    <definedName name="EquipmetDepreciationRate">Input!$C$28</definedName>
    <definedName name="Equity">Input!$J$11</definedName>
    <definedName name="FeeForGarbageCollection">Input!$G$18</definedName>
    <definedName name="Finish">Input!$C$10</definedName>
    <definedName name="FinishReconception">Input!$C$12</definedName>
    <definedName name="Furniture">Input!$J$7</definedName>
    <definedName name="FurnitureDepreciationRate">Input!$C$29</definedName>
    <definedName name="GBA">Input!$C$3</definedName>
    <definedName name="GLA">Арендаторы!$D$97</definedName>
    <definedName name="IncomeTax">Input!$C$26</definedName>
    <definedName name="IncomeVAT">Input!$J$8</definedName>
    <definedName name="InflationRate">Input!$C$23</definedName>
    <definedName name="InsurancePremiums">Input!$G$12</definedName>
    <definedName name="IRR">CF!$I$4</definedName>
    <definedName name="IRR_FCFE">CF!$M$4</definedName>
    <definedName name="IRR_FCFE_TV">CF!$D$57</definedName>
    <definedName name="IT_expences">Input!$G$15</definedName>
    <definedName name="LaborCosts">Input!$G$7</definedName>
    <definedName name="LaborCostsHistory">PL!$F$15:$DI$15</definedName>
    <definedName name="LandRent">Input!$G$8</definedName>
    <definedName name="Loan">Input!$G$23</definedName>
    <definedName name="LoanDate">Input!$G$24</definedName>
    <definedName name="LoanHistory">PL!$F$41:$DI$41</definedName>
    <definedName name="LoanInterestRate">Input!$G$27</definedName>
    <definedName name="LoanPayment">Input!$G$25</definedName>
    <definedName name="LoanPaymentGrow">Input!$G$28</definedName>
    <definedName name="LoanPaymentHistory">PL!$F$42:$DI$42</definedName>
    <definedName name="MarketingCosts">Input!$G$17</definedName>
    <definedName name="MonthlyInflation">PL!$F$9:$DI$9</definedName>
    <definedName name="NCF">CF!$D$35</definedName>
    <definedName name="NPV">CF!$I$2</definedName>
    <definedName name="NPV_FCFE">CF!$M$2</definedName>
    <definedName name="NPV_FCFE_TV">CF!$D$55</definedName>
    <definedName name="OfficeSuppliesExpences">Input!$G$14</definedName>
    <definedName name="OperatingCosts">Input!$G$20</definedName>
    <definedName name="OperationCostsHistory">PL!$F$10:$DI$10</definedName>
    <definedName name="OtherAssets">Input!$J$9</definedName>
    <definedName name="OtherRent">CF!$B$4</definedName>
    <definedName name="OtherRentStart">Input!$C$16</definedName>
    <definedName name="PaimentForEnvironmentalPollution">Input!$G$16</definedName>
    <definedName name="PP">CF!$S$2</definedName>
    <definedName name="PrepaymentPercentage">Input!$J$24</definedName>
    <definedName name="ProfitOrLoss">PL!$F$47:$DI$47</definedName>
    <definedName name="PropertyTax">Input!$G$6</definedName>
    <definedName name="PropertyTaxHistory">PL!$F$14:$DI$14</definedName>
    <definedName name="PropertyTaxRate">Input!$C$25</definedName>
    <definedName name="RatioOfFreeSpaces">Input!$C$20</definedName>
    <definedName name="ReconceptionCosts">Input!$C$13</definedName>
    <definedName name="RentedSpacesAtStart">Input!$C$19</definedName>
    <definedName name="RentRate">CF!$D$3</definedName>
    <definedName name="RetainetProfitOrUncoveredLoss">Input!$J$12</definedName>
    <definedName name="RevenueCash">CF!$F$13:$DI$13</definedName>
    <definedName name="RevenueWithVatHistory">PL!$F$7:$DI$7</definedName>
    <definedName name="SecurityCosts">Input!$G$9</definedName>
    <definedName name="SENEJ">Input!$C$33</definedName>
    <definedName name="ServiceCosts">Input!$G$4</definedName>
    <definedName name="Start">Input!$C$9</definedName>
    <definedName name="StartReconception">Input!$C$11</definedName>
    <definedName name="StartRentalValue">Input!$C$14</definedName>
    <definedName name="TargetRentalValue">Арендаторы!$E$97</definedName>
    <definedName name="TaxDebt">Input!$J$18</definedName>
    <definedName name="TaxOnProfitHistory">PL!$F$44:$DI$44</definedName>
    <definedName name="TelecommunicationCosts">Input!$G$11</definedName>
    <definedName name="TerminalValue">CF!$D$53</definedName>
    <definedName name="TurnaroundLabor">Input!$J$27</definedName>
    <definedName name="TurnaroundSuppliers">Input!$C$31</definedName>
    <definedName name="TurnaroundTax">Input!$J$28</definedName>
    <definedName name="UnitsN">Арендаторы!$B$92</definedName>
    <definedName name="VAT">Input!$C$24</definedName>
    <definedName name="VATincome">PL!$F$27:$DI$27</definedName>
    <definedName name="VATrevenue">PL!$F$8:$DI$8</definedName>
    <definedName name="WACC">WACC!$C$5</definedName>
    <definedName name="WageArrears">Input!$J$17</definedName>
    <definedName name="WaterSupplyCosts">Input!$G$10</definedName>
    <definedName name="WeightedAverageAnchor">Арендаторы!$I$98</definedName>
    <definedName name="WeightedAverageAnnualRent">Арендаторы!$I$97</definedName>
    <definedName name="WeightedAverageOthers">Арендаторы!$I$99</definedName>
    <definedName name="Проверка">Dashboard!$I$24</definedName>
  </definedNames>
  <calcPr calcId="162913"/>
</workbook>
</file>

<file path=xl/calcChain.xml><?xml version="1.0" encoding="utf-8"?>
<calcChain xmlns="http://schemas.openxmlformats.org/spreadsheetml/2006/main">
  <c r="G27" i="10" l="1"/>
  <c r="H27" i="10"/>
  <c r="H24" i="10" s="1"/>
  <c r="I27" i="10"/>
  <c r="I24" i="10" s="1"/>
  <c r="J27" i="10"/>
  <c r="J24" i="10" s="1"/>
  <c r="K27" i="10"/>
  <c r="L27" i="10"/>
  <c r="M27" i="10"/>
  <c r="N27" i="10"/>
  <c r="O27" i="10"/>
  <c r="P27" i="10"/>
  <c r="P24" i="10" s="1"/>
  <c r="Q27" i="10"/>
  <c r="Q24" i="10" s="1"/>
  <c r="R27" i="10"/>
  <c r="R24" i="10" s="1"/>
  <c r="S27" i="10"/>
  <c r="T27" i="10"/>
  <c r="U27" i="10"/>
  <c r="V27" i="10"/>
  <c r="W27" i="10"/>
  <c r="X27" i="10"/>
  <c r="X24" i="10" s="1"/>
  <c r="Y27" i="10"/>
  <c r="Y24" i="10" s="1"/>
  <c r="Z27" i="10"/>
  <c r="Z24" i="10" s="1"/>
  <c r="AA27" i="10"/>
  <c r="AB27" i="10"/>
  <c r="AC27" i="10"/>
  <c r="AD27" i="10"/>
  <c r="AE27" i="10"/>
  <c r="AF27" i="10"/>
  <c r="AF24" i="10" s="1"/>
  <c r="AG27" i="10"/>
  <c r="AG24" i="10" s="1"/>
  <c r="AH27" i="10"/>
  <c r="AH24" i="10" s="1"/>
  <c r="AI27" i="10"/>
  <c r="AJ27" i="10"/>
  <c r="AK27" i="10"/>
  <c r="AL27" i="10"/>
  <c r="AM27" i="10"/>
  <c r="AN27" i="10"/>
  <c r="AN24" i="10" s="1"/>
  <c r="AO27" i="10"/>
  <c r="AO24" i="10" s="1"/>
  <c r="AP27" i="10"/>
  <c r="AP24" i="10" s="1"/>
  <c r="AQ27" i="10"/>
  <c r="AR27" i="10"/>
  <c r="AS27" i="10"/>
  <c r="AT27" i="10"/>
  <c r="AU27" i="10"/>
  <c r="AV27" i="10"/>
  <c r="AV24" i="10" s="1"/>
  <c r="AW27" i="10"/>
  <c r="AW24" i="10" s="1"/>
  <c r="AX27" i="10"/>
  <c r="AX24" i="10" s="1"/>
  <c r="AY27" i="10"/>
  <c r="AZ27" i="10"/>
  <c r="BA27" i="10"/>
  <c r="BB27" i="10"/>
  <c r="BC27" i="10"/>
  <c r="BD27" i="10"/>
  <c r="BD24" i="10" s="1"/>
  <c r="BE27" i="10"/>
  <c r="BE24" i="10" s="1"/>
  <c r="BF27" i="10"/>
  <c r="BF24" i="10" s="1"/>
  <c r="BG27" i="10"/>
  <c r="BH27" i="10"/>
  <c r="BI27" i="10"/>
  <c r="BJ27" i="10"/>
  <c r="BK27" i="10"/>
  <c r="BL27" i="10"/>
  <c r="BL24" i="10" s="1"/>
  <c r="BM27" i="10"/>
  <c r="BM24" i="10" s="1"/>
  <c r="BN27" i="10"/>
  <c r="BN24" i="10" s="1"/>
  <c r="BO27" i="10"/>
  <c r="BP27" i="10"/>
  <c r="BQ27" i="10"/>
  <c r="BR27" i="10"/>
  <c r="BS27" i="10"/>
  <c r="BT27" i="10"/>
  <c r="BT24" i="10" s="1"/>
  <c r="BU27" i="10"/>
  <c r="BU24" i="10" s="1"/>
  <c r="BV27" i="10"/>
  <c r="BV24" i="10" s="1"/>
  <c r="BW27" i="10"/>
  <c r="BX27" i="10"/>
  <c r="BY27" i="10"/>
  <c r="BZ27" i="10"/>
  <c r="CA27" i="10"/>
  <c r="CB27" i="10"/>
  <c r="CB24" i="10" s="1"/>
  <c r="CC27" i="10"/>
  <c r="CC24" i="10" s="1"/>
  <c r="CD27" i="10"/>
  <c r="CD24" i="10" s="1"/>
  <c r="CE27" i="10"/>
  <c r="CF27" i="10"/>
  <c r="CG27" i="10"/>
  <c r="CH27" i="10"/>
  <c r="CI27" i="10"/>
  <c r="CJ27" i="10"/>
  <c r="CJ24" i="10" s="1"/>
  <c r="CK27" i="10"/>
  <c r="CK24" i="10" s="1"/>
  <c r="CL27" i="10"/>
  <c r="CL24" i="10" s="1"/>
  <c r="CM27" i="10"/>
  <c r="CN27" i="10"/>
  <c r="CO27" i="10"/>
  <c r="CP27" i="10"/>
  <c r="CQ27" i="10"/>
  <c r="CR27" i="10"/>
  <c r="CR24" i="10" s="1"/>
  <c r="CS27" i="10"/>
  <c r="CS24" i="10" s="1"/>
  <c r="CT27" i="10"/>
  <c r="CT24" i="10" s="1"/>
  <c r="CU27" i="10"/>
  <c r="CV27" i="10"/>
  <c r="CW27" i="10"/>
  <c r="CX27" i="10"/>
  <c r="CY27" i="10"/>
  <c r="CZ27" i="10"/>
  <c r="CZ24" i="10" s="1"/>
  <c r="DA27" i="10"/>
  <c r="DA24" i="10" s="1"/>
  <c r="DB27" i="10"/>
  <c r="DB24" i="10" s="1"/>
  <c r="DC27" i="10"/>
  <c r="DD27" i="10"/>
  <c r="DE27" i="10"/>
  <c r="DF27" i="10"/>
  <c r="DG27" i="10"/>
  <c r="DH27" i="10"/>
  <c r="DH24" i="10" s="1"/>
  <c r="DI27" i="10"/>
  <c r="DI24" i="10" s="1"/>
  <c r="G24" i="10"/>
  <c r="K24" i="10"/>
  <c r="L24" i="10"/>
  <c r="M24" i="10"/>
  <c r="N24" i="10"/>
  <c r="O24" i="10"/>
  <c r="S24" i="10"/>
  <c r="T24" i="10"/>
  <c r="U24" i="10"/>
  <c r="V24" i="10"/>
  <c r="W24" i="10"/>
  <c r="AA24" i="10"/>
  <c r="AB24" i="10"/>
  <c r="AC24" i="10"/>
  <c r="AD24" i="10"/>
  <c r="AE24" i="10"/>
  <c r="AI24" i="10"/>
  <c r="AJ24" i="10"/>
  <c r="AK24" i="10"/>
  <c r="AL24" i="10"/>
  <c r="AM24" i="10"/>
  <c r="AQ24" i="10"/>
  <c r="AR24" i="10"/>
  <c r="AS24" i="10"/>
  <c r="AT24" i="10"/>
  <c r="AU24" i="10"/>
  <c r="AY24" i="10"/>
  <c r="AZ24" i="10"/>
  <c r="BA24" i="10"/>
  <c r="BB24" i="10"/>
  <c r="BC24" i="10"/>
  <c r="BG24" i="10"/>
  <c r="BH24" i="10"/>
  <c r="BI24" i="10"/>
  <c r="BJ24" i="10"/>
  <c r="BK24" i="10"/>
  <c r="BO24" i="10"/>
  <c r="BP24" i="10"/>
  <c r="BQ24" i="10"/>
  <c r="BR24" i="10"/>
  <c r="BS24" i="10"/>
  <c r="BW24" i="10"/>
  <c r="BX24" i="10"/>
  <c r="BY24" i="10"/>
  <c r="BZ24" i="10"/>
  <c r="CA24" i="10"/>
  <c r="CE24" i="10"/>
  <c r="CF24" i="10"/>
  <c r="CG24" i="10"/>
  <c r="CH24" i="10"/>
  <c r="CI24" i="10"/>
  <c r="CM24" i="10"/>
  <c r="CN24" i="10"/>
  <c r="CO24" i="10"/>
  <c r="CP24" i="10"/>
  <c r="CQ24" i="10"/>
  <c r="CU24" i="10"/>
  <c r="CV24" i="10"/>
  <c r="CW24" i="10"/>
  <c r="CX24" i="10"/>
  <c r="CY24" i="10"/>
  <c r="DC24" i="10"/>
  <c r="DD24" i="10"/>
  <c r="DE24" i="10"/>
  <c r="DF24" i="10"/>
  <c r="DG24" i="10"/>
  <c r="C14" i="11"/>
  <c r="C6" i="11"/>
  <c r="C12" i="8" l="1"/>
  <c r="C27" i="8"/>
  <c r="E94" i="9" l="1"/>
  <c r="C16" i="11"/>
  <c r="C10" i="11"/>
  <c r="C17" i="11" s="1"/>
  <c r="C5" i="11" s="1"/>
  <c r="C14" i="8" l="1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3" i="9"/>
  <c r="G4" i="9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93" i="9" l="1"/>
  <c r="D3" i="10"/>
  <c r="G41" i="10" l="1"/>
  <c r="O21" i="4"/>
  <c r="O20" i="4"/>
  <c r="O19" i="4"/>
  <c r="D26" i="10"/>
  <c r="D25" i="10"/>
  <c r="BZ32" i="5"/>
  <c r="CA32" i="5"/>
  <c r="CB32" i="5"/>
  <c r="CC32" i="5"/>
  <c r="CD32" i="5"/>
  <c r="CE32" i="5"/>
  <c r="CF32" i="5"/>
  <c r="CG32" i="5"/>
  <c r="CH32" i="5"/>
  <c r="CI32" i="5"/>
  <c r="CJ32" i="5"/>
  <c r="CK32" i="5"/>
  <c r="CL32" i="5"/>
  <c r="CM32" i="5"/>
  <c r="CN32" i="5"/>
  <c r="CO32" i="5"/>
  <c r="CP32" i="5"/>
  <c r="CQ32" i="5"/>
  <c r="CR32" i="5"/>
  <c r="CS32" i="5"/>
  <c r="CT32" i="5"/>
  <c r="CU32" i="5"/>
  <c r="CV32" i="5"/>
  <c r="CW32" i="5"/>
  <c r="CX32" i="5"/>
  <c r="CY32" i="5"/>
  <c r="CZ32" i="5"/>
  <c r="DA32" i="5"/>
  <c r="DB32" i="5"/>
  <c r="DC32" i="5"/>
  <c r="DD32" i="5"/>
  <c r="DE32" i="5"/>
  <c r="DF32" i="5"/>
  <c r="DG32" i="5"/>
  <c r="DH32" i="5"/>
  <c r="DI32" i="5"/>
  <c r="BZ33" i="5"/>
  <c r="CA33" i="5"/>
  <c r="CB33" i="5"/>
  <c r="CC33" i="5"/>
  <c r="CD33" i="5"/>
  <c r="CE33" i="5"/>
  <c r="CF33" i="5"/>
  <c r="CG33" i="5"/>
  <c r="CH33" i="5"/>
  <c r="CI33" i="5"/>
  <c r="CJ33" i="5"/>
  <c r="CK33" i="5"/>
  <c r="CL33" i="5"/>
  <c r="CM33" i="5"/>
  <c r="CN33" i="5"/>
  <c r="CO33" i="5"/>
  <c r="CP33" i="5"/>
  <c r="CQ33" i="5"/>
  <c r="CR33" i="5"/>
  <c r="CS33" i="5"/>
  <c r="CT33" i="5"/>
  <c r="CU33" i="5"/>
  <c r="CV33" i="5"/>
  <c r="CW33" i="5"/>
  <c r="CX33" i="5"/>
  <c r="CY33" i="5"/>
  <c r="CZ33" i="5"/>
  <c r="DA33" i="5"/>
  <c r="DB33" i="5"/>
  <c r="DC33" i="5"/>
  <c r="DD33" i="5"/>
  <c r="DE33" i="5"/>
  <c r="DF33" i="5"/>
  <c r="DG33" i="5"/>
  <c r="DH33" i="5"/>
  <c r="DI33" i="5"/>
  <c r="BZ34" i="5"/>
  <c r="CA34" i="5"/>
  <c r="CB34" i="5"/>
  <c r="CC34" i="5"/>
  <c r="CD34" i="5"/>
  <c r="CE34" i="5"/>
  <c r="CF34" i="5"/>
  <c r="CG34" i="5"/>
  <c r="CH34" i="5"/>
  <c r="CI34" i="5"/>
  <c r="CJ34" i="5"/>
  <c r="CK34" i="5"/>
  <c r="CL34" i="5"/>
  <c r="CM34" i="5"/>
  <c r="CN34" i="5"/>
  <c r="CO34" i="5"/>
  <c r="CP34" i="5"/>
  <c r="CQ34" i="5"/>
  <c r="CR34" i="5"/>
  <c r="CS34" i="5"/>
  <c r="CT34" i="5"/>
  <c r="CU34" i="5"/>
  <c r="CV34" i="5"/>
  <c r="CW34" i="5"/>
  <c r="CX34" i="5"/>
  <c r="CY34" i="5"/>
  <c r="CZ34" i="5"/>
  <c r="DA34" i="5"/>
  <c r="DB34" i="5"/>
  <c r="DC34" i="5"/>
  <c r="DD34" i="5"/>
  <c r="DE34" i="5"/>
  <c r="DF34" i="5"/>
  <c r="DG34" i="5"/>
  <c r="DH34" i="5"/>
  <c r="DI34" i="5"/>
  <c r="F31" i="10"/>
  <c r="F28" i="10"/>
  <c r="D28" i="10" s="1"/>
  <c r="H41" i="10" l="1"/>
  <c r="I41" i="10" s="1"/>
  <c r="J41" i="10" s="1"/>
  <c r="K41" i="10" s="1"/>
  <c r="L41" i="10" s="1"/>
  <c r="M41" i="10" s="1"/>
  <c r="N41" i="10" s="1"/>
  <c r="O41" i="10" s="1"/>
  <c r="P41" i="10" s="1"/>
  <c r="Q41" i="10" s="1"/>
  <c r="R41" i="10" s="1"/>
  <c r="S41" i="10" s="1"/>
  <c r="T41" i="10" s="1"/>
  <c r="U41" i="10" s="1"/>
  <c r="V41" i="10" s="1"/>
  <c r="W41" i="10" s="1"/>
  <c r="X41" i="10" s="1"/>
  <c r="Y41" i="10" s="1"/>
  <c r="Z41" i="10" s="1"/>
  <c r="AA41" i="10" s="1"/>
  <c r="AB41" i="10" s="1"/>
  <c r="AC41" i="10" s="1"/>
  <c r="AD41" i="10" s="1"/>
  <c r="AE41" i="10" s="1"/>
  <c r="AF41" i="10" s="1"/>
  <c r="AG41" i="10" s="1"/>
  <c r="AH41" i="10" s="1"/>
  <c r="AI41" i="10" s="1"/>
  <c r="AJ41" i="10" s="1"/>
  <c r="AK41" i="10" s="1"/>
  <c r="AL41" i="10" s="1"/>
  <c r="AM41" i="10" s="1"/>
  <c r="AN41" i="10" s="1"/>
  <c r="AO41" i="10" s="1"/>
  <c r="AP41" i="10" s="1"/>
  <c r="AQ41" i="10" s="1"/>
  <c r="AR41" i="10" s="1"/>
  <c r="AS41" i="10" s="1"/>
  <c r="AT41" i="10" s="1"/>
  <c r="AU41" i="10" s="1"/>
  <c r="AV41" i="10" s="1"/>
  <c r="AW41" i="10" s="1"/>
  <c r="AX41" i="10" s="1"/>
  <c r="AY41" i="10" s="1"/>
  <c r="AZ41" i="10" s="1"/>
  <c r="BA41" i="10" s="1"/>
  <c r="BB41" i="10" s="1"/>
  <c r="BC41" i="10" s="1"/>
  <c r="BD41" i="10" s="1"/>
  <c r="BE41" i="10" s="1"/>
  <c r="BF41" i="10" s="1"/>
  <c r="BG41" i="10" s="1"/>
  <c r="BH41" i="10" s="1"/>
  <c r="BI41" i="10" s="1"/>
  <c r="BJ41" i="10" s="1"/>
  <c r="BK41" i="10" s="1"/>
  <c r="BL41" i="10" s="1"/>
  <c r="BM41" i="10" s="1"/>
  <c r="BN41" i="10" s="1"/>
  <c r="BO41" i="10" s="1"/>
  <c r="BP41" i="10" s="1"/>
  <c r="BQ41" i="10" s="1"/>
  <c r="BR41" i="10" s="1"/>
  <c r="BS41" i="10" s="1"/>
  <c r="BT41" i="10" s="1"/>
  <c r="BU41" i="10" s="1"/>
  <c r="BV41" i="10" s="1"/>
  <c r="BW41" i="10" s="1"/>
  <c r="BX41" i="10" s="1"/>
  <c r="BY41" i="10" s="1"/>
  <c r="BZ41" i="10" s="1"/>
  <c r="CA41" i="10" s="1"/>
  <c r="CB41" i="10" s="1"/>
  <c r="CC41" i="10" s="1"/>
  <c r="CD41" i="10" s="1"/>
  <c r="CE41" i="10" s="1"/>
  <c r="CF41" i="10" s="1"/>
  <c r="CG41" i="10" s="1"/>
  <c r="CH41" i="10" s="1"/>
  <c r="CI41" i="10" s="1"/>
  <c r="CJ41" i="10" s="1"/>
  <c r="CK41" i="10" s="1"/>
  <c r="CL41" i="10" s="1"/>
  <c r="CM41" i="10" s="1"/>
  <c r="CN41" i="10" s="1"/>
  <c r="CO41" i="10" s="1"/>
  <c r="CP41" i="10" s="1"/>
  <c r="CQ41" i="10" s="1"/>
  <c r="CR41" i="10" s="1"/>
  <c r="CS41" i="10" s="1"/>
  <c r="CT41" i="10" s="1"/>
  <c r="CU41" i="10" s="1"/>
  <c r="CV41" i="10" s="1"/>
  <c r="CW41" i="10" s="1"/>
  <c r="CX41" i="10" s="1"/>
  <c r="CY41" i="10" s="1"/>
  <c r="CZ41" i="10" s="1"/>
  <c r="DA41" i="10" s="1"/>
  <c r="DB41" i="10" s="1"/>
  <c r="DC41" i="10" s="1"/>
  <c r="DD41" i="10" s="1"/>
  <c r="DE41" i="10" s="1"/>
  <c r="DF41" i="10" s="1"/>
  <c r="DG41" i="10" s="1"/>
  <c r="DH41" i="10" s="1"/>
  <c r="DI41" i="10" s="1"/>
  <c r="DH31" i="5"/>
  <c r="CZ31" i="5"/>
  <c r="CR31" i="5"/>
  <c r="CB31" i="5"/>
  <c r="CJ31" i="5"/>
  <c r="DC31" i="5"/>
  <c r="CU31" i="5"/>
  <c r="CM31" i="5"/>
  <c r="CE31" i="5"/>
  <c r="BZ31" i="5"/>
  <c r="CT31" i="5"/>
  <c r="DI31" i="5"/>
  <c r="DA31" i="5"/>
  <c r="CS31" i="5"/>
  <c r="CK31" i="5"/>
  <c r="CC31" i="5"/>
  <c r="DG31" i="5"/>
  <c r="CY31" i="5"/>
  <c r="CQ31" i="5"/>
  <c r="CI31" i="5"/>
  <c r="CA31" i="5"/>
  <c r="DF31" i="5"/>
  <c r="CP31" i="5"/>
  <c r="DE31" i="5"/>
  <c r="CW31" i="5"/>
  <c r="CO31" i="5"/>
  <c r="CG31" i="5"/>
  <c r="CX31" i="5"/>
  <c r="CH31" i="5"/>
  <c r="DB31" i="5"/>
  <c r="CL31" i="5"/>
  <c r="CD31" i="5"/>
  <c r="DD31" i="5"/>
  <c r="CV31" i="5"/>
  <c r="CN31" i="5"/>
  <c r="CF31" i="5"/>
  <c r="E28" i="9"/>
  <c r="G28" i="9" s="1"/>
  <c r="G94" i="9" s="1"/>
  <c r="G11" i="4"/>
  <c r="O6" i="4"/>
  <c r="O5" i="4"/>
  <c r="C32" i="8"/>
  <c r="H28" i="9" l="1"/>
  <c r="F27" i="10"/>
  <c r="D27" i="10" s="1"/>
  <c r="F8" i="10"/>
  <c r="E26" i="6"/>
  <c r="E18" i="6"/>
  <c r="E17" i="6" s="1"/>
  <c r="E29" i="6"/>
  <c r="E25" i="6"/>
  <c r="E23" i="6"/>
  <c r="E22" i="6"/>
  <c r="E14" i="5"/>
  <c r="F15" i="10" l="1"/>
  <c r="F23" i="10"/>
  <c r="E21" i="6"/>
  <c r="E19" i="6" s="1"/>
  <c r="G8" i="10"/>
  <c r="F24" i="10"/>
  <c r="D24" i="10" s="1"/>
  <c r="F7" i="10"/>
  <c r="F9" i="10"/>
  <c r="F32" i="10" s="1"/>
  <c r="F30" i="10" s="1"/>
  <c r="G15" i="10" l="1"/>
  <c r="G23" i="10"/>
  <c r="G7" i="10"/>
  <c r="G9" i="10"/>
  <c r="G32" i="10" s="1"/>
  <c r="G30" i="10" s="1"/>
  <c r="H8" i="10"/>
  <c r="H15" i="10" l="1"/>
  <c r="H23" i="10"/>
  <c r="I8" i="10"/>
  <c r="H9" i="10"/>
  <c r="H32" i="10" s="1"/>
  <c r="H30" i="10" s="1"/>
  <c r="H7" i="10"/>
  <c r="I15" i="10" l="1"/>
  <c r="I23" i="10"/>
  <c r="I7" i="10"/>
  <c r="I9" i="10"/>
  <c r="I32" i="10" s="1"/>
  <c r="I30" i="10" s="1"/>
  <c r="J8" i="10"/>
  <c r="J15" i="10" l="1"/>
  <c r="J23" i="10"/>
  <c r="J9" i="10"/>
  <c r="J32" i="10" s="1"/>
  <c r="J30" i="10" s="1"/>
  <c r="J7" i="10"/>
  <c r="K8" i="10"/>
  <c r="K15" i="10" l="1"/>
  <c r="K23" i="10"/>
  <c r="K9" i="10"/>
  <c r="K32" i="10" s="1"/>
  <c r="K30" i="10" s="1"/>
  <c r="L8" i="10"/>
  <c r="K7" i="10"/>
  <c r="L15" i="10" l="1"/>
  <c r="L23" i="10"/>
  <c r="L7" i="10"/>
  <c r="M8" i="10"/>
  <c r="L9" i="10"/>
  <c r="L32" i="10" s="1"/>
  <c r="L30" i="10" s="1"/>
  <c r="M15" i="10" l="1"/>
  <c r="M23" i="10"/>
  <c r="M9" i="10"/>
  <c r="M32" i="10" s="1"/>
  <c r="M30" i="10" s="1"/>
  <c r="M7" i="10"/>
  <c r="N8" i="10"/>
  <c r="N15" i="10" l="1"/>
  <c r="N23" i="10"/>
  <c r="O8" i="10"/>
  <c r="O23" i="10" s="1"/>
  <c r="N9" i="10"/>
  <c r="N32" i="10" s="1"/>
  <c r="N30" i="10" s="1"/>
  <c r="N7" i="10"/>
  <c r="O7" i="10" l="1"/>
  <c r="O15" i="10"/>
  <c r="O9" i="10"/>
  <c r="O32" i="10" s="1"/>
  <c r="O30" i="10" s="1"/>
  <c r="P8" i="10"/>
  <c r="P23" i="10" s="1"/>
  <c r="Q8" i="10" l="1"/>
  <c r="P15" i="10"/>
  <c r="P9" i="10"/>
  <c r="P32" i="10" s="1"/>
  <c r="P30" i="10" s="1"/>
  <c r="P7" i="10"/>
  <c r="Q15" i="10" l="1"/>
  <c r="Q23" i="10"/>
  <c r="Q9" i="10"/>
  <c r="Q32" i="10" s="1"/>
  <c r="Q7" i="10"/>
  <c r="R8" i="10"/>
  <c r="R15" i="10" l="1"/>
  <c r="R23" i="10"/>
  <c r="R7" i="10"/>
  <c r="R9" i="10"/>
  <c r="R32" i="10" s="1"/>
  <c r="S8" i="10"/>
  <c r="S15" i="10" l="1"/>
  <c r="S23" i="10"/>
  <c r="S9" i="10"/>
  <c r="S32" i="10" s="1"/>
  <c r="S7" i="10"/>
  <c r="T8" i="10"/>
  <c r="T15" i="10" l="1"/>
  <c r="T23" i="10"/>
  <c r="U8" i="10"/>
  <c r="T9" i="10"/>
  <c r="T32" i="10" s="1"/>
  <c r="T7" i="10"/>
  <c r="U15" i="10" l="1"/>
  <c r="U23" i="10"/>
  <c r="U9" i="10"/>
  <c r="U32" i="10" s="1"/>
  <c r="V8" i="10"/>
  <c r="U7" i="10"/>
  <c r="V15" i="10" l="1"/>
  <c r="V23" i="10"/>
  <c r="V9" i="10"/>
  <c r="V32" i="10" s="1"/>
  <c r="V7" i="10"/>
  <c r="W8" i="10"/>
  <c r="W15" i="10" l="1"/>
  <c r="W23" i="10"/>
  <c r="W7" i="10"/>
  <c r="W9" i="10"/>
  <c r="W32" i="10" s="1"/>
  <c r="X8" i="10"/>
  <c r="X15" i="10" l="1"/>
  <c r="X23" i="10"/>
  <c r="X9" i="10"/>
  <c r="X32" i="10" s="1"/>
  <c r="Y8" i="10"/>
  <c r="X7" i="10"/>
  <c r="Y15" i="10" l="1"/>
  <c r="Y23" i="10"/>
  <c r="Y7" i="10"/>
  <c r="Y9" i="10"/>
  <c r="Y32" i="10" s="1"/>
  <c r="Z8" i="10"/>
  <c r="Z15" i="10" l="1"/>
  <c r="Z23" i="10"/>
  <c r="AA8" i="10"/>
  <c r="AA7" i="10" s="1"/>
  <c r="Z7" i="10"/>
  <c r="Z9" i="10"/>
  <c r="Z32" i="10" s="1"/>
  <c r="AB8" i="10" l="1"/>
  <c r="AB15" i="10" s="1"/>
  <c r="AA15" i="10"/>
  <c r="AA23" i="10"/>
  <c r="AA9" i="10"/>
  <c r="AA32" i="10" s="1"/>
  <c r="AB7" i="10" l="1"/>
  <c r="AB9" i="10"/>
  <c r="AB32" i="10" s="1"/>
  <c r="AC8" i="10"/>
  <c r="AC7" i="10" s="1"/>
  <c r="AB23" i="10"/>
  <c r="AC9" i="10" l="1"/>
  <c r="AC32" i="10" s="1"/>
  <c r="AD8" i="10"/>
  <c r="AD15" i="10" s="1"/>
  <c r="AC23" i="10"/>
  <c r="AC15" i="10"/>
  <c r="AD7" i="10" l="1"/>
  <c r="AE8" i="10"/>
  <c r="AE7" i="10" s="1"/>
  <c r="AD23" i="10"/>
  <c r="AD9" i="10"/>
  <c r="AD32" i="10" s="1"/>
  <c r="AE9" i="10" l="1"/>
  <c r="AE32" i="10" s="1"/>
  <c r="AF8" i="10"/>
  <c r="AF15" i="10" s="1"/>
  <c r="AE23" i="10"/>
  <c r="AE15" i="10"/>
  <c r="AF23" i="10" l="1"/>
  <c r="AF9" i="10"/>
  <c r="AF32" i="10" s="1"/>
  <c r="AG8" i="10"/>
  <c r="AG7" i="10" s="1"/>
  <c r="AF7" i="10"/>
  <c r="AG9" i="10" l="1"/>
  <c r="AG32" i="10" s="1"/>
  <c r="AH8" i="10"/>
  <c r="AH15" i="10" s="1"/>
  <c r="AG23" i="10"/>
  <c r="AG15" i="10"/>
  <c r="AH7" i="10" l="1"/>
  <c r="AH9" i="10"/>
  <c r="AH32" i="10" s="1"/>
  <c r="AI8" i="10"/>
  <c r="AI7" i="10" s="1"/>
  <c r="AH23" i="10"/>
  <c r="AJ8" i="10" l="1"/>
  <c r="AJ9" i="10" s="1"/>
  <c r="AJ32" i="10" s="1"/>
  <c r="AI9" i="10"/>
  <c r="AI32" i="10" s="1"/>
  <c r="AI23" i="10"/>
  <c r="AI15" i="10"/>
  <c r="AK8" i="10" l="1"/>
  <c r="AL8" i="10" s="1"/>
  <c r="AJ23" i="10"/>
  <c r="AJ15" i="10"/>
  <c r="AJ7" i="10"/>
  <c r="AK23" i="10" l="1"/>
  <c r="AK7" i="10"/>
  <c r="AK9" i="10"/>
  <c r="AK32" i="10" s="1"/>
  <c r="AK15" i="10"/>
  <c r="AL15" i="10"/>
  <c r="AL23" i="10"/>
  <c r="AM8" i="10"/>
  <c r="AL9" i="10"/>
  <c r="AL32" i="10" s="1"/>
  <c r="AL7" i="10"/>
  <c r="AM15" i="10" l="1"/>
  <c r="AM23" i="10"/>
  <c r="AN8" i="10"/>
  <c r="AM9" i="10"/>
  <c r="AM32" i="10" s="1"/>
  <c r="AM7" i="10"/>
  <c r="AN15" i="10" l="1"/>
  <c r="AN23" i="10"/>
  <c r="AO8" i="10"/>
  <c r="AN9" i="10"/>
  <c r="AN32" i="10" s="1"/>
  <c r="AN7" i="10"/>
  <c r="AO15" i="10" l="1"/>
  <c r="AO23" i="10"/>
  <c r="AP8" i="10"/>
  <c r="AO9" i="10"/>
  <c r="AO32" i="10" s="1"/>
  <c r="AO7" i="10"/>
  <c r="AQ8" i="10" l="1"/>
  <c r="AP9" i="10"/>
  <c r="AP32" i="10" s="1"/>
  <c r="AP7" i="10"/>
  <c r="AR8" i="10" l="1"/>
  <c r="AQ9" i="10"/>
  <c r="AQ32" i="10" s="1"/>
  <c r="AQ7" i="10"/>
  <c r="AS8" i="10" l="1"/>
  <c r="AR9" i="10"/>
  <c r="AR32" i="10" s="1"/>
  <c r="AR7" i="10"/>
  <c r="AS9" i="10" l="1"/>
  <c r="AS32" i="10" s="1"/>
  <c r="AS7" i="10"/>
  <c r="AT8" i="10"/>
  <c r="AU8" i="10" l="1"/>
  <c r="AT9" i="10"/>
  <c r="AT32" i="10" s="1"/>
  <c r="AT7" i="10"/>
  <c r="AV8" i="10" l="1"/>
  <c r="AU9" i="10"/>
  <c r="AU32" i="10" s="1"/>
  <c r="AU7" i="10"/>
  <c r="AW8" i="10" l="1"/>
  <c r="AV9" i="10"/>
  <c r="AV32" i="10" s="1"/>
  <c r="AV7" i="10"/>
  <c r="AX8" i="10" l="1"/>
  <c r="AW9" i="10"/>
  <c r="AW32" i="10" s="1"/>
  <c r="AW7" i="10"/>
  <c r="AY8" i="10" l="1"/>
  <c r="AX9" i="10"/>
  <c r="AX32" i="10" s="1"/>
  <c r="AX7" i="10"/>
  <c r="AY9" i="10" l="1"/>
  <c r="AY32" i="10" s="1"/>
  <c r="AY7" i="10"/>
  <c r="AZ8" i="10"/>
  <c r="BA8" i="10" l="1"/>
  <c r="AZ7" i="10"/>
  <c r="AZ9" i="10"/>
  <c r="AZ32" i="10" s="1"/>
  <c r="BA9" i="10" l="1"/>
  <c r="BA32" i="10" s="1"/>
  <c r="BB8" i="10"/>
  <c r="BA7" i="10"/>
  <c r="BC8" i="10" l="1"/>
  <c r="BB9" i="10"/>
  <c r="BB32" i="10" s="1"/>
  <c r="BB7" i="10"/>
  <c r="BD8" i="10" l="1"/>
  <c r="BC9" i="10"/>
  <c r="BC32" i="10" s="1"/>
  <c r="BC7" i="10"/>
  <c r="BE8" i="10" l="1"/>
  <c r="BD7" i="10"/>
  <c r="BD9" i="10"/>
  <c r="BD32" i="10" s="1"/>
  <c r="BF8" i="10" l="1"/>
  <c r="BE9" i="10"/>
  <c r="BE32" i="10" s="1"/>
  <c r="BE7" i="10"/>
  <c r="BG8" i="10" l="1"/>
  <c r="BF9" i="10"/>
  <c r="BF32" i="10" s="1"/>
  <c r="BF7" i="10"/>
  <c r="BH8" i="10" l="1"/>
  <c r="BG9" i="10"/>
  <c r="BG32" i="10" s="1"/>
  <c r="BG7" i="10"/>
  <c r="BI8" i="10" l="1"/>
  <c r="BH9" i="10"/>
  <c r="BH32" i="10" s="1"/>
  <c r="BH7" i="10"/>
  <c r="BI9" i="10" l="1"/>
  <c r="BI32" i="10" s="1"/>
  <c r="BI7" i="10"/>
  <c r="BJ8" i="10"/>
  <c r="BK8" i="10" l="1"/>
  <c r="BJ9" i="10"/>
  <c r="BJ32" i="10" s="1"/>
  <c r="BJ7" i="10"/>
  <c r="BL8" i="10" l="1"/>
  <c r="BK9" i="10"/>
  <c r="BK32" i="10" s="1"/>
  <c r="BK7" i="10"/>
  <c r="BM8" i="10" l="1"/>
  <c r="BL9" i="10"/>
  <c r="BL32" i="10" s="1"/>
  <c r="BL7" i="10"/>
  <c r="BN8" i="10" l="1"/>
  <c r="BM9" i="10"/>
  <c r="BM32" i="10" s="1"/>
  <c r="BM7" i="10"/>
  <c r="BO8" i="10" l="1"/>
  <c r="BN9" i="10"/>
  <c r="BN32" i="10" s="1"/>
  <c r="BN7" i="10"/>
  <c r="BO9" i="10" l="1"/>
  <c r="BO32" i="10" s="1"/>
  <c r="BO7" i="10"/>
  <c r="BP8" i="10"/>
  <c r="BQ8" i="10" l="1"/>
  <c r="BP9" i="10"/>
  <c r="BP32" i="10" s="1"/>
  <c r="BP7" i="10"/>
  <c r="BQ9" i="10" l="1"/>
  <c r="BQ32" i="10" s="1"/>
  <c r="BR8" i="10"/>
  <c r="BQ7" i="10"/>
  <c r="BS8" i="10" l="1"/>
  <c r="BR9" i="10"/>
  <c r="BR32" i="10" s="1"/>
  <c r="BR7" i="10"/>
  <c r="BT8" i="10" l="1"/>
  <c r="BS9" i="10"/>
  <c r="BS32" i="10" s="1"/>
  <c r="BS7" i="10"/>
  <c r="BU8" i="10" l="1"/>
  <c r="BT7" i="10"/>
  <c r="BT9" i="10"/>
  <c r="BT32" i="10" s="1"/>
  <c r="BV8" i="10" l="1"/>
  <c r="BU9" i="10"/>
  <c r="BU32" i="10" s="1"/>
  <c r="BU7" i="10"/>
  <c r="BW8" i="10" l="1"/>
  <c r="BV9" i="10"/>
  <c r="BV32" i="10" s="1"/>
  <c r="BV7" i="10"/>
  <c r="BX8" i="10" l="1"/>
  <c r="BW9" i="10"/>
  <c r="BW32" i="10" s="1"/>
  <c r="BW7" i="10"/>
  <c r="BY8" i="10" l="1"/>
  <c r="BX7" i="10"/>
  <c r="BX9" i="10"/>
  <c r="BX32" i="10" s="1"/>
  <c r="BZ8" i="10" l="1"/>
  <c r="BY9" i="10"/>
  <c r="BY32" i="10" s="1"/>
  <c r="BY7" i="10"/>
  <c r="CA8" i="10" l="1"/>
  <c r="CA9" i="10" s="1"/>
  <c r="CA32" i="10" s="1"/>
  <c r="CA30" i="10" s="1"/>
  <c r="BZ7" i="10"/>
  <c r="BZ9" i="10"/>
  <c r="BZ32" i="10" s="1"/>
  <c r="BZ30" i="10" s="1"/>
  <c r="E16" i="6"/>
  <c r="E14" i="6"/>
  <c r="F14" i="6" s="1"/>
  <c r="E10" i="6"/>
  <c r="F10" i="6" s="1"/>
  <c r="G10" i="6" s="1"/>
  <c r="H10" i="6" s="1"/>
  <c r="I10" i="6" s="1"/>
  <c r="J10" i="6" s="1"/>
  <c r="K10" i="6" s="1"/>
  <c r="L10" i="6" s="1"/>
  <c r="M10" i="6" s="1"/>
  <c r="N10" i="6" s="1"/>
  <c r="O10" i="6" s="1"/>
  <c r="P10" i="6" s="1"/>
  <c r="Q10" i="6" s="1"/>
  <c r="R10" i="6" s="1"/>
  <c r="S10" i="6" s="1"/>
  <c r="T10" i="6" s="1"/>
  <c r="U10" i="6" s="1"/>
  <c r="V10" i="6" s="1"/>
  <c r="W10" i="6" s="1"/>
  <c r="X10" i="6" s="1"/>
  <c r="Y10" i="6" s="1"/>
  <c r="Z10" i="6" s="1"/>
  <c r="AA10" i="6" s="1"/>
  <c r="AB10" i="6" s="1"/>
  <c r="AC10" i="6" s="1"/>
  <c r="AD10" i="6" s="1"/>
  <c r="AE10" i="6" s="1"/>
  <c r="AF10" i="6" s="1"/>
  <c r="AG10" i="6" s="1"/>
  <c r="AH10" i="6" s="1"/>
  <c r="AI10" i="6" s="1"/>
  <c r="AJ10" i="6" s="1"/>
  <c r="AK10" i="6" s="1"/>
  <c r="AL10" i="6" s="1"/>
  <c r="AM10" i="6" s="1"/>
  <c r="AN10" i="6" s="1"/>
  <c r="AO10" i="6" s="1"/>
  <c r="AP10" i="6" s="1"/>
  <c r="AQ10" i="6" s="1"/>
  <c r="AR10" i="6" s="1"/>
  <c r="AS10" i="6" s="1"/>
  <c r="AT10" i="6" s="1"/>
  <c r="AU10" i="6" s="1"/>
  <c r="AV10" i="6" s="1"/>
  <c r="AW10" i="6" s="1"/>
  <c r="AX10" i="6" s="1"/>
  <c r="AY10" i="6" s="1"/>
  <c r="AZ10" i="6" s="1"/>
  <c r="BA10" i="6" s="1"/>
  <c r="BB10" i="6" s="1"/>
  <c r="BC10" i="6" s="1"/>
  <c r="BD10" i="6" s="1"/>
  <c r="BE10" i="6" s="1"/>
  <c r="BF10" i="6" s="1"/>
  <c r="BG10" i="6" s="1"/>
  <c r="BH10" i="6" s="1"/>
  <c r="BI10" i="6" s="1"/>
  <c r="BJ10" i="6" s="1"/>
  <c r="BK10" i="6" s="1"/>
  <c r="BL10" i="6" s="1"/>
  <c r="BM10" i="6" s="1"/>
  <c r="BN10" i="6" s="1"/>
  <c r="BO10" i="6" s="1"/>
  <c r="BP10" i="6" s="1"/>
  <c r="BQ10" i="6" s="1"/>
  <c r="BR10" i="6" s="1"/>
  <c r="BS10" i="6" s="1"/>
  <c r="BT10" i="6" s="1"/>
  <c r="BU10" i="6" s="1"/>
  <c r="BV10" i="6" s="1"/>
  <c r="BW10" i="6" s="1"/>
  <c r="BX10" i="6" s="1"/>
  <c r="BY10" i="6" s="1"/>
  <c r="BZ10" i="6" s="1"/>
  <c r="CA10" i="6" s="1"/>
  <c r="CB10" i="6" s="1"/>
  <c r="CC10" i="6" s="1"/>
  <c r="CD10" i="6" s="1"/>
  <c r="CE10" i="6" s="1"/>
  <c r="CF10" i="6" s="1"/>
  <c r="CG10" i="6" s="1"/>
  <c r="CH10" i="6" s="1"/>
  <c r="CI10" i="6" s="1"/>
  <c r="CJ10" i="6" s="1"/>
  <c r="CK10" i="6" s="1"/>
  <c r="CL10" i="6" s="1"/>
  <c r="CM10" i="6" s="1"/>
  <c r="CN10" i="6" s="1"/>
  <c r="CO10" i="6" s="1"/>
  <c r="CP10" i="6" s="1"/>
  <c r="CQ10" i="6" s="1"/>
  <c r="CR10" i="6" s="1"/>
  <c r="CS10" i="6" s="1"/>
  <c r="CT10" i="6" s="1"/>
  <c r="CU10" i="6" s="1"/>
  <c r="CV10" i="6" s="1"/>
  <c r="CW10" i="6" s="1"/>
  <c r="CX10" i="6" s="1"/>
  <c r="CY10" i="6" s="1"/>
  <c r="CZ10" i="6" s="1"/>
  <c r="DA10" i="6" s="1"/>
  <c r="DB10" i="6" s="1"/>
  <c r="DC10" i="6" s="1"/>
  <c r="DD10" i="6" s="1"/>
  <c r="DE10" i="6" s="1"/>
  <c r="DF10" i="6" s="1"/>
  <c r="DG10" i="6" s="1"/>
  <c r="DH10" i="6" s="1"/>
  <c r="DI10" i="6" s="1"/>
  <c r="E8" i="6"/>
  <c r="E6" i="6"/>
  <c r="E5" i="6" s="1"/>
  <c r="E3" i="6"/>
  <c r="F3" i="6" s="1"/>
  <c r="D32" i="5"/>
  <c r="D33" i="5"/>
  <c r="D34" i="5"/>
  <c r="E9" i="5"/>
  <c r="CB8" i="10" l="1"/>
  <c r="CB7" i="10" s="1"/>
  <c r="CA7" i="10"/>
  <c r="E7" i="6"/>
  <c r="E11" i="6" s="1"/>
  <c r="E32" i="6" s="1"/>
  <c r="D31" i="5"/>
  <c r="E13" i="6"/>
  <c r="G3" i="6"/>
  <c r="CC8" i="10" l="1"/>
  <c r="CB9" i="10"/>
  <c r="CB32" i="10" s="1"/>
  <c r="CB30" i="10" s="1"/>
  <c r="G14" i="6"/>
  <c r="H3" i="6"/>
  <c r="CC7" i="10" l="1"/>
  <c r="CC9" i="10"/>
  <c r="CC32" i="10" s="1"/>
  <c r="CC30" i="10" s="1"/>
  <c r="CD8" i="10"/>
  <c r="CD9" i="10" s="1"/>
  <c r="CD32" i="10" s="1"/>
  <c r="CD30" i="10" s="1"/>
  <c r="H14" i="6"/>
  <c r="I3" i="6"/>
  <c r="CE8" i="10" l="1"/>
  <c r="CD7" i="10"/>
  <c r="I14" i="6"/>
  <c r="J3" i="6"/>
  <c r="CE7" i="10" l="1"/>
  <c r="CE9" i="10"/>
  <c r="CE32" i="10" s="1"/>
  <c r="CE30" i="10" s="1"/>
  <c r="CF8" i="10"/>
  <c r="CF7" i="10" s="1"/>
  <c r="J14" i="6"/>
  <c r="K3" i="6"/>
  <c r="CF9" i="10" l="1"/>
  <c r="CF32" i="10" s="1"/>
  <c r="CF30" i="10" s="1"/>
  <c r="CG8" i="10"/>
  <c r="CG7" i="10" s="1"/>
  <c r="K14" i="6"/>
  <c r="L3" i="6"/>
  <c r="CG9" i="10" l="1"/>
  <c r="CG32" i="10" s="1"/>
  <c r="CG30" i="10" s="1"/>
  <c r="CH8" i="10"/>
  <c r="L14" i="6"/>
  <c r="M3" i="6"/>
  <c r="CH9" i="10" l="1"/>
  <c r="CH32" i="10" s="1"/>
  <c r="CH30" i="10" s="1"/>
  <c r="CI8" i="10"/>
  <c r="CH7" i="10"/>
  <c r="M14" i="6"/>
  <c r="N3" i="6"/>
  <c r="CJ8" i="10" l="1"/>
  <c r="CI7" i="10"/>
  <c r="CI9" i="10"/>
  <c r="CI32" i="10" s="1"/>
  <c r="CI30" i="10" s="1"/>
  <c r="N14" i="6"/>
  <c r="O3" i="6"/>
  <c r="CK8" i="10" l="1"/>
  <c r="CL8" i="10" s="1"/>
  <c r="CJ9" i="10"/>
  <c r="CJ32" i="10" s="1"/>
  <c r="CJ30" i="10" s="1"/>
  <c r="CJ7" i="10"/>
  <c r="O14" i="6"/>
  <c r="P3" i="6"/>
  <c r="CK9" i="10" l="1"/>
  <c r="CK32" i="10" s="1"/>
  <c r="CK30" i="10" s="1"/>
  <c r="CK7" i="10"/>
  <c r="CL9" i="10"/>
  <c r="CL32" i="10" s="1"/>
  <c r="CL30" i="10" s="1"/>
  <c r="CL7" i="10"/>
  <c r="CM8" i="10"/>
  <c r="P14" i="6"/>
  <c r="Q3" i="6"/>
  <c r="CN8" i="10" l="1"/>
  <c r="CM9" i="10"/>
  <c r="CM32" i="10" s="1"/>
  <c r="CM30" i="10" s="1"/>
  <c r="CM7" i="10"/>
  <c r="Q14" i="6"/>
  <c r="R3" i="6"/>
  <c r="CO8" i="10" l="1"/>
  <c r="CN9" i="10"/>
  <c r="CN32" i="10" s="1"/>
  <c r="CN30" i="10" s="1"/>
  <c r="CN7" i="10"/>
  <c r="R14" i="6"/>
  <c r="S3" i="6"/>
  <c r="CP8" i="10" l="1"/>
  <c r="CO9" i="10"/>
  <c r="CO32" i="10" s="1"/>
  <c r="CO30" i="10" s="1"/>
  <c r="CO7" i="10"/>
  <c r="S14" i="6"/>
  <c r="T3" i="6"/>
  <c r="CQ8" i="10" l="1"/>
  <c r="CP9" i="10"/>
  <c r="CP7" i="10"/>
  <c r="T14" i="6"/>
  <c r="U3" i="6"/>
  <c r="CP32" i="10" l="1"/>
  <c r="CP30" i="10" s="1"/>
  <c r="CQ7" i="10"/>
  <c r="CR8" i="10"/>
  <c r="CQ9" i="10"/>
  <c r="CQ32" i="10" s="1"/>
  <c r="CQ30" i="10" s="1"/>
  <c r="U14" i="6"/>
  <c r="V3" i="6"/>
  <c r="CR7" i="10" l="1"/>
  <c r="CS8" i="10"/>
  <c r="CR9" i="10"/>
  <c r="CR32" i="10" s="1"/>
  <c r="CR30" i="10" s="1"/>
  <c r="V14" i="6"/>
  <c r="W3" i="6"/>
  <c r="CS9" i="10" l="1"/>
  <c r="CS7" i="10"/>
  <c r="CT8" i="10"/>
  <c r="W14" i="6"/>
  <c r="X3" i="6"/>
  <c r="CS32" i="10" l="1"/>
  <c r="CS30" i="10" s="1"/>
  <c r="CT9" i="10"/>
  <c r="CT32" i="10" s="1"/>
  <c r="CT30" i="10" s="1"/>
  <c r="CT7" i="10"/>
  <c r="CU8" i="10"/>
  <c r="X14" i="6"/>
  <c r="Y3" i="6"/>
  <c r="CV8" i="10" l="1"/>
  <c r="CU9" i="10"/>
  <c r="CU7" i="10"/>
  <c r="Y14" i="6"/>
  <c r="Z3" i="6"/>
  <c r="CU32" i="10" l="1"/>
  <c r="CU30" i="10" s="1"/>
  <c r="CW8" i="10"/>
  <c r="CV9" i="10"/>
  <c r="CV32" i="10" s="1"/>
  <c r="CV30" i="10" s="1"/>
  <c r="CV7" i="10"/>
  <c r="Z14" i="6"/>
  <c r="AA3" i="6"/>
  <c r="CX8" i="10" l="1"/>
  <c r="CW9" i="10"/>
  <c r="CW7" i="10"/>
  <c r="AA14" i="6"/>
  <c r="AB3" i="6"/>
  <c r="CW32" i="10" l="1"/>
  <c r="CW30" i="10" s="1"/>
  <c r="CY8" i="10"/>
  <c r="CX9" i="10"/>
  <c r="CX32" i="10" s="1"/>
  <c r="CX30" i="10" s="1"/>
  <c r="CX7" i="10"/>
  <c r="AB14" i="6"/>
  <c r="AC3" i="6"/>
  <c r="CY7" i="10" l="1"/>
  <c r="CZ8" i="10"/>
  <c r="CY9" i="10"/>
  <c r="CY32" i="10" s="1"/>
  <c r="CY30" i="10" s="1"/>
  <c r="AC14" i="6"/>
  <c r="AD3" i="6"/>
  <c r="CZ7" i="10" l="1"/>
  <c r="DA8" i="10"/>
  <c r="CZ9" i="10"/>
  <c r="CZ32" i="10" s="1"/>
  <c r="CZ30" i="10" s="1"/>
  <c r="AD14" i="6"/>
  <c r="AE3" i="6"/>
  <c r="DA9" i="10" l="1"/>
  <c r="DA32" i="10" s="1"/>
  <c r="DA30" i="10" s="1"/>
  <c r="DA7" i="10"/>
  <c r="DB8" i="10"/>
  <c r="AE14" i="6"/>
  <c r="AF3" i="6"/>
  <c r="DB9" i="10" l="1"/>
  <c r="DB7" i="10"/>
  <c r="DC8" i="10"/>
  <c r="AF14" i="6"/>
  <c r="AG3" i="6"/>
  <c r="DB32" i="10" l="1"/>
  <c r="DB30" i="10" s="1"/>
  <c r="DD8" i="10"/>
  <c r="DC9" i="10"/>
  <c r="DC32" i="10" s="1"/>
  <c r="DC30" i="10" s="1"/>
  <c r="DC7" i="10"/>
  <c r="AG14" i="6"/>
  <c r="AH3" i="6"/>
  <c r="DE8" i="10" l="1"/>
  <c r="DD9" i="10"/>
  <c r="DD32" i="10" s="1"/>
  <c r="DD30" i="10" s="1"/>
  <c r="DD7" i="10"/>
  <c r="AH14" i="6"/>
  <c r="AI3" i="6"/>
  <c r="DF8" i="10" l="1"/>
  <c r="DE9" i="10"/>
  <c r="DE32" i="10" s="1"/>
  <c r="DE30" i="10" s="1"/>
  <c r="DE7" i="10"/>
  <c r="AI14" i="6"/>
  <c r="AJ3" i="6"/>
  <c r="DG8" i="10" l="1"/>
  <c r="DF9" i="10"/>
  <c r="DF32" i="10" s="1"/>
  <c r="DF30" i="10" s="1"/>
  <c r="DF7" i="10"/>
  <c r="AJ14" i="6"/>
  <c r="AK3" i="6"/>
  <c r="DG7" i="10" l="1"/>
  <c r="DH8" i="10"/>
  <c r="DG9" i="10"/>
  <c r="DG32" i="10" s="1"/>
  <c r="DG30" i="10" s="1"/>
  <c r="AK14" i="6"/>
  <c r="AL3" i="6"/>
  <c r="DH7" i="10" l="1"/>
  <c r="DI8" i="10"/>
  <c r="DH9" i="10"/>
  <c r="DH32" i="10" s="1"/>
  <c r="DH30" i="10" s="1"/>
  <c r="AL14" i="6"/>
  <c r="AM3" i="6"/>
  <c r="DI9" i="10" l="1"/>
  <c r="DI32" i="10" s="1"/>
  <c r="DI30" i="10" s="1"/>
  <c r="DI7" i="10"/>
  <c r="AM14" i="6"/>
  <c r="AN3" i="6"/>
  <c r="AN14" i="6" l="1"/>
  <c r="AO3" i="6"/>
  <c r="AO14" i="6" l="1"/>
  <c r="AP3" i="6"/>
  <c r="AP14" i="6" l="1"/>
  <c r="AQ3" i="6"/>
  <c r="AQ14" i="6" l="1"/>
  <c r="AR3" i="6"/>
  <c r="AR14" i="6" l="1"/>
  <c r="AS3" i="6"/>
  <c r="AS14" i="6" l="1"/>
  <c r="AT3" i="6"/>
  <c r="AT14" i="6" l="1"/>
  <c r="AU3" i="6"/>
  <c r="AU14" i="6" l="1"/>
  <c r="AV3" i="6"/>
  <c r="AV14" i="6" l="1"/>
  <c r="AW3" i="6"/>
  <c r="AW14" i="6" l="1"/>
  <c r="AX3" i="6"/>
  <c r="AX14" i="6" l="1"/>
  <c r="AY3" i="6"/>
  <c r="AY14" i="6" l="1"/>
  <c r="AZ3" i="6"/>
  <c r="AZ14" i="6" l="1"/>
  <c r="BA3" i="6"/>
  <c r="BA14" i="6" l="1"/>
  <c r="BB3" i="6"/>
  <c r="BB14" i="6" l="1"/>
  <c r="BC3" i="6"/>
  <c r="BC14" i="6" l="1"/>
  <c r="BD3" i="6"/>
  <c r="BD14" i="6" l="1"/>
  <c r="BE3" i="6"/>
  <c r="BE14" i="6" l="1"/>
  <c r="BF3" i="6"/>
  <c r="BF14" i="6" l="1"/>
  <c r="BG3" i="6"/>
  <c r="BG14" i="6" l="1"/>
  <c r="BH3" i="6"/>
  <c r="BH14" i="6" l="1"/>
  <c r="BI3" i="6"/>
  <c r="BI14" i="6" l="1"/>
  <c r="BJ3" i="6"/>
  <c r="BJ14" i="6" l="1"/>
  <c r="BK3" i="6"/>
  <c r="BK14" i="6" l="1"/>
  <c r="BL3" i="6"/>
  <c r="BL14" i="6" l="1"/>
  <c r="BM3" i="6"/>
  <c r="BM14" i="6" l="1"/>
  <c r="BN3" i="6"/>
  <c r="BN14" i="6" l="1"/>
  <c r="BO3" i="6"/>
  <c r="BO14" i="6" l="1"/>
  <c r="BP3" i="6"/>
  <c r="BP14" i="6" l="1"/>
  <c r="BQ3" i="6"/>
  <c r="BQ14" i="6" l="1"/>
  <c r="BR3" i="6"/>
  <c r="BR14" i="6" l="1"/>
  <c r="BS3" i="6"/>
  <c r="BS14" i="6" l="1"/>
  <c r="BT3" i="6"/>
  <c r="BT14" i="6" l="1"/>
  <c r="BU3" i="6"/>
  <c r="BU14" i="6" l="1"/>
  <c r="BV3" i="6"/>
  <c r="BV14" i="6" l="1"/>
  <c r="BW3" i="6"/>
  <c r="BW14" i="6" l="1"/>
  <c r="BX3" i="6"/>
  <c r="BX14" i="6" l="1"/>
  <c r="BY3" i="6"/>
  <c r="BZ3" i="6" s="1"/>
  <c r="CA3" i="6" s="1"/>
  <c r="CB3" i="6" s="1"/>
  <c r="CC3" i="6" s="1"/>
  <c r="CD3" i="6" s="1"/>
  <c r="CE3" i="6" s="1"/>
  <c r="CF3" i="6" s="1"/>
  <c r="CG3" i="6" s="1"/>
  <c r="CH3" i="6" s="1"/>
  <c r="CI3" i="6" s="1"/>
  <c r="CJ3" i="6" s="1"/>
  <c r="CK3" i="6" s="1"/>
  <c r="CL3" i="6" s="1"/>
  <c r="CM3" i="6" s="1"/>
  <c r="CN3" i="6" s="1"/>
  <c r="CO3" i="6" s="1"/>
  <c r="CP3" i="6" s="1"/>
  <c r="CQ3" i="6" s="1"/>
  <c r="CR3" i="6" s="1"/>
  <c r="CS3" i="6" s="1"/>
  <c r="CT3" i="6" s="1"/>
  <c r="CU3" i="6" s="1"/>
  <c r="CV3" i="6" s="1"/>
  <c r="CW3" i="6" s="1"/>
  <c r="CX3" i="6" s="1"/>
  <c r="CY3" i="6" s="1"/>
  <c r="CZ3" i="6" s="1"/>
  <c r="DA3" i="6" s="1"/>
  <c r="DB3" i="6" s="1"/>
  <c r="DC3" i="6" s="1"/>
  <c r="DD3" i="6" s="1"/>
  <c r="DE3" i="6" s="1"/>
  <c r="DF3" i="6" s="1"/>
  <c r="DG3" i="6" s="1"/>
  <c r="DH3" i="6" s="1"/>
  <c r="DI3" i="6" s="1"/>
  <c r="BY14" i="6" l="1"/>
  <c r="BZ14" i="6" s="1"/>
  <c r="CA14" i="6" l="1"/>
  <c r="BR32" i="5"/>
  <c r="BS32" i="5"/>
  <c r="BT32" i="5"/>
  <c r="BU32" i="5"/>
  <c r="BV32" i="5"/>
  <c r="BW32" i="5"/>
  <c r="BX32" i="5"/>
  <c r="BY32" i="5"/>
  <c r="BR33" i="5"/>
  <c r="BS33" i="5"/>
  <c r="BT33" i="5"/>
  <c r="BU33" i="5"/>
  <c r="BV33" i="5"/>
  <c r="BW33" i="5"/>
  <c r="BX33" i="5"/>
  <c r="BY33" i="5"/>
  <c r="BR34" i="5"/>
  <c r="BS34" i="5"/>
  <c r="BT34" i="5"/>
  <c r="BU34" i="5"/>
  <c r="BV34" i="5"/>
  <c r="BW34" i="5"/>
  <c r="BX34" i="5"/>
  <c r="BY34" i="5"/>
  <c r="BB32" i="5"/>
  <c r="BC32" i="5"/>
  <c r="BD32" i="5"/>
  <c r="BE32" i="5"/>
  <c r="BF32" i="5"/>
  <c r="BG32" i="5"/>
  <c r="BH32" i="5"/>
  <c r="BI32" i="5"/>
  <c r="BJ32" i="5"/>
  <c r="BK32" i="5"/>
  <c r="BL32" i="5"/>
  <c r="BM32" i="5"/>
  <c r="BN32" i="5"/>
  <c r="BO32" i="5"/>
  <c r="BP32" i="5"/>
  <c r="BQ32" i="5"/>
  <c r="BB33" i="5"/>
  <c r="BC33" i="5"/>
  <c r="BD33" i="5"/>
  <c r="BE33" i="5"/>
  <c r="BF33" i="5"/>
  <c r="BG33" i="5"/>
  <c r="BH33" i="5"/>
  <c r="BI33" i="5"/>
  <c r="BJ33" i="5"/>
  <c r="BK33" i="5"/>
  <c r="BL33" i="5"/>
  <c r="BM33" i="5"/>
  <c r="BN33" i="5"/>
  <c r="BO33" i="5"/>
  <c r="BP33" i="5"/>
  <c r="BQ33" i="5"/>
  <c r="BB34" i="5"/>
  <c r="BC34" i="5"/>
  <c r="BD34" i="5"/>
  <c r="BE34" i="5"/>
  <c r="BF34" i="5"/>
  <c r="BG34" i="5"/>
  <c r="BH34" i="5"/>
  <c r="BI34" i="5"/>
  <c r="BJ34" i="5"/>
  <c r="BK34" i="5"/>
  <c r="BL34" i="5"/>
  <c r="BM34" i="5"/>
  <c r="BN34" i="5"/>
  <c r="BO34" i="5"/>
  <c r="BP34" i="5"/>
  <c r="BQ34" i="5"/>
  <c r="BA32" i="5"/>
  <c r="BA33" i="5"/>
  <c r="BA34" i="5"/>
  <c r="F41" i="5"/>
  <c r="AJ32" i="5"/>
  <c r="AK32" i="5"/>
  <c r="AL32" i="5"/>
  <c r="AM32" i="5"/>
  <c r="AN32" i="5"/>
  <c r="AO32" i="5"/>
  <c r="AP32" i="5"/>
  <c r="AQ32" i="5"/>
  <c r="AR32" i="5"/>
  <c r="AS32" i="5"/>
  <c r="AT32" i="5"/>
  <c r="AU32" i="5"/>
  <c r="AV32" i="5"/>
  <c r="AW32" i="5"/>
  <c r="AX32" i="5"/>
  <c r="AY32" i="5"/>
  <c r="AZ32" i="5"/>
  <c r="AJ33" i="5"/>
  <c r="AK33" i="5"/>
  <c r="AL33" i="5"/>
  <c r="AM33" i="5"/>
  <c r="AN33" i="5"/>
  <c r="AO33" i="5"/>
  <c r="AP33" i="5"/>
  <c r="AQ33" i="5"/>
  <c r="AR33" i="5"/>
  <c r="AS33" i="5"/>
  <c r="AT33" i="5"/>
  <c r="AU33" i="5"/>
  <c r="AV33" i="5"/>
  <c r="AW33" i="5"/>
  <c r="AX33" i="5"/>
  <c r="AY33" i="5"/>
  <c r="AZ33" i="5"/>
  <c r="AJ34" i="5"/>
  <c r="AK34" i="5"/>
  <c r="AL34" i="5"/>
  <c r="AM34" i="5"/>
  <c r="AN34" i="5"/>
  <c r="AO34" i="5"/>
  <c r="AP34" i="5"/>
  <c r="AQ34" i="5"/>
  <c r="AR34" i="5"/>
  <c r="AS34" i="5"/>
  <c r="AT34" i="5"/>
  <c r="AU34" i="5"/>
  <c r="AV34" i="5"/>
  <c r="AW34" i="5"/>
  <c r="AX34" i="5"/>
  <c r="AY34" i="5"/>
  <c r="AZ34" i="5"/>
  <c r="P32" i="5"/>
  <c r="Q32" i="5"/>
  <c r="R32" i="5"/>
  <c r="S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P33" i="5"/>
  <c r="Q33" i="5"/>
  <c r="R33" i="5"/>
  <c r="S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P34" i="5"/>
  <c r="Q34" i="5"/>
  <c r="R34" i="5"/>
  <c r="S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G32" i="5"/>
  <c r="H32" i="5"/>
  <c r="I32" i="5"/>
  <c r="J32" i="5"/>
  <c r="K32" i="5"/>
  <c r="L32" i="5"/>
  <c r="M32" i="5"/>
  <c r="N32" i="5"/>
  <c r="O32" i="5"/>
  <c r="G33" i="5"/>
  <c r="H33" i="5"/>
  <c r="I33" i="5"/>
  <c r="J33" i="5"/>
  <c r="K33" i="5"/>
  <c r="L33" i="5"/>
  <c r="M33" i="5"/>
  <c r="N33" i="5"/>
  <c r="O33" i="5"/>
  <c r="G34" i="5"/>
  <c r="H34" i="5"/>
  <c r="I34" i="5"/>
  <c r="J34" i="5"/>
  <c r="K34" i="5"/>
  <c r="L34" i="5"/>
  <c r="M34" i="5"/>
  <c r="N34" i="5"/>
  <c r="O34" i="5"/>
  <c r="F34" i="5"/>
  <c r="F33" i="5"/>
  <c r="F32" i="5"/>
  <c r="G14" i="4"/>
  <c r="G6" i="4"/>
  <c r="C28" i="8"/>
  <c r="J10" i="8"/>
  <c r="J14" i="8"/>
  <c r="J20" i="8" s="1"/>
  <c r="CB14" i="6" l="1"/>
  <c r="BW31" i="5"/>
  <c r="BG31" i="5"/>
  <c r="BN31" i="5"/>
  <c r="BF31" i="5"/>
  <c r="BV31" i="5"/>
  <c r="BM31" i="5"/>
  <c r="BE31" i="5"/>
  <c r="BU31" i="5"/>
  <c r="F40" i="5"/>
  <c r="BL31" i="5"/>
  <c r="BD31" i="5"/>
  <c r="BT31" i="5"/>
  <c r="BK31" i="5"/>
  <c r="BC31" i="5"/>
  <c r="BS31" i="5"/>
  <c r="BJ31" i="5"/>
  <c r="BB31" i="5"/>
  <c r="BR31" i="5"/>
  <c r="BO31" i="5"/>
  <c r="BA31" i="5"/>
  <c r="BQ31" i="5"/>
  <c r="BI31" i="5"/>
  <c r="BY31" i="5"/>
  <c r="BP31" i="5"/>
  <c r="BH31" i="5"/>
  <c r="BX31" i="5"/>
  <c r="J31" i="5"/>
  <c r="AU31" i="5"/>
  <c r="AL31" i="5"/>
  <c r="AK31" i="5"/>
  <c r="AC31" i="5"/>
  <c r="U31" i="5"/>
  <c r="AY31" i="5"/>
  <c r="AQ31" i="5"/>
  <c r="AT31" i="5"/>
  <c r="AS31" i="5"/>
  <c r="AX31" i="5"/>
  <c r="AP31" i="5"/>
  <c r="Z31" i="5"/>
  <c r="AZ31" i="5"/>
  <c r="AR31" i="5"/>
  <c r="AJ31" i="5"/>
  <c r="AG31" i="5"/>
  <c r="Y31" i="5"/>
  <c r="Q31" i="5"/>
  <c r="AH31" i="5"/>
  <c r="T31" i="5"/>
  <c r="X31" i="5"/>
  <c r="AI31" i="5"/>
  <c r="AA31" i="5"/>
  <c r="S31" i="5"/>
  <c r="AE31" i="5"/>
  <c r="W31" i="5"/>
  <c r="AM31" i="5"/>
  <c r="AW31" i="5"/>
  <c r="AO31" i="5"/>
  <c r="R31" i="5"/>
  <c r="AB31" i="5"/>
  <c r="AF31" i="5"/>
  <c r="AD31" i="5"/>
  <c r="V31" i="5"/>
  <c r="AV31" i="5"/>
  <c r="AN31" i="5"/>
  <c r="P31" i="5"/>
  <c r="N31" i="5"/>
  <c r="M31" i="5"/>
  <c r="L31" i="5"/>
  <c r="K31" i="5"/>
  <c r="F31" i="5"/>
  <c r="I31" i="5"/>
  <c r="O31" i="5"/>
  <c r="G31" i="5"/>
  <c r="H31" i="5"/>
  <c r="CC14" i="6" l="1"/>
  <c r="CD14" i="6" l="1"/>
  <c r="G20" i="8"/>
  <c r="F3" i="5"/>
  <c r="CE14" i="6" l="1"/>
  <c r="F14" i="5"/>
  <c r="F27" i="6" s="1"/>
  <c r="G3" i="5"/>
  <c r="F37" i="5"/>
  <c r="F38" i="5"/>
  <c r="F36" i="5"/>
  <c r="F30" i="5"/>
  <c r="F9" i="5"/>
  <c r="F20" i="5" s="1"/>
  <c r="F4" i="5"/>
  <c r="F42" i="5" s="1"/>
  <c r="F2" i="5"/>
  <c r="CF14" i="6" l="1"/>
  <c r="F18" i="6"/>
  <c r="F17" i="6" s="1"/>
  <c r="G41" i="5"/>
  <c r="G40" i="5" s="1"/>
  <c r="G9" i="5"/>
  <c r="G17" i="5" s="1"/>
  <c r="F21" i="5"/>
  <c r="F35" i="5"/>
  <c r="F6" i="6" s="1"/>
  <c r="F5" i="6" s="1"/>
  <c r="G14" i="5"/>
  <c r="G27" i="6" s="1"/>
  <c r="H3" i="5"/>
  <c r="F15" i="5"/>
  <c r="F17" i="5"/>
  <c r="G38" i="5"/>
  <c r="G37" i="5"/>
  <c r="F16" i="5"/>
  <c r="F22" i="5"/>
  <c r="F23" i="5"/>
  <c r="F11" i="5"/>
  <c r="F18" i="5"/>
  <c r="F24" i="5"/>
  <c r="F25" i="5"/>
  <c r="F26" i="5"/>
  <c r="F13" i="5"/>
  <c r="F19" i="5"/>
  <c r="G36" i="5"/>
  <c r="G30" i="5"/>
  <c r="G2" i="5"/>
  <c r="G4" i="5"/>
  <c r="G42" i="5" s="1"/>
  <c r="F34" i="10" s="1"/>
  <c r="F22" i="10" l="1"/>
  <c r="F33" i="10"/>
  <c r="CG14" i="6"/>
  <c r="G18" i="6"/>
  <c r="G17" i="6" s="1"/>
  <c r="H41" i="5"/>
  <c r="H40" i="5" s="1"/>
  <c r="H37" i="5"/>
  <c r="H14" i="5"/>
  <c r="H27" i="6" s="1"/>
  <c r="F23" i="6"/>
  <c r="F24" i="6"/>
  <c r="G25" i="5"/>
  <c r="G19" i="5"/>
  <c r="G11" i="5"/>
  <c r="G23" i="5"/>
  <c r="G13" i="5"/>
  <c r="G21" i="5"/>
  <c r="G22" i="5"/>
  <c r="G20" i="5"/>
  <c r="G18" i="5"/>
  <c r="H36" i="5"/>
  <c r="H9" i="5"/>
  <c r="H30" i="5"/>
  <c r="G24" i="5"/>
  <c r="G15" i="5"/>
  <c r="G26" i="5"/>
  <c r="H38" i="5"/>
  <c r="G16" i="5"/>
  <c r="H2" i="5"/>
  <c r="G35" i="5"/>
  <c r="G6" i="6" s="1"/>
  <c r="G5" i="6" s="1"/>
  <c r="H4" i="5"/>
  <c r="H42" i="5" s="1"/>
  <c r="G34" i="10" s="1"/>
  <c r="G33" i="10" s="1"/>
  <c r="I3" i="5"/>
  <c r="F19" i="10" l="1"/>
  <c r="F18" i="10"/>
  <c r="G22" i="10"/>
  <c r="CH14" i="6"/>
  <c r="I41" i="5"/>
  <c r="I14" i="5"/>
  <c r="I27" i="6" s="1"/>
  <c r="G23" i="6"/>
  <c r="G24" i="6"/>
  <c r="I9" i="5"/>
  <c r="I22" i="5" s="1"/>
  <c r="H23" i="5"/>
  <c r="H21" i="5"/>
  <c r="H20" i="5"/>
  <c r="H13" i="5"/>
  <c r="H24" i="5"/>
  <c r="I30" i="5"/>
  <c r="H15" i="5"/>
  <c r="H18" i="5"/>
  <c r="H26" i="5"/>
  <c r="I37" i="5"/>
  <c r="H22" i="5"/>
  <c r="H17" i="5"/>
  <c r="H19" i="5"/>
  <c r="I38" i="5"/>
  <c r="H11" i="5"/>
  <c r="H25" i="5"/>
  <c r="H16" i="5"/>
  <c r="I36" i="5"/>
  <c r="H35" i="5"/>
  <c r="H6" i="6" s="1"/>
  <c r="H5" i="6" s="1"/>
  <c r="I4" i="5"/>
  <c r="I42" i="5" s="1"/>
  <c r="I2" i="5"/>
  <c r="J3" i="5"/>
  <c r="G18" i="10" l="1"/>
  <c r="G19" i="10"/>
  <c r="CI14" i="6"/>
  <c r="I40" i="5"/>
  <c r="H18" i="6"/>
  <c r="H17" i="6" s="1"/>
  <c r="H34" i="10"/>
  <c r="J41" i="5"/>
  <c r="I18" i="6"/>
  <c r="I17" i="6" s="1"/>
  <c r="J14" i="5"/>
  <c r="J27" i="6" s="1"/>
  <c r="I15" i="5"/>
  <c r="I23" i="6" s="1"/>
  <c r="I19" i="5"/>
  <c r="I23" i="5"/>
  <c r="I24" i="5"/>
  <c r="I25" i="5"/>
  <c r="I17" i="5"/>
  <c r="H24" i="6"/>
  <c r="H19" i="10" s="1"/>
  <c r="H23" i="6"/>
  <c r="I13" i="5"/>
  <c r="I16" i="5"/>
  <c r="I18" i="5"/>
  <c r="I26" i="5"/>
  <c r="I20" i="5"/>
  <c r="I21" i="5"/>
  <c r="I11" i="5"/>
  <c r="J30" i="5"/>
  <c r="J9" i="5"/>
  <c r="J37" i="5"/>
  <c r="J38" i="5"/>
  <c r="J36" i="5"/>
  <c r="I35" i="5"/>
  <c r="I6" i="6" s="1"/>
  <c r="I5" i="6" s="1"/>
  <c r="J2" i="5"/>
  <c r="J4" i="5"/>
  <c r="J42" i="5" s="1"/>
  <c r="I34" i="10" s="1"/>
  <c r="I33" i="10" s="1"/>
  <c r="K3" i="5"/>
  <c r="H22" i="10" l="1"/>
  <c r="J22" i="5"/>
  <c r="H33" i="10"/>
  <c r="CJ14" i="6"/>
  <c r="J18" i="6"/>
  <c r="J17" i="6" s="1"/>
  <c r="J40" i="5"/>
  <c r="K41" i="5"/>
  <c r="K40" i="5" s="1"/>
  <c r="K14" i="5"/>
  <c r="K27" i="6" s="1"/>
  <c r="K37" i="5"/>
  <c r="I24" i="6"/>
  <c r="H18" i="10"/>
  <c r="J20" i="5"/>
  <c r="K30" i="5"/>
  <c r="J23" i="5"/>
  <c r="K9" i="5"/>
  <c r="K26" i="5" s="1"/>
  <c r="J18" i="5"/>
  <c r="J24" i="5"/>
  <c r="J26" i="5"/>
  <c r="K38" i="5"/>
  <c r="J13" i="5"/>
  <c r="J16" i="5"/>
  <c r="J19" i="5"/>
  <c r="J25" i="5"/>
  <c r="K36" i="5"/>
  <c r="J11" i="5"/>
  <c r="J21" i="5"/>
  <c r="J17" i="5"/>
  <c r="J15" i="5"/>
  <c r="I18" i="10" s="1"/>
  <c r="J35" i="5"/>
  <c r="J6" i="6" s="1"/>
  <c r="J5" i="6" s="1"/>
  <c r="K4" i="5"/>
  <c r="K42" i="5" s="1"/>
  <c r="L41" i="5" s="1"/>
  <c r="K2" i="5"/>
  <c r="L3" i="5"/>
  <c r="J22" i="10" l="1"/>
  <c r="J34" i="10"/>
  <c r="J33" i="10" s="1"/>
  <c r="I19" i="10"/>
  <c r="I22" i="10"/>
  <c r="CK14" i="6"/>
  <c r="K18" i="6"/>
  <c r="K17" i="6" s="1"/>
  <c r="L40" i="5"/>
  <c r="K22" i="10" s="1"/>
  <c r="J24" i="6"/>
  <c r="J23" i="6"/>
  <c r="L38" i="5"/>
  <c r="K11" i="5"/>
  <c r="L37" i="5"/>
  <c r="L14" i="5"/>
  <c r="L27" i="6" s="1"/>
  <c r="K13" i="5"/>
  <c r="K24" i="5"/>
  <c r="K16" i="5"/>
  <c r="L9" i="5"/>
  <c r="K25" i="5"/>
  <c r="K19" i="5"/>
  <c r="K21" i="5"/>
  <c r="K18" i="5"/>
  <c r="K20" i="5"/>
  <c r="K17" i="5"/>
  <c r="K15" i="5"/>
  <c r="L30" i="5"/>
  <c r="L36" i="5"/>
  <c r="K23" i="5"/>
  <c r="K22" i="5"/>
  <c r="K35" i="5"/>
  <c r="K6" i="6" s="1"/>
  <c r="K5" i="6" s="1"/>
  <c r="L4" i="5"/>
  <c r="L42" i="5" s="1"/>
  <c r="L18" i="6" s="1"/>
  <c r="L17" i="6" s="1"/>
  <c r="L2" i="5"/>
  <c r="M3" i="5"/>
  <c r="K34" i="10" l="1"/>
  <c r="K33" i="10" s="1"/>
  <c r="J18" i="10"/>
  <c r="J19" i="10"/>
  <c r="CL14" i="6"/>
  <c r="M41" i="5"/>
  <c r="M40" i="5" s="1"/>
  <c r="L22" i="10" s="1"/>
  <c r="M14" i="5"/>
  <c r="M27" i="6" s="1"/>
  <c r="M9" i="5"/>
  <c r="M16" i="5" s="1"/>
  <c r="K23" i="6"/>
  <c r="K24" i="6"/>
  <c r="L26" i="5"/>
  <c r="L19" i="5"/>
  <c r="L18" i="5"/>
  <c r="L20" i="5"/>
  <c r="L16" i="5"/>
  <c r="L17" i="5"/>
  <c r="L15" i="5"/>
  <c r="L22" i="5"/>
  <c r="L23" i="5"/>
  <c r="M30" i="5"/>
  <c r="L13" i="5"/>
  <c r="L24" i="5"/>
  <c r="M38" i="5"/>
  <c r="L21" i="5"/>
  <c r="M36" i="5"/>
  <c r="L11" i="5"/>
  <c r="L25" i="5"/>
  <c r="M37" i="5"/>
  <c r="L35" i="5"/>
  <c r="L6" i="6" s="1"/>
  <c r="L5" i="6" s="1"/>
  <c r="M2" i="5"/>
  <c r="M4" i="5"/>
  <c r="N3" i="5"/>
  <c r="K19" i="10" l="1"/>
  <c r="K18" i="10"/>
  <c r="M42" i="5"/>
  <c r="CM14" i="6"/>
  <c r="M20" i="5"/>
  <c r="M15" i="5"/>
  <c r="M23" i="6" s="1"/>
  <c r="M24" i="5"/>
  <c r="M11" i="5"/>
  <c r="M25" i="5"/>
  <c r="M19" i="5"/>
  <c r="M26" i="5"/>
  <c r="M18" i="5"/>
  <c r="M17" i="5"/>
  <c r="M13" i="5"/>
  <c r="M21" i="5"/>
  <c r="M22" i="5"/>
  <c r="M23" i="5"/>
  <c r="N14" i="5"/>
  <c r="N27" i="6" s="1"/>
  <c r="L24" i="6"/>
  <c r="L23" i="6"/>
  <c r="N38" i="5"/>
  <c r="N30" i="5"/>
  <c r="N37" i="5"/>
  <c r="N36" i="5"/>
  <c r="N9" i="5"/>
  <c r="M35" i="5"/>
  <c r="M6" i="6" s="1"/>
  <c r="M5" i="6" s="1"/>
  <c r="N4" i="5"/>
  <c r="N2" i="5"/>
  <c r="O3" i="5"/>
  <c r="L19" i="10" l="1"/>
  <c r="N41" i="5"/>
  <c r="N40" i="5" s="1"/>
  <c r="L34" i="10"/>
  <c r="L33" i="10" s="1"/>
  <c r="N42" i="5"/>
  <c r="M34" i="10" s="1"/>
  <c r="M33" i="10" s="1"/>
  <c r="M18" i="6"/>
  <c r="M17" i="6" s="1"/>
  <c r="CN14" i="6"/>
  <c r="M24" i="6"/>
  <c r="O14" i="5"/>
  <c r="O27" i="6" s="1"/>
  <c r="O36" i="5"/>
  <c r="O37" i="5"/>
  <c r="L18" i="10"/>
  <c r="O9" i="5"/>
  <c r="O25" i="5" s="1"/>
  <c r="N21" i="5"/>
  <c r="N22" i="5"/>
  <c r="N13" i="5"/>
  <c r="N15" i="5"/>
  <c r="M18" i="10" s="1"/>
  <c r="N23" i="5"/>
  <c r="N16" i="5"/>
  <c r="N24" i="5"/>
  <c r="N17" i="5"/>
  <c r="N25" i="5"/>
  <c r="N18" i="5"/>
  <c r="N26" i="5"/>
  <c r="O30" i="5"/>
  <c r="N11" i="5"/>
  <c r="N19" i="5"/>
  <c r="N20" i="5"/>
  <c r="O38" i="5"/>
  <c r="N35" i="5"/>
  <c r="N6" i="6" s="1"/>
  <c r="N5" i="6" s="1"/>
  <c r="O2" i="5"/>
  <c r="O4" i="5"/>
  <c r="P3" i="5"/>
  <c r="M19" i="10" l="1"/>
  <c r="M22" i="10"/>
  <c r="N18" i="6"/>
  <c r="N17" i="6" s="1"/>
  <c r="O41" i="5"/>
  <c r="O40" i="5" s="1"/>
  <c r="O42" i="5"/>
  <c r="P41" i="5" s="1"/>
  <c r="P40" i="5" s="1"/>
  <c r="CO14" i="6"/>
  <c r="O13" i="5"/>
  <c r="O19" i="5"/>
  <c r="O26" i="5"/>
  <c r="O16" i="5"/>
  <c r="O15" i="5"/>
  <c r="O23" i="6" s="1"/>
  <c r="O20" i="5"/>
  <c r="O24" i="5"/>
  <c r="O17" i="5"/>
  <c r="O11" i="5"/>
  <c r="O18" i="5"/>
  <c r="O22" i="5"/>
  <c r="O21" i="5"/>
  <c r="O23" i="5"/>
  <c r="N24" i="6"/>
  <c r="N23" i="6"/>
  <c r="P37" i="5"/>
  <c r="P14" i="5"/>
  <c r="P27" i="6" s="1"/>
  <c r="P38" i="5"/>
  <c r="P9" i="5"/>
  <c r="P19" i="5" s="1"/>
  <c r="P36" i="5"/>
  <c r="P30" i="5"/>
  <c r="O35" i="5"/>
  <c r="O6" i="6" s="1"/>
  <c r="O5" i="6" s="1"/>
  <c r="P4" i="5"/>
  <c r="Q3" i="5"/>
  <c r="P2" i="5"/>
  <c r="O22" i="10" l="1"/>
  <c r="N22" i="10"/>
  <c r="N34" i="10"/>
  <c r="N33" i="10" s="1"/>
  <c r="P42" i="5"/>
  <c r="P18" i="6" s="1"/>
  <c r="P17" i="6" s="1"/>
  <c r="CP14" i="6"/>
  <c r="O18" i="6"/>
  <c r="O17" i="6" s="1"/>
  <c r="O24" i="6"/>
  <c r="Q14" i="5"/>
  <c r="Q27" i="6" s="1"/>
  <c r="N18" i="10"/>
  <c r="P26" i="5"/>
  <c r="P11" i="5"/>
  <c r="P24" i="5"/>
  <c r="P21" i="5"/>
  <c r="P17" i="5"/>
  <c r="P25" i="5"/>
  <c r="N19" i="10"/>
  <c r="P18" i="5"/>
  <c r="P20" i="5"/>
  <c r="P16" i="5"/>
  <c r="P13" i="5"/>
  <c r="P22" i="5"/>
  <c r="P15" i="5"/>
  <c r="O18" i="10" s="1"/>
  <c r="Q36" i="5"/>
  <c r="Q9" i="5"/>
  <c r="Q17" i="5" s="1"/>
  <c r="Q38" i="5"/>
  <c r="Q30" i="5"/>
  <c r="P23" i="5"/>
  <c r="Q37" i="5"/>
  <c r="P35" i="5"/>
  <c r="P6" i="6" s="1"/>
  <c r="P5" i="6" s="1"/>
  <c r="Q2" i="5"/>
  <c r="Q4" i="5"/>
  <c r="R3" i="5"/>
  <c r="O34" i="10" l="1"/>
  <c r="O33" i="10" s="1"/>
  <c r="O19" i="10"/>
  <c r="CQ14" i="6"/>
  <c r="Q41" i="5"/>
  <c r="Q42" i="5" s="1"/>
  <c r="P34" i="10" s="1"/>
  <c r="P33" i="10" s="1"/>
  <c r="R14" i="5"/>
  <c r="R27" i="6" s="1"/>
  <c r="Q15" i="5"/>
  <c r="Q23" i="6" s="1"/>
  <c r="Q16" i="5"/>
  <c r="Q19" i="5"/>
  <c r="Q20" i="5"/>
  <c r="Q21" i="5"/>
  <c r="P24" i="6"/>
  <c r="P23" i="6"/>
  <c r="Q23" i="5"/>
  <c r="Q11" i="5"/>
  <c r="Q24" i="5"/>
  <c r="Q18" i="5"/>
  <c r="Q25" i="5"/>
  <c r="Q13" i="5"/>
  <c r="Q26" i="5"/>
  <c r="R37" i="5"/>
  <c r="R30" i="5"/>
  <c r="R38" i="5"/>
  <c r="R9" i="5"/>
  <c r="R26" i="5" s="1"/>
  <c r="Q22" i="5"/>
  <c r="R36" i="5"/>
  <c r="Q35" i="5"/>
  <c r="Q6" i="6" s="1"/>
  <c r="Q5" i="6" s="1"/>
  <c r="S3" i="5"/>
  <c r="R4" i="5"/>
  <c r="R2" i="5"/>
  <c r="P18" i="10" l="1"/>
  <c r="CR14" i="6"/>
  <c r="R41" i="5"/>
  <c r="R42" i="5" s="1"/>
  <c r="Q34" i="10" s="1"/>
  <c r="Q40" i="5"/>
  <c r="Q18" i="6"/>
  <c r="Q17" i="6" s="1"/>
  <c r="Q24" i="6"/>
  <c r="S38" i="5"/>
  <c r="S14" i="5"/>
  <c r="S27" i="6" s="1"/>
  <c r="P19" i="10"/>
  <c r="S36" i="5"/>
  <c r="S9" i="5"/>
  <c r="S22" i="5" s="1"/>
  <c r="R13" i="5"/>
  <c r="R21" i="5"/>
  <c r="R11" i="5"/>
  <c r="R23" i="5"/>
  <c r="R18" i="5"/>
  <c r="R25" i="5"/>
  <c r="R15" i="5"/>
  <c r="Q18" i="10" s="1"/>
  <c r="R20" i="5"/>
  <c r="R16" i="5"/>
  <c r="R19" i="5"/>
  <c r="R22" i="5"/>
  <c r="S30" i="5"/>
  <c r="R24" i="5"/>
  <c r="R17" i="5"/>
  <c r="S37" i="5"/>
  <c r="R35" i="5"/>
  <c r="R6" i="6" s="1"/>
  <c r="R5" i="6" s="1"/>
  <c r="S4" i="5"/>
  <c r="T3" i="5"/>
  <c r="S2" i="5"/>
  <c r="Q19" i="10" l="1"/>
  <c r="P22" i="10"/>
  <c r="R40" i="5"/>
  <c r="CS14" i="6"/>
  <c r="R18" i="6"/>
  <c r="R17" i="6" s="1"/>
  <c r="Q33" i="10"/>
  <c r="S41" i="5"/>
  <c r="S42" i="5" s="1"/>
  <c r="R34" i="10" s="1"/>
  <c r="R33" i="10" s="1"/>
  <c r="S19" i="5"/>
  <c r="S16" i="5"/>
  <c r="S11" i="5"/>
  <c r="S18" i="5"/>
  <c r="S15" i="5"/>
  <c r="S23" i="6" s="1"/>
  <c r="S13" i="5"/>
  <c r="S24" i="5"/>
  <c r="S21" i="5"/>
  <c r="S17" i="5"/>
  <c r="S26" i="5"/>
  <c r="S23" i="5"/>
  <c r="S25" i="5"/>
  <c r="S20" i="5"/>
  <c r="R24" i="6"/>
  <c r="R19" i="10" s="1"/>
  <c r="R23" i="6"/>
  <c r="T38" i="5"/>
  <c r="T14" i="5"/>
  <c r="T27" i="6" s="1"/>
  <c r="T30" i="5"/>
  <c r="T36" i="5"/>
  <c r="T9" i="5"/>
  <c r="T26" i="5" s="1"/>
  <c r="T37" i="5"/>
  <c r="S35" i="5"/>
  <c r="S6" i="6" s="1"/>
  <c r="S5" i="6" s="1"/>
  <c r="U3" i="5"/>
  <c r="T4" i="5"/>
  <c r="T2" i="5"/>
  <c r="Q22" i="10" l="1"/>
  <c r="CT14" i="6"/>
  <c r="S40" i="5"/>
  <c r="S24" i="6"/>
  <c r="U14" i="5"/>
  <c r="U27" i="6" s="1"/>
  <c r="T21" i="5"/>
  <c r="T17" i="5"/>
  <c r="R18" i="10"/>
  <c r="T18" i="5"/>
  <c r="U37" i="5"/>
  <c r="T23" i="5"/>
  <c r="T20" i="5"/>
  <c r="T24" i="5"/>
  <c r="U30" i="5"/>
  <c r="T11" i="5"/>
  <c r="T22" i="5"/>
  <c r="T25" i="5"/>
  <c r="T19" i="5"/>
  <c r="U9" i="5"/>
  <c r="U18" i="5" s="1"/>
  <c r="T13" i="5"/>
  <c r="T15" i="5"/>
  <c r="S18" i="10" s="1"/>
  <c r="U36" i="5"/>
  <c r="T16" i="5"/>
  <c r="U38" i="5"/>
  <c r="T35" i="5"/>
  <c r="T6" i="6" s="1"/>
  <c r="T5" i="6" s="1"/>
  <c r="U4" i="5"/>
  <c r="V3" i="5"/>
  <c r="U2" i="5"/>
  <c r="S19" i="10" l="1"/>
  <c r="R22" i="10"/>
  <c r="CU14" i="6"/>
  <c r="S18" i="6"/>
  <c r="S17" i="6" s="1"/>
  <c r="T41" i="5"/>
  <c r="T42" i="5" s="1"/>
  <c r="S34" i="10" s="1"/>
  <c r="S33" i="10" s="1"/>
  <c r="V14" i="5"/>
  <c r="V27" i="6" s="1"/>
  <c r="V36" i="5"/>
  <c r="U21" i="5"/>
  <c r="T24" i="6"/>
  <c r="T23" i="6"/>
  <c r="U19" i="5"/>
  <c r="U17" i="5"/>
  <c r="U26" i="5"/>
  <c r="U13" i="5"/>
  <c r="U16" i="5"/>
  <c r="U15" i="5"/>
  <c r="V9" i="5"/>
  <c r="V20" i="5" s="1"/>
  <c r="U11" i="5"/>
  <c r="U22" i="5"/>
  <c r="V30" i="5"/>
  <c r="U23" i="5"/>
  <c r="U24" i="5"/>
  <c r="V37" i="5"/>
  <c r="V38" i="5"/>
  <c r="U20" i="5"/>
  <c r="U25" i="5"/>
  <c r="U35" i="5"/>
  <c r="U6" i="6" s="1"/>
  <c r="U5" i="6" s="1"/>
  <c r="V2" i="5"/>
  <c r="W3" i="5"/>
  <c r="V4" i="5"/>
  <c r="T18" i="10" l="1"/>
  <c r="T19" i="10"/>
  <c r="CV14" i="6"/>
  <c r="T40" i="5"/>
  <c r="W14" i="5"/>
  <c r="W27" i="6" s="1"/>
  <c r="V19" i="5"/>
  <c r="V15" i="5"/>
  <c r="V23" i="6" s="1"/>
  <c r="V11" i="5"/>
  <c r="V16" i="5"/>
  <c r="U24" i="6"/>
  <c r="U23" i="6"/>
  <c r="V21" i="5"/>
  <c r="V22" i="5"/>
  <c r="V23" i="5"/>
  <c r="W38" i="5"/>
  <c r="V13" i="5"/>
  <c r="W37" i="5"/>
  <c r="W9" i="5"/>
  <c r="W26" i="5" s="1"/>
  <c r="W30" i="5"/>
  <c r="V24" i="5"/>
  <c r="V17" i="5"/>
  <c r="V25" i="5"/>
  <c r="V18" i="5"/>
  <c r="V26" i="5"/>
  <c r="W36" i="5"/>
  <c r="V35" i="5"/>
  <c r="V6" i="6" s="1"/>
  <c r="V5" i="6" s="1"/>
  <c r="W4" i="5"/>
  <c r="X3" i="5"/>
  <c r="W2" i="5"/>
  <c r="S22" i="10" l="1"/>
  <c r="U18" i="10"/>
  <c r="U19" i="10"/>
  <c r="CW14" i="6"/>
  <c r="T18" i="6"/>
  <c r="T17" i="6" s="1"/>
  <c r="U41" i="5"/>
  <c r="U42" i="5" s="1"/>
  <c r="V24" i="6"/>
  <c r="V19" i="10" s="1"/>
  <c r="W21" i="5"/>
  <c r="W23" i="5"/>
  <c r="W11" i="5"/>
  <c r="W17" i="5"/>
  <c r="X37" i="5"/>
  <c r="X14" i="5"/>
  <c r="X27" i="6" s="1"/>
  <c r="W16" i="5"/>
  <c r="W22" i="5"/>
  <c r="W19" i="5"/>
  <c r="W15" i="5"/>
  <c r="V18" i="10" s="1"/>
  <c r="W25" i="5"/>
  <c r="W13" i="5"/>
  <c r="W24" i="5"/>
  <c r="W20" i="5"/>
  <c r="X36" i="5"/>
  <c r="X9" i="5"/>
  <c r="X21" i="5" s="1"/>
  <c r="X30" i="5"/>
  <c r="W18" i="5"/>
  <c r="X38" i="5"/>
  <c r="W35" i="5"/>
  <c r="W6" i="6" s="1"/>
  <c r="W5" i="6" s="1"/>
  <c r="Y3" i="5"/>
  <c r="X4" i="5"/>
  <c r="X2" i="5"/>
  <c r="T34" i="10" l="1"/>
  <c r="T33" i="10" s="1"/>
  <c r="CX14" i="6"/>
  <c r="U40" i="5"/>
  <c r="U18" i="6"/>
  <c r="U17" i="6" s="1"/>
  <c r="V41" i="5"/>
  <c r="V40" i="5" s="1"/>
  <c r="X11" i="5"/>
  <c r="X17" i="5"/>
  <c r="X25" i="5"/>
  <c r="Y14" i="5"/>
  <c r="Y27" i="6" s="1"/>
  <c r="X13" i="5"/>
  <c r="X20" i="5"/>
  <c r="X23" i="5"/>
  <c r="X16" i="5"/>
  <c r="X18" i="5"/>
  <c r="W23" i="6"/>
  <c r="W24" i="6"/>
  <c r="X24" i="5"/>
  <c r="X19" i="5"/>
  <c r="X26" i="5"/>
  <c r="Y38" i="5"/>
  <c r="Y9" i="5"/>
  <c r="Y20" i="5" s="1"/>
  <c r="Y36" i="5"/>
  <c r="Y30" i="5"/>
  <c r="X22" i="5"/>
  <c r="X15" i="5"/>
  <c r="Y37" i="5"/>
  <c r="X35" i="5"/>
  <c r="X6" i="6" s="1"/>
  <c r="X5" i="6" s="1"/>
  <c r="Z3" i="5"/>
  <c r="Y2" i="5"/>
  <c r="Y4" i="5"/>
  <c r="W18" i="10" l="1"/>
  <c r="U22" i="10"/>
  <c r="T22" i="10"/>
  <c r="W19" i="10"/>
  <c r="V42" i="5"/>
  <c r="CY14" i="6"/>
  <c r="Y24" i="5"/>
  <c r="Y25" i="5"/>
  <c r="Z14" i="5"/>
  <c r="Z27" i="6" s="1"/>
  <c r="Y26" i="5"/>
  <c r="Y23" i="5"/>
  <c r="Y11" i="5"/>
  <c r="Y17" i="5"/>
  <c r="Y13" i="5"/>
  <c r="Y21" i="5"/>
  <c r="Y15" i="5"/>
  <c r="Y23" i="6" s="1"/>
  <c r="Y16" i="5"/>
  <c r="Y18" i="5"/>
  <c r="Y19" i="5"/>
  <c r="X24" i="6"/>
  <c r="X23" i="6"/>
  <c r="Z37" i="5"/>
  <c r="Z36" i="5"/>
  <c r="Z30" i="5"/>
  <c r="Z9" i="5"/>
  <c r="Y22" i="5"/>
  <c r="Z38" i="5"/>
  <c r="Y35" i="5"/>
  <c r="Y6" i="6" s="1"/>
  <c r="Y5" i="6" s="1"/>
  <c r="AA3" i="5"/>
  <c r="Z4" i="5"/>
  <c r="Z2" i="5"/>
  <c r="X18" i="10" l="1"/>
  <c r="U34" i="10"/>
  <c r="U33" i="10" s="1"/>
  <c r="W41" i="5"/>
  <c r="W42" i="5" s="1"/>
  <c r="V18" i="6"/>
  <c r="V17" i="6" s="1"/>
  <c r="CZ14" i="6"/>
  <c r="AA14" i="5"/>
  <c r="AA27" i="6" s="1"/>
  <c r="Y24" i="6"/>
  <c r="X19" i="10"/>
  <c r="AA9" i="5"/>
  <c r="AA18" i="5" s="1"/>
  <c r="Z16" i="5"/>
  <c r="Z19" i="5"/>
  <c r="AA38" i="5"/>
  <c r="Z18" i="5"/>
  <c r="Z22" i="5"/>
  <c r="Z23" i="5"/>
  <c r="Z13" i="5"/>
  <c r="Z24" i="5"/>
  <c r="Z26" i="5"/>
  <c r="Z11" i="5"/>
  <c r="Z21" i="5"/>
  <c r="Z17" i="5"/>
  <c r="Z20" i="5"/>
  <c r="AA36" i="5"/>
  <c r="AA30" i="5"/>
  <c r="Z25" i="5"/>
  <c r="Z15" i="5"/>
  <c r="Y18" i="10" s="1"/>
  <c r="AA37" i="5"/>
  <c r="Z35" i="5"/>
  <c r="Z6" i="6" s="1"/>
  <c r="Z5" i="6" s="1"/>
  <c r="AA4" i="5"/>
  <c r="AA2" i="5"/>
  <c r="AB3" i="5"/>
  <c r="Y19" i="10" l="1"/>
  <c r="V34" i="10"/>
  <c r="V33" i="10" s="1"/>
  <c r="W40" i="5"/>
  <c r="W18" i="6"/>
  <c r="W17" i="6" s="1"/>
  <c r="X41" i="5"/>
  <c r="X42" i="5" s="1"/>
  <c r="Y41" i="5" s="1"/>
  <c r="Y42" i="5" s="1"/>
  <c r="DA14" i="6"/>
  <c r="AA20" i="5"/>
  <c r="AA17" i="5"/>
  <c r="AA23" i="5"/>
  <c r="AA24" i="5"/>
  <c r="AA21" i="5"/>
  <c r="AA26" i="5"/>
  <c r="AA25" i="5"/>
  <c r="AA22" i="5"/>
  <c r="AA11" i="5"/>
  <c r="AA13" i="5"/>
  <c r="AA15" i="5"/>
  <c r="AA23" i="6" s="1"/>
  <c r="AA19" i="5"/>
  <c r="AB14" i="5"/>
  <c r="AB27" i="6" s="1"/>
  <c r="AA16" i="5"/>
  <c r="Z24" i="6"/>
  <c r="Z19" i="10" s="1"/>
  <c r="Z23" i="6"/>
  <c r="Z18" i="10" s="1"/>
  <c r="AB36" i="5"/>
  <c r="AB30" i="5"/>
  <c r="AB38" i="5"/>
  <c r="AB37" i="5"/>
  <c r="AB9" i="5"/>
  <c r="AB18" i="5" s="1"/>
  <c r="AA35" i="5"/>
  <c r="AA6" i="6" s="1"/>
  <c r="AA5" i="6" s="1"/>
  <c r="AB4" i="5"/>
  <c r="AB2" i="5"/>
  <c r="AC3" i="5"/>
  <c r="V22" i="10" l="1"/>
  <c r="W34" i="10"/>
  <c r="W33" i="10" s="1"/>
  <c r="X40" i="5"/>
  <c r="X18" i="6"/>
  <c r="X17" i="6" s="1"/>
  <c r="X34" i="10"/>
  <c r="X33" i="10" s="1"/>
  <c r="DB14" i="6"/>
  <c r="Y40" i="5"/>
  <c r="AA24" i="6"/>
  <c r="AC14" i="5"/>
  <c r="AC27" i="6" s="1"/>
  <c r="AB13" i="5"/>
  <c r="AC9" i="5"/>
  <c r="AC23" i="5" s="1"/>
  <c r="AB19" i="5"/>
  <c r="AB22" i="5"/>
  <c r="AB23" i="5"/>
  <c r="AC37" i="5"/>
  <c r="AB21" i="5"/>
  <c r="AB24" i="5"/>
  <c r="AC38" i="5"/>
  <c r="AB20" i="5"/>
  <c r="AB25" i="5"/>
  <c r="AB15" i="5"/>
  <c r="AA18" i="10" s="1"/>
  <c r="AB26" i="5"/>
  <c r="AC30" i="5"/>
  <c r="AB16" i="5"/>
  <c r="AB11" i="5"/>
  <c r="AB17" i="5"/>
  <c r="AC36" i="5"/>
  <c r="AB35" i="5"/>
  <c r="AB6" i="6" s="1"/>
  <c r="AB5" i="6" s="1"/>
  <c r="AC2" i="5"/>
  <c r="AC4" i="5"/>
  <c r="AD3" i="5"/>
  <c r="X22" i="10" l="1"/>
  <c r="AA19" i="10"/>
  <c r="W22" i="10"/>
  <c r="DC14" i="6"/>
  <c r="Y18" i="6"/>
  <c r="Y17" i="6" s="1"/>
  <c r="Z41" i="5"/>
  <c r="Z42" i="5" s="1"/>
  <c r="Y34" i="10" s="1"/>
  <c r="Y33" i="10" s="1"/>
  <c r="AC18" i="5"/>
  <c r="AC13" i="5"/>
  <c r="AC15" i="5"/>
  <c r="AC23" i="6" s="1"/>
  <c r="AC21" i="5"/>
  <c r="AC20" i="5"/>
  <c r="AC16" i="5"/>
  <c r="AC17" i="5"/>
  <c r="AD14" i="5"/>
  <c r="AD27" i="6" s="1"/>
  <c r="AC19" i="5"/>
  <c r="AC25" i="5"/>
  <c r="AC11" i="5"/>
  <c r="AC26" i="5"/>
  <c r="AC22" i="5"/>
  <c r="AC24" i="5"/>
  <c r="AB24" i="6"/>
  <c r="AB19" i="10" s="1"/>
  <c r="AB23" i="6"/>
  <c r="AD37" i="5"/>
  <c r="AD30" i="5"/>
  <c r="AD36" i="5"/>
  <c r="AD38" i="5"/>
  <c r="AD9" i="5"/>
  <c r="AD22" i="5" s="1"/>
  <c r="AC35" i="5"/>
  <c r="AC6" i="6" s="1"/>
  <c r="AC5" i="6" s="1"/>
  <c r="AE3" i="5"/>
  <c r="AD2" i="5"/>
  <c r="AD4" i="5"/>
  <c r="DD14" i="6" l="1"/>
  <c r="Z40" i="5"/>
  <c r="AC24" i="6"/>
  <c r="AE14" i="5"/>
  <c r="AE27" i="6" s="1"/>
  <c r="AD21" i="5"/>
  <c r="AB18" i="10"/>
  <c r="AD13" i="5"/>
  <c r="AE9" i="5"/>
  <c r="AE16" i="5" s="1"/>
  <c r="AD23" i="5"/>
  <c r="AD15" i="5"/>
  <c r="AC18" i="10" s="1"/>
  <c r="AD16" i="5"/>
  <c r="AD24" i="5"/>
  <c r="AE30" i="5"/>
  <c r="AE36" i="5"/>
  <c r="AD17" i="5"/>
  <c r="AD25" i="5"/>
  <c r="AD18" i="5"/>
  <c r="AD26" i="5"/>
  <c r="AD11" i="5"/>
  <c r="AD19" i="5"/>
  <c r="AE38" i="5"/>
  <c r="AD20" i="5"/>
  <c r="AE37" i="5"/>
  <c r="AD35" i="5"/>
  <c r="AD6" i="6" s="1"/>
  <c r="AD5" i="6" s="1"/>
  <c r="AE2" i="5"/>
  <c r="AE4" i="5"/>
  <c r="AF3" i="5"/>
  <c r="AC19" i="10" l="1"/>
  <c r="Y22" i="10"/>
  <c r="DE14" i="6"/>
  <c r="Z18" i="6"/>
  <c r="Z17" i="6" s="1"/>
  <c r="AA41" i="5"/>
  <c r="AA42" i="5" s="1"/>
  <c r="Z34" i="10" s="1"/>
  <c r="Z33" i="10" s="1"/>
  <c r="AF14" i="5"/>
  <c r="AF27" i="6" s="1"/>
  <c r="AE13" i="5"/>
  <c r="AE21" i="5"/>
  <c r="AE24" i="5"/>
  <c r="AE17" i="5"/>
  <c r="AD24" i="6"/>
  <c r="AD23" i="6"/>
  <c r="AE18" i="5"/>
  <c r="AE20" i="5"/>
  <c r="AE11" i="5"/>
  <c r="AE19" i="5"/>
  <c r="AE26" i="5"/>
  <c r="AE23" i="5"/>
  <c r="AE25" i="5"/>
  <c r="AE15" i="5"/>
  <c r="AF38" i="5"/>
  <c r="AF37" i="5"/>
  <c r="AF30" i="5"/>
  <c r="AF9" i="5"/>
  <c r="AF36" i="5"/>
  <c r="AE22" i="5"/>
  <c r="AE35" i="5"/>
  <c r="AE6" i="6" s="1"/>
  <c r="AE5" i="6" s="1"/>
  <c r="AG3" i="5"/>
  <c r="AF2" i="5"/>
  <c r="AF4" i="5"/>
  <c r="AD18" i="10" l="1"/>
  <c r="AD19" i="10"/>
  <c r="DF14" i="6"/>
  <c r="AA40" i="5"/>
  <c r="AA18" i="6"/>
  <c r="AA17" i="6" s="1"/>
  <c r="AG14" i="5"/>
  <c r="AG27" i="6" s="1"/>
  <c r="AG9" i="5"/>
  <c r="AG20" i="5" s="1"/>
  <c r="AE23" i="6"/>
  <c r="AE24" i="6"/>
  <c r="AF15" i="5"/>
  <c r="AF24" i="5"/>
  <c r="AG36" i="5"/>
  <c r="AF17" i="5"/>
  <c r="AF19" i="5"/>
  <c r="AF20" i="5"/>
  <c r="AF22" i="5"/>
  <c r="AF23" i="5"/>
  <c r="AF16" i="5"/>
  <c r="AF26" i="5"/>
  <c r="AF25" i="5"/>
  <c r="AF11" i="5"/>
  <c r="AF13" i="5"/>
  <c r="AG37" i="5"/>
  <c r="AG30" i="5"/>
  <c r="AF18" i="5"/>
  <c r="AF21" i="5"/>
  <c r="AG38" i="5"/>
  <c r="AF35" i="5"/>
  <c r="AF6" i="6" s="1"/>
  <c r="AF5" i="6" s="1"/>
  <c r="AH3" i="5"/>
  <c r="AG2" i="5"/>
  <c r="AG4" i="5"/>
  <c r="Z22" i="10" l="1"/>
  <c r="AE19" i="10"/>
  <c r="AE18" i="10"/>
  <c r="DG14" i="6"/>
  <c r="AB41" i="5"/>
  <c r="AB42" i="5" s="1"/>
  <c r="AA34" i="10" s="1"/>
  <c r="AA33" i="10" s="1"/>
  <c r="AG15" i="5"/>
  <c r="AG23" i="6" s="1"/>
  <c r="AG21" i="5"/>
  <c r="AG18" i="5"/>
  <c r="AG22" i="5"/>
  <c r="AG11" i="5"/>
  <c r="AG23" i="5"/>
  <c r="AG16" i="5"/>
  <c r="AG24" i="5"/>
  <c r="AG13" i="5"/>
  <c r="AG25" i="5"/>
  <c r="AG17" i="5"/>
  <c r="AG26" i="5"/>
  <c r="AG19" i="5"/>
  <c r="AF24" i="6"/>
  <c r="AF23" i="6"/>
  <c r="AH9" i="5"/>
  <c r="AH26" i="5" s="1"/>
  <c r="AH14" i="5"/>
  <c r="AH27" i="6" s="1"/>
  <c r="AH37" i="5"/>
  <c r="AH30" i="5"/>
  <c r="AH38" i="5"/>
  <c r="AH36" i="5"/>
  <c r="AG35" i="5"/>
  <c r="AG6" i="6" s="1"/>
  <c r="AG5" i="6" s="1"/>
  <c r="AH2" i="5"/>
  <c r="AI3" i="5"/>
  <c r="AH4" i="5"/>
  <c r="DH14" i="6" l="1"/>
  <c r="AG24" i="6"/>
  <c r="AB40" i="5"/>
  <c r="AI14" i="5"/>
  <c r="AI27" i="6" s="1"/>
  <c r="AH18" i="5"/>
  <c r="AH13" i="5"/>
  <c r="AH11" i="5"/>
  <c r="AH21" i="5"/>
  <c r="AH17" i="5"/>
  <c r="AH24" i="5"/>
  <c r="AH15" i="5"/>
  <c r="AH23" i="6" s="1"/>
  <c r="AH19" i="5"/>
  <c r="AH20" i="5"/>
  <c r="AH22" i="5"/>
  <c r="AH23" i="5"/>
  <c r="AH16" i="5"/>
  <c r="AH25" i="5"/>
  <c r="AF19" i="10"/>
  <c r="AF18" i="10"/>
  <c r="AI36" i="5"/>
  <c r="AI38" i="5"/>
  <c r="AI37" i="5"/>
  <c r="AI30" i="5"/>
  <c r="AI9" i="5"/>
  <c r="AI13" i="5" s="1"/>
  <c r="AH35" i="5"/>
  <c r="AH6" i="6" s="1"/>
  <c r="AH5" i="6" s="1"/>
  <c r="AI2" i="5"/>
  <c r="AJ3" i="5"/>
  <c r="AI4" i="5"/>
  <c r="AG18" i="10" l="1"/>
  <c r="AA22" i="10"/>
  <c r="AG19" i="10"/>
  <c r="DI14" i="6"/>
  <c r="AB18" i="6"/>
  <c r="AB17" i="6" s="1"/>
  <c r="AC41" i="5"/>
  <c r="AC42" i="5" s="1"/>
  <c r="AB34" i="10" s="1"/>
  <c r="AB33" i="10" s="1"/>
  <c r="AH24" i="6"/>
  <c r="AI11" i="5"/>
  <c r="AI22" i="5"/>
  <c r="AJ36" i="5"/>
  <c r="AJ14" i="5"/>
  <c r="AJ27" i="6" s="1"/>
  <c r="AJ9" i="5"/>
  <c r="AJ26" i="5" s="1"/>
  <c r="AI25" i="5"/>
  <c r="AI21" i="5"/>
  <c r="AI17" i="5"/>
  <c r="AI18" i="5"/>
  <c r="AI24" i="5"/>
  <c r="AJ37" i="5"/>
  <c r="AI16" i="5"/>
  <c r="AI15" i="5"/>
  <c r="AH18" i="10" s="1"/>
  <c r="AI23" i="5"/>
  <c r="AI26" i="5"/>
  <c r="AJ30" i="5"/>
  <c r="AI20" i="5"/>
  <c r="AI19" i="5"/>
  <c r="AJ38" i="5"/>
  <c r="AI35" i="5"/>
  <c r="AI6" i="6" s="1"/>
  <c r="AI5" i="6" s="1"/>
  <c r="AK3" i="5"/>
  <c r="AJ2" i="5"/>
  <c r="AJ4" i="5"/>
  <c r="AH19" i="10" l="1"/>
  <c r="AC40" i="5"/>
  <c r="AJ13" i="5"/>
  <c r="AJ20" i="5"/>
  <c r="AJ19" i="5"/>
  <c r="AJ11" i="5"/>
  <c r="AJ21" i="5"/>
  <c r="AJ15" i="5"/>
  <c r="AJ23" i="6" s="1"/>
  <c r="AJ16" i="5"/>
  <c r="AJ25" i="5"/>
  <c r="AJ17" i="5"/>
  <c r="AJ18" i="5"/>
  <c r="AJ23" i="5"/>
  <c r="AJ22" i="5"/>
  <c r="AJ24" i="5"/>
  <c r="AI23" i="6"/>
  <c r="AI24" i="6"/>
  <c r="AK9" i="5"/>
  <c r="AK18" i="5" s="1"/>
  <c r="AK14" i="5"/>
  <c r="AK27" i="6" s="1"/>
  <c r="AK30" i="5"/>
  <c r="AK38" i="5"/>
  <c r="AK37" i="5"/>
  <c r="AK36" i="5"/>
  <c r="AJ35" i="5"/>
  <c r="AJ6" i="6" s="1"/>
  <c r="AJ5" i="6" s="1"/>
  <c r="AK2" i="5"/>
  <c r="AK4" i="5"/>
  <c r="AL3" i="5"/>
  <c r="AB22" i="10" l="1"/>
  <c r="AD41" i="5"/>
  <c r="AD42" i="5" s="1"/>
  <c r="AC34" i="10" s="1"/>
  <c r="AC33" i="10" s="1"/>
  <c r="AC18" i="6"/>
  <c r="AC17" i="6" s="1"/>
  <c r="AL14" i="5"/>
  <c r="AL27" i="6" s="1"/>
  <c r="AJ24" i="6"/>
  <c r="AK20" i="5"/>
  <c r="AK22" i="5"/>
  <c r="AK23" i="5"/>
  <c r="AK13" i="5"/>
  <c r="AK19" i="5"/>
  <c r="AK11" i="5"/>
  <c r="AK24" i="5"/>
  <c r="AK15" i="5"/>
  <c r="AK24" i="6" s="1"/>
  <c r="AK25" i="5"/>
  <c r="AK21" i="5"/>
  <c r="AI19" i="10"/>
  <c r="AK16" i="5"/>
  <c r="AI18" i="10"/>
  <c r="AK17" i="5"/>
  <c r="AL37" i="5"/>
  <c r="AK26" i="5"/>
  <c r="AL38" i="5"/>
  <c r="AL36" i="5"/>
  <c r="AL30" i="5"/>
  <c r="AL9" i="5"/>
  <c r="AK35" i="5"/>
  <c r="AK6" i="6" s="1"/>
  <c r="AK5" i="6" s="1"/>
  <c r="AL4" i="5"/>
  <c r="AM3" i="5"/>
  <c r="AL2" i="5"/>
  <c r="AJ18" i="10" l="1"/>
  <c r="AJ19" i="10"/>
  <c r="AD18" i="6"/>
  <c r="AD17" i="6" s="1"/>
  <c r="AD40" i="5"/>
  <c r="AE41" i="5"/>
  <c r="AE40" i="5" s="1"/>
  <c r="AK23" i="6"/>
  <c r="AK18" i="10" s="1"/>
  <c r="AM37" i="5"/>
  <c r="AM14" i="5"/>
  <c r="AM27" i="6" s="1"/>
  <c r="AM9" i="5"/>
  <c r="AM26" i="5" s="1"/>
  <c r="AL16" i="5"/>
  <c r="AL15" i="5"/>
  <c r="AK19" i="10" s="1"/>
  <c r="AL23" i="5"/>
  <c r="AL18" i="5"/>
  <c r="AL26" i="5"/>
  <c r="AL25" i="5"/>
  <c r="AL19" i="5"/>
  <c r="AL24" i="5"/>
  <c r="AL20" i="5"/>
  <c r="AM38" i="5"/>
  <c r="AL17" i="5"/>
  <c r="AL11" i="5"/>
  <c r="AL21" i="5"/>
  <c r="AM30" i="5"/>
  <c r="AL13" i="5"/>
  <c r="AL22" i="5"/>
  <c r="AM36" i="5"/>
  <c r="AL35" i="5"/>
  <c r="AL6" i="6" s="1"/>
  <c r="AL5" i="6" s="1"/>
  <c r="AN3" i="5"/>
  <c r="AM4" i="5"/>
  <c r="AM2" i="5"/>
  <c r="AD22" i="10" l="1"/>
  <c r="AC22" i="10"/>
  <c r="AE42" i="5"/>
  <c r="AN14" i="5"/>
  <c r="AN27" i="6" s="1"/>
  <c r="AM15" i="5"/>
  <c r="AM23" i="6" s="1"/>
  <c r="AM16" i="5"/>
  <c r="AM17" i="5"/>
  <c r="AM18" i="5"/>
  <c r="AM21" i="5"/>
  <c r="AM20" i="5"/>
  <c r="AM23" i="5"/>
  <c r="AM11" i="5"/>
  <c r="AM19" i="5"/>
  <c r="AM22" i="5"/>
  <c r="AM13" i="5"/>
  <c r="AM25" i="5"/>
  <c r="AM24" i="5"/>
  <c r="AL24" i="6"/>
  <c r="AL23" i="6"/>
  <c r="AN30" i="5"/>
  <c r="AN38" i="5"/>
  <c r="AN9" i="5"/>
  <c r="AN20" i="5" s="1"/>
  <c r="AN36" i="5"/>
  <c r="AN37" i="5"/>
  <c r="AM35" i="5"/>
  <c r="AM6" i="6" s="1"/>
  <c r="AM5" i="6" s="1"/>
  <c r="AO3" i="5"/>
  <c r="AN2" i="5"/>
  <c r="AN4" i="5"/>
  <c r="AL19" i="10" l="1"/>
  <c r="AD34" i="10"/>
  <c r="AD33" i="10" s="1"/>
  <c r="AF41" i="5"/>
  <c r="AF42" i="5" s="1"/>
  <c r="AE18" i="6"/>
  <c r="AE17" i="6" s="1"/>
  <c r="AM24" i="6"/>
  <c r="AO14" i="5"/>
  <c r="AO27" i="6" s="1"/>
  <c r="AL18" i="10"/>
  <c r="AN16" i="5"/>
  <c r="AN18" i="5"/>
  <c r="AN17" i="5"/>
  <c r="AN11" i="5"/>
  <c r="AO30" i="5"/>
  <c r="AN21" i="5"/>
  <c r="AO36" i="5"/>
  <c r="AO37" i="5"/>
  <c r="AO9" i="5"/>
  <c r="AN22" i="5"/>
  <c r="AO38" i="5"/>
  <c r="AN13" i="5"/>
  <c r="AN24" i="5"/>
  <c r="AN15" i="5"/>
  <c r="AM18" i="10" s="1"/>
  <c r="AN26" i="5"/>
  <c r="AN23" i="5"/>
  <c r="AN25" i="5"/>
  <c r="AN19" i="5"/>
  <c r="AN35" i="5"/>
  <c r="AN6" i="6" s="1"/>
  <c r="AN5" i="6" s="1"/>
  <c r="AO2" i="5"/>
  <c r="AO4" i="5"/>
  <c r="AP3" i="5"/>
  <c r="AM19" i="10" l="1"/>
  <c r="AE34" i="10"/>
  <c r="AE33" i="10" s="1"/>
  <c r="AF40" i="5"/>
  <c r="AG41" i="5"/>
  <c r="AG42" i="5" s="1"/>
  <c r="AF18" i="6"/>
  <c r="AF17" i="6" s="1"/>
  <c r="AP14" i="5"/>
  <c r="AP27" i="6" s="1"/>
  <c r="AN24" i="6"/>
  <c r="AN19" i="10" s="1"/>
  <c r="AN23" i="6"/>
  <c r="AP9" i="5"/>
  <c r="AP20" i="5" s="1"/>
  <c r="AP37" i="5"/>
  <c r="AO21" i="5"/>
  <c r="AO20" i="5"/>
  <c r="AO17" i="5"/>
  <c r="AO13" i="5"/>
  <c r="AO23" i="5"/>
  <c r="AP36" i="5"/>
  <c r="AO15" i="5"/>
  <c r="AO24" i="5"/>
  <c r="AO16" i="5"/>
  <c r="AO25" i="5"/>
  <c r="AO22" i="5"/>
  <c r="AO18" i="5"/>
  <c r="AO26" i="5"/>
  <c r="AO11" i="5"/>
  <c r="AP30" i="5"/>
  <c r="AP38" i="5"/>
  <c r="AO19" i="5"/>
  <c r="AO35" i="5"/>
  <c r="AO6" i="6" s="1"/>
  <c r="AO5" i="6" s="1"/>
  <c r="AP4" i="5"/>
  <c r="AP2" i="5"/>
  <c r="AQ3" i="5"/>
  <c r="AE22" i="10" l="1"/>
  <c r="AF34" i="10"/>
  <c r="AF33" i="10" s="1"/>
  <c r="AN18" i="10"/>
  <c r="AG40" i="5"/>
  <c r="AG18" i="6"/>
  <c r="AG17" i="6" s="1"/>
  <c r="AH41" i="5"/>
  <c r="AH40" i="5" s="1"/>
  <c r="AP15" i="5"/>
  <c r="AP23" i="6" s="1"/>
  <c r="AP13" i="5"/>
  <c r="AP23" i="5"/>
  <c r="AP17" i="5"/>
  <c r="AP19" i="5"/>
  <c r="AP26" i="5"/>
  <c r="AP22" i="5"/>
  <c r="AP16" i="5"/>
  <c r="AP18" i="5"/>
  <c r="AP24" i="5"/>
  <c r="AQ37" i="5"/>
  <c r="AP11" i="5"/>
  <c r="AP25" i="5"/>
  <c r="AP21" i="5"/>
  <c r="AO23" i="6"/>
  <c r="AO24" i="6"/>
  <c r="AQ38" i="5"/>
  <c r="AQ9" i="5"/>
  <c r="AQ16" i="5" s="1"/>
  <c r="AQ14" i="5"/>
  <c r="AQ27" i="6" s="1"/>
  <c r="AQ36" i="5"/>
  <c r="AQ30" i="5"/>
  <c r="AP35" i="5"/>
  <c r="AP6" i="6" s="1"/>
  <c r="AP5" i="6" s="1"/>
  <c r="AQ4" i="5"/>
  <c r="AQ2" i="5"/>
  <c r="AR3" i="5"/>
  <c r="AO18" i="10" l="1"/>
  <c r="AG22" i="10"/>
  <c r="AF22" i="10"/>
  <c r="AP24" i="6"/>
  <c r="AH42" i="5"/>
  <c r="AO19" i="10"/>
  <c r="AQ25" i="5"/>
  <c r="AQ13" i="5"/>
  <c r="AQ18" i="5"/>
  <c r="AQ20" i="5"/>
  <c r="AQ15" i="5"/>
  <c r="AQ21" i="5"/>
  <c r="AQ23" i="5"/>
  <c r="AQ17" i="5"/>
  <c r="AQ11" i="5"/>
  <c r="AQ24" i="5"/>
  <c r="AQ26" i="5"/>
  <c r="AQ19" i="5"/>
  <c r="AR38" i="5"/>
  <c r="AR14" i="5"/>
  <c r="AR27" i="6" s="1"/>
  <c r="AQ22" i="5"/>
  <c r="AP18" i="10"/>
  <c r="AR37" i="5"/>
  <c r="AR36" i="5"/>
  <c r="AR30" i="5"/>
  <c r="AR9" i="5"/>
  <c r="AQ35" i="5"/>
  <c r="AQ6" i="6" s="1"/>
  <c r="AQ5" i="6" s="1"/>
  <c r="AR2" i="5"/>
  <c r="AR4" i="5"/>
  <c r="AS3" i="5"/>
  <c r="AH18" i="6" l="1"/>
  <c r="AH17" i="6" s="1"/>
  <c r="AG34" i="10"/>
  <c r="AG33" i="10" s="1"/>
  <c r="AP19" i="10"/>
  <c r="AI41" i="5"/>
  <c r="AI40" i="5" s="1"/>
  <c r="AS14" i="5"/>
  <c r="AS27" i="6" s="1"/>
  <c r="AQ23" i="6"/>
  <c r="AQ24" i="6"/>
  <c r="AS9" i="5"/>
  <c r="AS26" i="5" s="1"/>
  <c r="AR20" i="5"/>
  <c r="AR23" i="5"/>
  <c r="AR11" i="5"/>
  <c r="AR24" i="5"/>
  <c r="AR19" i="5"/>
  <c r="AR25" i="5"/>
  <c r="AR22" i="5"/>
  <c r="AR26" i="5"/>
  <c r="AR21" i="5"/>
  <c r="AR15" i="5"/>
  <c r="AR16" i="5"/>
  <c r="AS36" i="5"/>
  <c r="AR17" i="5"/>
  <c r="AS37" i="5"/>
  <c r="AS30" i="5"/>
  <c r="AR13" i="5"/>
  <c r="AR18" i="5"/>
  <c r="AS38" i="5"/>
  <c r="AR35" i="5"/>
  <c r="AR6" i="6" s="1"/>
  <c r="AR5" i="6" s="1"/>
  <c r="AT3" i="5"/>
  <c r="AS4" i="5"/>
  <c r="AS2" i="5"/>
  <c r="AQ19" i="10" l="1"/>
  <c r="AQ18" i="10"/>
  <c r="AH22" i="10"/>
  <c r="AI42" i="5"/>
  <c r="AS15" i="5"/>
  <c r="AS24" i="6" s="1"/>
  <c r="AS11" i="5"/>
  <c r="AS18" i="5"/>
  <c r="AS24" i="5"/>
  <c r="AS21" i="5"/>
  <c r="AS22" i="5"/>
  <c r="AS13" i="5"/>
  <c r="AS23" i="5"/>
  <c r="AS19" i="5"/>
  <c r="AS25" i="5"/>
  <c r="AS20" i="5"/>
  <c r="AS17" i="5"/>
  <c r="AS16" i="5"/>
  <c r="AR24" i="6"/>
  <c r="AR23" i="6"/>
  <c r="AT9" i="5"/>
  <c r="AT26" i="5" s="1"/>
  <c r="AT14" i="5"/>
  <c r="AT27" i="6" s="1"/>
  <c r="AT37" i="5"/>
  <c r="AT36" i="5"/>
  <c r="AT38" i="5"/>
  <c r="AT30" i="5"/>
  <c r="AS35" i="5"/>
  <c r="AS6" i="6" s="1"/>
  <c r="AS5" i="6" s="1"/>
  <c r="AU3" i="5"/>
  <c r="AT2" i="5"/>
  <c r="AT4" i="5"/>
  <c r="AR19" i="10" l="1"/>
  <c r="AJ41" i="5"/>
  <c r="AJ40" i="5" s="1"/>
  <c r="AH34" i="10"/>
  <c r="AH33" i="10" s="1"/>
  <c r="AI18" i="6"/>
  <c r="AI17" i="6" s="1"/>
  <c r="AJ42" i="5"/>
  <c r="AS23" i="6"/>
  <c r="AU14" i="5"/>
  <c r="AU27" i="6" s="1"/>
  <c r="AR18" i="10"/>
  <c r="AT16" i="5"/>
  <c r="AT20" i="5"/>
  <c r="AT22" i="5"/>
  <c r="AT21" i="5"/>
  <c r="AT25" i="5"/>
  <c r="AT11" i="5"/>
  <c r="AT13" i="5"/>
  <c r="AT15" i="5"/>
  <c r="AT23" i="6" s="1"/>
  <c r="AT17" i="5"/>
  <c r="AT19" i="5"/>
  <c r="AT23" i="5"/>
  <c r="AT24" i="5"/>
  <c r="AT18" i="5"/>
  <c r="AU30" i="5"/>
  <c r="AU38" i="5"/>
  <c r="AU36" i="5"/>
  <c r="AU37" i="5"/>
  <c r="AU9" i="5"/>
  <c r="AU18" i="5" s="1"/>
  <c r="AT35" i="5"/>
  <c r="AT6" i="6" s="1"/>
  <c r="AT5" i="6" s="1"/>
  <c r="AV3" i="5"/>
  <c r="AU4" i="5"/>
  <c r="AU2" i="5"/>
  <c r="AS19" i="10" l="1"/>
  <c r="AS18" i="10"/>
  <c r="AI34" i="10"/>
  <c r="AI33" i="10" s="1"/>
  <c r="AI22" i="10"/>
  <c r="AJ18" i="6"/>
  <c r="AJ17" i="6" s="1"/>
  <c r="AK41" i="5"/>
  <c r="AK42" i="5" s="1"/>
  <c r="AU11" i="5"/>
  <c r="AV14" i="5"/>
  <c r="AV27" i="6" s="1"/>
  <c r="AT24" i="6"/>
  <c r="AU15" i="5"/>
  <c r="AT18" i="10" s="1"/>
  <c r="AU20" i="5"/>
  <c r="AU16" i="5"/>
  <c r="AU24" i="5"/>
  <c r="AU17" i="5"/>
  <c r="AV9" i="5"/>
  <c r="AU22" i="5"/>
  <c r="AV36" i="5"/>
  <c r="AV38" i="5"/>
  <c r="AU13" i="5"/>
  <c r="AU21" i="5"/>
  <c r="AV30" i="5"/>
  <c r="AU26" i="5"/>
  <c r="AU23" i="5"/>
  <c r="AV37" i="5"/>
  <c r="AU19" i="5"/>
  <c r="AU25" i="5"/>
  <c r="AU35" i="5"/>
  <c r="AU6" i="6" s="1"/>
  <c r="AU5" i="6" s="1"/>
  <c r="AV4" i="5"/>
  <c r="AV2" i="5"/>
  <c r="AW3" i="5"/>
  <c r="AT19" i="10" l="1"/>
  <c r="AJ34" i="10"/>
  <c r="AJ33" i="10" s="1"/>
  <c r="AK40" i="5"/>
  <c r="AL41" i="5"/>
  <c r="AK18" i="6"/>
  <c r="AK17" i="6" s="1"/>
  <c r="AV21" i="5"/>
  <c r="AW14" i="5"/>
  <c r="AW27" i="6" s="1"/>
  <c r="AU23" i="6"/>
  <c r="AU24" i="6"/>
  <c r="AV18" i="5"/>
  <c r="AV24" i="5"/>
  <c r="AV25" i="5"/>
  <c r="AV15" i="5"/>
  <c r="AV20" i="5"/>
  <c r="AV22" i="5"/>
  <c r="AV23" i="5"/>
  <c r="AV13" i="5"/>
  <c r="AV11" i="5"/>
  <c r="AW9" i="5"/>
  <c r="AW19" i="5" s="1"/>
  <c r="AW30" i="5"/>
  <c r="AV26" i="5"/>
  <c r="AV16" i="5"/>
  <c r="AW38" i="5"/>
  <c r="AW37" i="5"/>
  <c r="AV19" i="5"/>
  <c r="AV17" i="5"/>
  <c r="AW36" i="5"/>
  <c r="AV35" i="5"/>
  <c r="AV6" i="6" s="1"/>
  <c r="AV5" i="6" s="1"/>
  <c r="AW4" i="5"/>
  <c r="AW2" i="5"/>
  <c r="AX3" i="5"/>
  <c r="AJ22" i="10" l="1"/>
  <c r="AU19" i="10"/>
  <c r="AU18" i="10"/>
  <c r="AL40" i="5"/>
  <c r="AL42" i="5"/>
  <c r="AK34" i="10" s="1"/>
  <c r="AK33" i="10" s="1"/>
  <c r="AX14" i="5"/>
  <c r="AX27" i="6" s="1"/>
  <c r="AV24" i="6"/>
  <c r="AV19" i="10" s="1"/>
  <c r="AV23" i="6"/>
  <c r="AW16" i="5"/>
  <c r="AW21" i="5"/>
  <c r="AW11" i="5"/>
  <c r="AW22" i="5"/>
  <c r="AW18" i="5"/>
  <c r="AW23" i="5"/>
  <c r="AW13" i="5"/>
  <c r="AW24" i="5"/>
  <c r="AW17" i="5"/>
  <c r="AW25" i="5"/>
  <c r="AW20" i="5"/>
  <c r="AW15" i="5"/>
  <c r="AW26" i="5"/>
  <c r="AX37" i="5"/>
  <c r="AX38" i="5"/>
  <c r="AX30" i="5"/>
  <c r="AX36" i="5"/>
  <c r="AX9" i="5"/>
  <c r="AX20" i="5" s="1"/>
  <c r="AW35" i="5"/>
  <c r="AW6" i="6" s="1"/>
  <c r="AW5" i="6" s="1"/>
  <c r="AY3" i="5"/>
  <c r="AX4" i="5"/>
  <c r="AX2" i="5"/>
  <c r="AV18" i="10" l="1"/>
  <c r="AK22" i="10"/>
  <c r="AM41" i="5"/>
  <c r="AL18" i="6"/>
  <c r="AL17" i="6" s="1"/>
  <c r="AY14" i="5"/>
  <c r="AY27" i="6" s="1"/>
  <c r="AW23" i="6"/>
  <c r="AW24" i="6"/>
  <c r="AX19" i="5"/>
  <c r="AY30" i="5"/>
  <c r="AX22" i="5"/>
  <c r="AX11" i="5"/>
  <c r="AX21" i="5"/>
  <c r="AY36" i="5"/>
  <c r="AX18" i="5"/>
  <c r="AX23" i="5"/>
  <c r="AX25" i="5"/>
  <c r="AX15" i="5"/>
  <c r="AX24" i="5"/>
  <c r="AY9" i="5"/>
  <c r="AX16" i="5"/>
  <c r="AX17" i="5"/>
  <c r="AY38" i="5"/>
  <c r="AX13" i="5"/>
  <c r="AX26" i="5"/>
  <c r="AY37" i="5"/>
  <c r="AX35" i="5"/>
  <c r="AX6" i="6" s="1"/>
  <c r="AX5" i="6" s="1"/>
  <c r="AY4" i="5"/>
  <c r="AZ3" i="5"/>
  <c r="AY2" i="5"/>
  <c r="AW18" i="10" l="1"/>
  <c r="AW19" i="10"/>
  <c r="AM42" i="5"/>
  <c r="AM40" i="5"/>
  <c r="AZ14" i="5"/>
  <c r="AZ27" i="6" s="1"/>
  <c r="AX24" i="6"/>
  <c r="AX19" i="10" s="1"/>
  <c r="AX23" i="6"/>
  <c r="AX18" i="10" s="1"/>
  <c r="AZ9" i="5"/>
  <c r="AZ26" i="5" s="1"/>
  <c r="AY22" i="5"/>
  <c r="AY15" i="5"/>
  <c r="AZ36" i="5"/>
  <c r="AY24" i="5"/>
  <c r="AY21" i="5"/>
  <c r="AY13" i="5"/>
  <c r="AY23" i="5"/>
  <c r="AY26" i="5"/>
  <c r="AY11" i="5"/>
  <c r="AY25" i="5"/>
  <c r="AY18" i="5"/>
  <c r="AY20" i="5"/>
  <c r="BA3" i="5"/>
  <c r="AZ30" i="5"/>
  <c r="AY19" i="5"/>
  <c r="AZ37" i="5"/>
  <c r="AZ38" i="5"/>
  <c r="AY16" i="5"/>
  <c r="AY17" i="5"/>
  <c r="AY35" i="5"/>
  <c r="AY6" i="6" s="1"/>
  <c r="AY5" i="6" s="1"/>
  <c r="AZ4" i="5"/>
  <c r="AZ2" i="5"/>
  <c r="AL22" i="10" l="1"/>
  <c r="AL34" i="10"/>
  <c r="AL33" i="10" s="1"/>
  <c r="AN41" i="5"/>
  <c r="AM18" i="6"/>
  <c r="AM17" i="6" s="1"/>
  <c r="BA4" i="5"/>
  <c r="AZ21" i="5"/>
  <c r="AZ22" i="5"/>
  <c r="AZ13" i="5"/>
  <c r="AZ11" i="5"/>
  <c r="AZ20" i="5"/>
  <c r="AZ19" i="5"/>
  <c r="AZ15" i="5"/>
  <c r="AZ23" i="6" s="1"/>
  <c r="BB3" i="5"/>
  <c r="BA38" i="5"/>
  <c r="BA37" i="5"/>
  <c r="AZ16" i="5"/>
  <c r="AZ17" i="5"/>
  <c r="AZ18" i="5"/>
  <c r="AZ23" i="5"/>
  <c r="AZ24" i="5"/>
  <c r="AZ25" i="5"/>
  <c r="BA14" i="5"/>
  <c r="BA27" i="6" s="1"/>
  <c r="AY23" i="6"/>
  <c r="AY24" i="6"/>
  <c r="BA30" i="5"/>
  <c r="BA36" i="5"/>
  <c r="BA9" i="5"/>
  <c r="BA2" i="5"/>
  <c r="AZ35" i="5"/>
  <c r="AZ6" i="6" s="1"/>
  <c r="AZ5" i="6" s="1"/>
  <c r="AY19" i="10" l="1"/>
  <c r="AZ24" i="6"/>
  <c r="AN42" i="5"/>
  <c r="AN40" i="5"/>
  <c r="BB14" i="5"/>
  <c r="BB27" i="6" s="1"/>
  <c r="BB9" i="5"/>
  <c r="BB26" i="5" s="1"/>
  <c r="BC3" i="5"/>
  <c r="BD3" i="5" s="1"/>
  <c r="BB4" i="5"/>
  <c r="BB36" i="5"/>
  <c r="BB37" i="5"/>
  <c r="BB38" i="5"/>
  <c r="BB2" i="5"/>
  <c r="BA15" i="5"/>
  <c r="BA24" i="6" s="1"/>
  <c r="BB30" i="5"/>
  <c r="AY18" i="10"/>
  <c r="BA20" i="5"/>
  <c r="BA17" i="5"/>
  <c r="BA18" i="5"/>
  <c r="BA21" i="5"/>
  <c r="BA22" i="5"/>
  <c r="BA11" i="5"/>
  <c r="BA23" i="5"/>
  <c r="BA24" i="5"/>
  <c r="BA25" i="5"/>
  <c r="BA19" i="5"/>
  <c r="BA26" i="5"/>
  <c r="BA13" i="5"/>
  <c r="BA16" i="5"/>
  <c r="BA35" i="5"/>
  <c r="BA6" i="6" s="1"/>
  <c r="BA5" i="6" s="1"/>
  <c r="AZ18" i="10" l="1"/>
  <c r="AM22" i="10"/>
  <c r="AM34" i="10"/>
  <c r="AM33" i="10" s="1"/>
  <c r="AZ19" i="10"/>
  <c r="BB16" i="5"/>
  <c r="BC14" i="5"/>
  <c r="BC27" i="6" s="1"/>
  <c r="BB25" i="5"/>
  <c r="BB20" i="5"/>
  <c r="AO41" i="5"/>
  <c r="BB19" i="5"/>
  <c r="AN18" i="6"/>
  <c r="AN17" i="6" s="1"/>
  <c r="BB13" i="5"/>
  <c r="BB11" i="5"/>
  <c r="BB24" i="5"/>
  <c r="BB22" i="5"/>
  <c r="BB23" i="5"/>
  <c r="BB15" i="5"/>
  <c r="BB24" i="6" s="1"/>
  <c r="BB17" i="5"/>
  <c r="BC4" i="5"/>
  <c r="BC2" i="5"/>
  <c r="BC9" i="5"/>
  <c r="BC22" i="5" s="1"/>
  <c r="BC37" i="5"/>
  <c r="BD37" i="5" s="1"/>
  <c r="BC36" i="5"/>
  <c r="BD36" i="5" s="1"/>
  <c r="BB18" i="5"/>
  <c r="BB21" i="5"/>
  <c r="BC38" i="5"/>
  <c r="BB35" i="5"/>
  <c r="BB6" i="6" s="1"/>
  <c r="BB5" i="6" s="1"/>
  <c r="BC30" i="5"/>
  <c r="BA23" i="6"/>
  <c r="BA18" i="10" s="1"/>
  <c r="BD14" i="5"/>
  <c r="BD27" i="6" s="1"/>
  <c r="BD4" i="5"/>
  <c r="BE3" i="5"/>
  <c r="BD2" i="5"/>
  <c r="BA19" i="10" l="1"/>
  <c r="BB23" i="6"/>
  <c r="AO42" i="5"/>
  <c r="AO40" i="5"/>
  <c r="BC25" i="5"/>
  <c r="BC19" i="5"/>
  <c r="BC26" i="5"/>
  <c r="BD9" i="5"/>
  <c r="BD24" i="5" s="1"/>
  <c r="BC17" i="5"/>
  <c r="BC18" i="5"/>
  <c r="BC15" i="5"/>
  <c r="BC23" i="6" s="1"/>
  <c r="BC20" i="5"/>
  <c r="BC24" i="5"/>
  <c r="BC21" i="5"/>
  <c r="BC11" i="5"/>
  <c r="BC16" i="5"/>
  <c r="BC23" i="5"/>
  <c r="BC13" i="5"/>
  <c r="BD30" i="5"/>
  <c r="BC35" i="5"/>
  <c r="BC6" i="6" s="1"/>
  <c r="BC5" i="6" s="1"/>
  <c r="BD38" i="5"/>
  <c r="BE38" i="5" s="1"/>
  <c r="BE36" i="5"/>
  <c r="BE14" i="5"/>
  <c r="BE27" i="6" s="1"/>
  <c r="BE37" i="5"/>
  <c r="BF3" i="5"/>
  <c r="BE2" i="5"/>
  <c r="BE4" i="5"/>
  <c r="AN22" i="10" l="1"/>
  <c r="AN34" i="10"/>
  <c r="AN33" i="10" s="1"/>
  <c r="BB18" i="10"/>
  <c r="BB19" i="10"/>
  <c r="AO18" i="6"/>
  <c r="AO17" i="6" s="1"/>
  <c r="AP41" i="5"/>
  <c r="BD20" i="5"/>
  <c r="BD25" i="5"/>
  <c r="BD22" i="5"/>
  <c r="BD13" i="5"/>
  <c r="BD18" i="5"/>
  <c r="BD17" i="5"/>
  <c r="BD21" i="5"/>
  <c r="BD16" i="5"/>
  <c r="BD15" i="5"/>
  <c r="BD24" i="6" s="1"/>
  <c r="BE9" i="5"/>
  <c r="BE26" i="5" s="1"/>
  <c r="BD26" i="5"/>
  <c r="BD19" i="5"/>
  <c r="BD11" i="5"/>
  <c r="BD23" i="5"/>
  <c r="BC24" i="6"/>
  <c r="BD35" i="5"/>
  <c r="BD6" i="6" s="1"/>
  <c r="BD5" i="6" s="1"/>
  <c r="BE30" i="5"/>
  <c r="BF37" i="5"/>
  <c r="BF38" i="5"/>
  <c r="BF14" i="5"/>
  <c r="BF27" i="6" s="1"/>
  <c r="BF30" i="5"/>
  <c r="BF36" i="5"/>
  <c r="BE35" i="5"/>
  <c r="BE6" i="6" s="1"/>
  <c r="BE5" i="6" s="1"/>
  <c r="BF2" i="5"/>
  <c r="BF4" i="5"/>
  <c r="BG3" i="5"/>
  <c r="BC19" i="10" l="1"/>
  <c r="BC18" i="10"/>
  <c r="AP42" i="5"/>
  <c r="AP40" i="5"/>
  <c r="BE25" i="5"/>
  <c r="BE15" i="5"/>
  <c r="BE24" i="6" s="1"/>
  <c r="BE24" i="5"/>
  <c r="BD23" i="6"/>
  <c r="BE13" i="5"/>
  <c r="BE16" i="5"/>
  <c r="BE23" i="5"/>
  <c r="BE17" i="5"/>
  <c r="BE20" i="5"/>
  <c r="BE22" i="5"/>
  <c r="BF9" i="5"/>
  <c r="BF25" i="5" s="1"/>
  <c r="BE18" i="5"/>
  <c r="BE11" i="5"/>
  <c r="BE21" i="5"/>
  <c r="BE19" i="5"/>
  <c r="BG14" i="5"/>
  <c r="BG27" i="6" s="1"/>
  <c r="BG30" i="5"/>
  <c r="BG37" i="5"/>
  <c r="BG36" i="5"/>
  <c r="BG38" i="5"/>
  <c r="BF35" i="5"/>
  <c r="BF6" i="6" s="1"/>
  <c r="BF5" i="6" s="1"/>
  <c r="BH3" i="5"/>
  <c r="BG2" i="5"/>
  <c r="BG4" i="5"/>
  <c r="BD18" i="10" l="1"/>
  <c r="BD19" i="10"/>
  <c r="AO22" i="10"/>
  <c r="AO34" i="10"/>
  <c r="AO33" i="10" s="1"/>
  <c r="BE23" i="6"/>
  <c r="BF20" i="5"/>
  <c r="BG9" i="5"/>
  <c r="BG15" i="5" s="1"/>
  <c r="BG23" i="6" s="1"/>
  <c r="AQ41" i="5"/>
  <c r="AP18" i="6"/>
  <c r="AP17" i="6" s="1"/>
  <c r="BF17" i="5"/>
  <c r="BF21" i="5"/>
  <c r="BF22" i="5"/>
  <c r="BF24" i="5"/>
  <c r="BF19" i="5"/>
  <c r="BF11" i="5"/>
  <c r="BF16" i="5"/>
  <c r="BF23" i="5"/>
  <c r="BF26" i="5"/>
  <c r="BF18" i="5"/>
  <c r="BF15" i="5"/>
  <c r="BF24" i="6" s="1"/>
  <c r="BF13" i="5"/>
  <c r="BH14" i="5"/>
  <c r="BH27" i="6" s="1"/>
  <c r="BH37" i="5"/>
  <c r="BH38" i="5"/>
  <c r="BH36" i="5"/>
  <c r="BH30" i="5"/>
  <c r="BG35" i="5"/>
  <c r="BG6" i="6" s="1"/>
  <c r="BG5" i="6" s="1"/>
  <c r="BH4" i="5"/>
  <c r="BI3" i="5"/>
  <c r="BH2" i="5"/>
  <c r="BE18" i="10" l="1"/>
  <c r="BE19" i="10"/>
  <c r="BH9" i="5"/>
  <c r="BH17" i="5" s="1"/>
  <c r="BG18" i="5"/>
  <c r="BG11" i="5"/>
  <c r="BG20" i="5"/>
  <c r="BG23" i="5"/>
  <c r="BG16" i="5"/>
  <c r="BG21" i="5"/>
  <c r="BG13" i="5"/>
  <c r="BG25" i="5"/>
  <c r="BG24" i="5"/>
  <c r="BG26" i="5"/>
  <c r="BG22" i="5"/>
  <c r="BG19" i="5"/>
  <c r="BG24" i="6"/>
  <c r="BG17" i="5"/>
  <c r="AQ42" i="5"/>
  <c r="AQ40" i="5"/>
  <c r="BF23" i="6"/>
  <c r="BF18" i="10" s="1"/>
  <c r="BF19" i="10"/>
  <c r="BI14" i="5"/>
  <c r="BI27" i="6" s="1"/>
  <c r="BI36" i="5"/>
  <c r="BI30" i="5"/>
  <c r="BI38" i="5"/>
  <c r="BI37" i="5"/>
  <c r="BH35" i="5"/>
  <c r="BH6" i="6" s="1"/>
  <c r="BH5" i="6" s="1"/>
  <c r="BJ3" i="5"/>
  <c r="BI4" i="5"/>
  <c r="BI2" i="5"/>
  <c r="AP22" i="10" l="1"/>
  <c r="AP34" i="10"/>
  <c r="AP33" i="10" s="1"/>
  <c r="BI9" i="5"/>
  <c r="BI23" i="5" s="1"/>
  <c r="BH19" i="5"/>
  <c r="BH15" i="5"/>
  <c r="BH23" i="6" s="1"/>
  <c r="BH11" i="5"/>
  <c r="BH21" i="5"/>
  <c r="BH24" i="5"/>
  <c r="BH22" i="5"/>
  <c r="BH26" i="5"/>
  <c r="BH23" i="5"/>
  <c r="BH13" i="5"/>
  <c r="BH25" i="5"/>
  <c r="BH20" i="5"/>
  <c r="BH16" i="5"/>
  <c r="BH18" i="5"/>
  <c r="AR41" i="5"/>
  <c r="AQ18" i="6"/>
  <c r="AQ17" i="6" s="1"/>
  <c r="BJ14" i="5"/>
  <c r="BJ27" i="6" s="1"/>
  <c r="BJ37" i="5"/>
  <c r="BJ36" i="5"/>
  <c r="BJ30" i="5"/>
  <c r="BJ38" i="5"/>
  <c r="BI35" i="5"/>
  <c r="BI6" i="6" s="1"/>
  <c r="BI5" i="6" s="1"/>
  <c r="BJ2" i="5"/>
  <c r="BJ4" i="5"/>
  <c r="BK3" i="5"/>
  <c r="BG18" i="10" l="1"/>
  <c r="BG19" i="10"/>
  <c r="BH24" i="6"/>
  <c r="BI20" i="5"/>
  <c r="BI16" i="5"/>
  <c r="BI22" i="5"/>
  <c r="BI15" i="5"/>
  <c r="BI24" i="6" s="1"/>
  <c r="BI19" i="5"/>
  <c r="BI26" i="5"/>
  <c r="BJ9" i="5"/>
  <c r="BK9" i="5" s="1"/>
  <c r="BK15" i="5" s="1"/>
  <c r="BI21" i="5"/>
  <c r="BI25" i="5"/>
  <c r="BI17" i="5"/>
  <c r="BI11" i="5"/>
  <c r="BI18" i="5"/>
  <c r="BI24" i="5"/>
  <c r="BI13" i="5"/>
  <c r="AR42" i="5"/>
  <c r="AR40" i="5"/>
  <c r="BK14" i="5"/>
  <c r="BK27" i="6" s="1"/>
  <c r="BK38" i="5"/>
  <c r="BK36" i="5"/>
  <c r="BK30" i="5"/>
  <c r="BK37" i="5"/>
  <c r="BJ35" i="5"/>
  <c r="BJ6" i="6" s="1"/>
  <c r="BJ5" i="6" s="1"/>
  <c r="BK4" i="5"/>
  <c r="BL3" i="5"/>
  <c r="BK2" i="5"/>
  <c r="AQ22" i="10" l="1"/>
  <c r="BH19" i="10"/>
  <c r="BH18" i="10"/>
  <c r="AQ34" i="10"/>
  <c r="AQ33" i="10" s="1"/>
  <c r="BI19" i="10"/>
  <c r="BJ11" i="5"/>
  <c r="BJ26" i="5"/>
  <c r="BJ23" i="5"/>
  <c r="BJ15" i="5"/>
  <c r="BJ24" i="6" s="1"/>
  <c r="BJ22" i="5"/>
  <c r="BI23" i="6"/>
  <c r="BJ20" i="5"/>
  <c r="BJ19" i="5"/>
  <c r="BJ18" i="5"/>
  <c r="BJ13" i="5"/>
  <c r="BJ21" i="5"/>
  <c r="BJ25" i="5"/>
  <c r="BJ17" i="5"/>
  <c r="BJ24" i="5"/>
  <c r="BJ16" i="5"/>
  <c r="AS41" i="5"/>
  <c r="AR18" i="6"/>
  <c r="AR17" i="6" s="1"/>
  <c r="BK21" i="5"/>
  <c r="BK17" i="5"/>
  <c r="BK26" i="5"/>
  <c r="BK18" i="5"/>
  <c r="BK16" i="5"/>
  <c r="BK11" i="5"/>
  <c r="BK20" i="5"/>
  <c r="BK22" i="5"/>
  <c r="BK19" i="5"/>
  <c r="BK13" i="5"/>
  <c r="BK23" i="5"/>
  <c r="BK25" i="5"/>
  <c r="BK24" i="5"/>
  <c r="BK23" i="6"/>
  <c r="BK24" i="6"/>
  <c r="BL9" i="5"/>
  <c r="BL25" i="5" s="1"/>
  <c r="BL14" i="5"/>
  <c r="BL27" i="6" s="1"/>
  <c r="BL36" i="5"/>
  <c r="BL30" i="5"/>
  <c r="BL37" i="5"/>
  <c r="BL38" i="5"/>
  <c r="BK35" i="5"/>
  <c r="BK6" i="6" s="1"/>
  <c r="BK5" i="6" s="1"/>
  <c r="BM3" i="5"/>
  <c r="BL2" i="5"/>
  <c r="BL4" i="5"/>
  <c r="BI18" i="10" l="1"/>
  <c r="BJ23" i="6"/>
  <c r="BJ18" i="10" s="1"/>
  <c r="AS42" i="5"/>
  <c r="AS40" i="5"/>
  <c r="BM14" i="5"/>
  <c r="BM27" i="6" s="1"/>
  <c r="BL16" i="5"/>
  <c r="BL18" i="5"/>
  <c r="BL15" i="5"/>
  <c r="BL23" i="6" s="1"/>
  <c r="BL17" i="5"/>
  <c r="BL24" i="5"/>
  <c r="BL20" i="5"/>
  <c r="BL11" i="5"/>
  <c r="BL19" i="5"/>
  <c r="BL21" i="5"/>
  <c r="BL22" i="5"/>
  <c r="BL26" i="5"/>
  <c r="BL13" i="5"/>
  <c r="BJ19" i="10"/>
  <c r="BL23" i="5"/>
  <c r="BM30" i="5"/>
  <c r="BM38" i="5"/>
  <c r="BM37" i="5"/>
  <c r="BM36" i="5"/>
  <c r="BM9" i="5"/>
  <c r="BL35" i="5"/>
  <c r="BL6" i="6" s="1"/>
  <c r="BL5" i="6" s="1"/>
  <c r="BM2" i="5"/>
  <c r="BM4" i="5"/>
  <c r="BN3" i="5"/>
  <c r="BK19" i="10" l="1"/>
  <c r="AR22" i="10"/>
  <c r="AR34" i="10"/>
  <c r="AR33" i="10" s="1"/>
  <c r="BK18" i="10"/>
  <c r="AT41" i="5"/>
  <c r="AS18" i="6"/>
  <c r="AS17" i="6" s="1"/>
  <c r="BN14" i="5"/>
  <c r="BN27" i="6" s="1"/>
  <c r="BL24" i="6"/>
  <c r="BN36" i="5"/>
  <c r="BN9" i="5"/>
  <c r="BN17" i="5" s="1"/>
  <c r="BM18" i="5"/>
  <c r="BM21" i="5"/>
  <c r="BM20" i="5"/>
  <c r="BM11" i="5"/>
  <c r="BM22" i="5"/>
  <c r="BM16" i="5"/>
  <c r="BM23" i="5"/>
  <c r="BN37" i="5"/>
  <c r="BM13" i="5"/>
  <c r="BM24" i="5"/>
  <c r="BN38" i="5"/>
  <c r="BM15" i="5"/>
  <c r="BL18" i="10" s="1"/>
  <c r="BM25" i="5"/>
  <c r="BM17" i="5"/>
  <c r="BM26" i="5"/>
  <c r="BN30" i="5"/>
  <c r="BM19" i="5"/>
  <c r="BM35" i="5"/>
  <c r="BM6" i="6" s="1"/>
  <c r="BM5" i="6" s="1"/>
  <c r="BN4" i="5"/>
  <c r="BO3" i="5"/>
  <c r="BN2" i="5"/>
  <c r="BL19" i="10" l="1"/>
  <c r="AT42" i="5"/>
  <c r="AT40" i="5"/>
  <c r="BN19" i="5"/>
  <c r="BN23" i="5"/>
  <c r="BN22" i="5"/>
  <c r="BN25" i="5"/>
  <c r="BN18" i="5"/>
  <c r="BN21" i="5"/>
  <c r="BN26" i="5"/>
  <c r="BN24" i="5"/>
  <c r="BN13" i="5"/>
  <c r="BN11" i="5"/>
  <c r="BN16" i="5"/>
  <c r="BN15" i="5"/>
  <c r="BN23" i="6" s="1"/>
  <c r="BN20" i="5"/>
  <c r="BM23" i="6"/>
  <c r="BM24" i="6"/>
  <c r="BO36" i="5"/>
  <c r="BO14" i="5"/>
  <c r="BO27" i="6" s="1"/>
  <c r="BO37" i="5"/>
  <c r="BO38" i="5"/>
  <c r="BO30" i="5"/>
  <c r="BO9" i="5"/>
  <c r="BN35" i="5"/>
  <c r="BN6" i="6" s="1"/>
  <c r="BN5" i="6" s="1"/>
  <c r="BO2" i="5"/>
  <c r="BO4" i="5"/>
  <c r="BP3" i="5"/>
  <c r="AS22" i="10" l="1"/>
  <c r="AS34" i="10"/>
  <c r="AS33" i="10" s="1"/>
  <c r="BM18" i="10"/>
  <c r="AU41" i="5"/>
  <c r="AT18" i="6"/>
  <c r="AT17" i="6" s="1"/>
  <c r="BN24" i="6"/>
  <c r="BN19" i="10" s="1"/>
  <c r="BP14" i="5"/>
  <c r="BP27" i="6" s="1"/>
  <c r="BP9" i="5"/>
  <c r="BP25" i="5" s="1"/>
  <c r="BO23" i="5"/>
  <c r="BM19" i="10"/>
  <c r="BO15" i="5"/>
  <c r="BN18" i="10" s="1"/>
  <c r="BO25" i="5"/>
  <c r="BO22" i="5"/>
  <c r="BO21" i="5"/>
  <c r="BO19" i="5"/>
  <c r="BO13" i="5"/>
  <c r="BO18" i="5"/>
  <c r="BO17" i="5"/>
  <c r="BP38" i="5"/>
  <c r="BO11" i="5"/>
  <c r="BP30" i="5"/>
  <c r="BO26" i="5"/>
  <c r="BO24" i="5"/>
  <c r="BP37" i="5"/>
  <c r="BO16" i="5"/>
  <c r="BO20" i="5"/>
  <c r="BP36" i="5"/>
  <c r="BO35" i="5"/>
  <c r="BO6" i="6" s="1"/>
  <c r="BO5" i="6" s="1"/>
  <c r="BP4" i="5"/>
  <c r="BQ3" i="5"/>
  <c r="BP2" i="5"/>
  <c r="AU42" i="5" l="1"/>
  <c r="AU40" i="5"/>
  <c r="BP13" i="5"/>
  <c r="BP26" i="5"/>
  <c r="BP19" i="5"/>
  <c r="BP20" i="5"/>
  <c r="BP23" i="5"/>
  <c r="BP11" i="5"/>
  <c r="BP22" i="5"/>
  <c r="BP21" i="5"/>
  <c r="BP16" i="5"/>
  <c r="BP17" i="5"/>
  <c r="BP15" i="5"/>
  <c r="BP23" i="6" s="1"/>
  <c r="BP18" i="5"/>
  <c r="BP24" i="5"/>
  <c r="BQ14" i="5"/>
  <c r="BQ27" i="6" s="1"/>
  <c r="BQ37" i="5"/>
  <c r="BO23" i="6"/>
  <c r="BO24" i="6"/>
  <c r="BQ30" i="5"/>
  <c r="BQ38" i="5"/>
  <c r="BQ9" i="5"/>
  <c r="BQ26" i="5" s="1"/>
  <c r="BQ36" i="5"/>
  <c r="BP35" i="5"/>
  <c r="BP6" i="6" s="1"/>
  <c r="BP5" i="6" s="1"/>
  <c r="BR3" i="5"/>
  <c r="BQ2" i="5"/>
  <c r="BQ4" i="5"/>
  <c r="BO19" i="10" l="1"/>
  <c r="AT22" i="10"/>
  <c r="AT34" i="10"/>
  <c r="AT33" i="10" s="1"/>
  <c r="AV41" i="5"/>
  <c r="AU18" i="6"/>
  <c r="AU17" i="6" s="1"/>
  <c r="BP24" i="6"/>
  <c r="BP19" i="10" s="1"/>
  <c r="BO18" i="10"/>
  <c r="BR14" i="5"/>
  <c r="BR27" i="6" s="1"/>
  <c r="BQ18" i="5"/>
  <c r="BQ19" i="5"/>
  <c r="BQ15" i="5"/>
  <c r="BP18" i="10" s="1"/>
  <c r="BQ22" i="5"/>
  <c r="BQ17" i="5"/>
  <c r="BR30" i="5"/>
  <c r="BQ20" i="5"/>
  <c r="BR37" i="5"/>
  <c r="BQ11" i="5"/>
  <c r="BQ23" i="5"/>
  <c r="BQ24" i="5"/>
  <c r="BR36" i="5"/>
  <c r="BR38" i="5"/>
  <c r="BQ25" i="5"/>
  <c r="BQ16" i="5"/>
  <c r="BR9" i="5"/>
  <c r="BQ13" i="5"/>
  <c r="BQ21" i="5"/>
  <c r="BQ35" i="5"/>
  <c r="BQ6" i="6" s="1"/>
  <c r="BQ5" i="6" s="1"/>
  <c r="BR2" i="5"/>
  <c r="BS3" i="5"/>
  <c r="BR4" i="5"/>
  <c r="AV42" i="5" l="1"/>
  <c r="AV40" i="5"/>
  <c r="BS14" i="5"/>
  <c r="BS27" i="6" s="1"/>
  <c r="BQ24" i="6"/>
  <c r="BQ23" i="6"/>
  <c r="BS9" i="5"/>
  <c r="BS17" i="5" s="1"/>
  <c r="BR13" i="5"/>
  <c r="BR22" i="5"/>
  <c r="BR15" i="5"/>
  <c r="BR23" i="5"/>
  <c r="BR21" i="5"/>
  <c r="BS37" i="5"/>
  <c r="BR16" i="5"/>
  <c r="BR24" i="5"/>
  <c r="BR17" i="5"/>
  <c r="BR25" i="5"/>
  <c r="BR18" i="5"/>
  <c r="BR26" i="5"/>
  <c r="BS38" i="5"/>
  <c r="BS36" i="5"/>
  <c r="BR11" i="5"/>
  <c r="BR19" i="5"/>
  <c r="BS30" i="5"/>
  <c r="BR20" i="5"/>
  <c r="BR35" i="5"/>
  <c r="BR6" i="6" s="1"/>
  <c r="BR5" i="6" s="1"/>
  <c r="BS2" i="5"/>
  <c r="BS4" i="5"/>
  <c r="BT3" i="5"/>
  <c r="BQ18" i="10" l="1"/>
  <c r="BQ19" i="10"/>
  <c r="AU22" i="10"/>
  <c r="AV18" i="6"/>
  <c r="AV17" i="6" s="1"/>
  <c r="AU34" i="10"/>
  <c r="AU33" i="10" s="1"/>
  <c r="AW41" i="5"/>
  <c r="AW42" i="5" s="1"/>
  <c r="BS21" i="5"/>
  <c r="BS20" i="5"/>
  <c r="BS23" i="5"/>
  <c r="BS24" i="5"/>
  <c r="BS22" i="5"/>
  <c r="BS26" i="5"/>
  <c r="BS19" i="5"/>
  <c r="BS11" i="5"/>
  <c r="BS13" i="5"/>
  <c r="BS25" i="5"/>
  <c r="BS15" i="5"/>
  <c r="BS24" i="6" s="1"/>
  <c r="BS18" i="5"/>
  <c r="BS16" i="5"/>
  <c r="BR24" i="6"/>
  <c r="BR23" i="6"/>
  <c r="BT9" i="5"/>
  <c r="BT21" i="5" s="1"/>
  <c r="BT14" i="5"/>
  <c r="BT27" i="6" s="1"/>
  <c r="BT36" i="5"/>
  <c r="BT38" i="5"/>
  <c r="BT37" i="5"/>
  <c r="BT30" i="5"/>
  <c r="BS35" i="5"/>
  <c r="BS6" i="6" s="1"/>
  <c r="BS5" i="6" s="1"/>
  <c r="BU3" i="5"/>
  <c r="BT2" i="5"/>
  <c r="BT4" i="5"/>
  <c r="AV34" i="10" l="1"/>
  <c r="AV33" i="10" s="1"/>
  <c r="AW40" i="5"/>
  <c r="AX41" i="5"/>
  <c r="AW18" i="6"/>
  <c r="AW17" i="6" s="1"/>
  <c r="BS23" i="6"/>
  <c r="BR18" i="10"/>
  <c r="BU14" i="5"/>
  <c r="BU27" i="6" s="1"/>
  <c r="BT22" i="5"/>
  <c r="BT24" i="5"/>
  <c r="BT26" i="5"/>
  <c r="BT11" i="5"/>
  <c r="BT15" i="5"/>
  <c r="BT23" i="6" s="1"/>
  <c r="BT20" i="5"/>
  <c r="BT17" i="5"/>
  <c r="BT13" i="5"/>
  <c r="BT19" i="5"/>
  <c r="BT16" i="5"/>
  <c r="BT25" i="5"/>
  <c r="BT23" i="5"/>
  <c r="BT18" i="5"/>
  <c r="BR19" i="10"/>
  <c r="BU30" i="5"/>
  <c r="BU36" i="5"/>
  <c r="BU37" i="5"/>
  <c r="BU38" i="5"/>
  <c r="BU9" i="5"/>
  <c r="BU22" i="5" s="1"/>
  <c r="BT35" i="5"/>
  <c r="BT6" i="6" s="1"/>
  <c r="BT5" i="6" s="1"/>
  <c r="BV3" i="5"/>
  <c r="BU2" i="5"/>
  <c r="BU4" i="5"/>
  <c r="BS19" i="10" l="1"/>
  <c r="BS18" i="10"/>
  <c r="AV22" i="10"/>
  <c r="AX42" i="5"/>
  <c r="AX40" i="5"/>
  <c r="BV14" i="5"/>
  <c r="BV27" i="6" s="1"/>
  <c r="BT24" i="6"/>
  <c r="BU20" i="5"/>
  <c r="BU11" i="5"/>
  <c r="BU21" i="5"/>
  <c r="BU17" i="5"/>
  <c r="BV9" i="5"/>
  <c r="BV19" i="5" s="1"/>
  <c r="BU13" i="5"/>
  <c r="BU23" i="5"/>
  <c r="BV30" i="5"/>
  <c r="BV38" i="5"/>
  <c r="BU16" i="5"/>
  <c r="BU24" i="5"/>
  <c r="BV36" i="5"/>
  <c r="BU18" i="5"/>
  <c r="BU25" i="5"/>
  <c r="BU15" i="5"/>
  <c r="BT18" i="10" s="1"/>
  <c r="BU26" i="5"/>
  <c r="BV37" i="5"/>
  <c r="BU19" i="5"/>
  <c r="BU35" i="5"/>
  <c r="BU6" i="6" s="1"/>
  <c r="BU5" i="6" s="1"/>
  <c r="BW3" i="5"/>
  <c r="BV2" i="5"/>
  <c r="BV4" i="5"/>
  <c r="AW34" i="10" l="1"/>
  <c r="AW33" i="10" s="1"/>
  <c r="AW22" i="10"/>
  <c r="BT19" i="10"/>
  <c r="AY41" i="5"/>
  <c r="AX18" i="6"/>
  <c r="AX17" i="6" s="1"/>
  <c r="BW14" i="5"/>
  <c r="BW27" i="6" s="1"/>
  <c r="BV16" i="5"/>
  <c r="BV11" i="5"/>
  <c r="BU23" i="6"/>
  <c r="BU24" i="6"/>
  <c r="BV13" i="5"/>
  <c r="BV23" i="5"/>
  <c r="BV18" i="5"/>
  <c r="BV25" i="5"/>
  <c r="BV15" i="5"/>
  <c r="BV17" i="5"/>
  <c r="BV26" i="5"/>
  <c r="BW36" i="5"/>
  <c r="BV22" i="5"/>
  <c r="BW9" i="5"/>
  <c r="BW23" i="5" s="1"/>
  <c r="BV21" i="5"/>
  <c r="BW30" i="5"/>
  <c r="BV20" i="5"/>
  <c r="BW37" i="5"/>
  <c r="BW38" i="5"/>
  <c r="BV24" i="5"/>
  <c r="BV35" i="5"/>
  <c r="BV6" i="6" s="1"/>
  <c r="BV5" i="6" s="1"/>
  <c r="BW4" i="5"/>
  <c r="BX3" i="5"/>
  <c r="BW2" i="5"/>
  <c r="BU19" i="10" l="1"/>
  <c r="BU18" i="10"/>
  <c r="AY42" i="5"/>
  <c r="AY40" i="5"/>
  <c r="BX14" i="5"/>
  <c r="BX27" i="6" s="1"/>
  <c r="BW16" i="5"/>
  <c r="BV24" i="6"/>
  <c r="BV23" i="6"/>
  <c r="BW15" i="5"/>
  <c r="BW17" i="5"/>
  <c r="BW21" i="5"/>
  <c r="BW11" i="5"/>
  <c r="BW13" i="5"/>
  <c r="BW20" i="5"/>
  <c r="BW24" i="5"/>
  <c r="BW26" i="5"/>
  <c r="BW19" i="5"/>
  <c r="BX37" i="5"/>
  <c r="BW18" i="5"/>
  <c r="BW22" i="5"/>
  <c r="BX38" i="5"/>
  <c r="BW25" i="5"/>
  <c r="BX30" i="5"/>
  <c r="BX36" i="5"/>
  <c r="BX9" i="5"/>
  <c r="BW35" i="5"/>
  <c r="BW6" i="6" s="1"/>
  <c r="BW5" i="6" s="1"/>
  <c r="BX2" i="5"/>
  <c r="BX4" i="5"/>
  <c r="BY3" i="5"/>
  <c r="BZ3" i="5" s="1"/>
  <c r="BV18" i="10" l="1"/>
  <c r="BV19" i="10"/>
  <c r="AX22" i="10"/>
  <c r="AX34" i="10"/>
  <c r="AX33" i="10" s="1"/>
  <c r="AZ41" i="5"/>
  <c r="AY18" i="6"/>
  <c r="AY17" i="6" s="1"/>
  <c r="BZ2" i="5"/>
  <c r="CA3" i="5"/>
  <c r="BZ4" i="5"/>
  <c r="BZ14" i="5"/>
  <c r="BZ27" i="6" s="1"/>
  <c r="BY9" i="5"/>
  <c r="BY26" i="5" s="1"/>
  <c r="BY36" i="5"/>
  <c r="BY14" i="5"/>
  <c r="BY27" i="6" s="1"/>
  <c r="BW23" i="6"/>
  <c r="BW24" i="6"/>
  <c r="BX13" i="5"/>
  <c r="BX17" i="5"/>
  <c r="BX21" i="5"/>
  <c r="BX24" i="5"/>
  <c r="BX18" i="5"/>
  <c r="BX11" i="5"/>
  <c r="BX25" i="5"/>
  <c r="BX19" i="5"/>
  <c r="BX26" i="5"/>
  <c r="BX22" i="5"/>
  <c r="BX15" i="5"/>
  <c r="BY30" i="5"/>
  <c r="D30" i="5" s="1"/>
  <c r="BX20" i="5"/>
  <c r="BX23" i="5"/>
  <c r="BY38" i="5"/>
  <c r="D38" i="5" s="1"/>
  <c r="BX16" i="5"/>
  <c r="BY37" i="5"/>
  <c r="D37" i="5" s="1"/>
  <c r="BX35" i="5"/>
  <c r="BX6" i="6" s="1"/>
  <c r="BX5" i="6" s="1"/>
  <c r="BY4" i="5"/>
  <c r="BY2" i="5"/>
  <c r="BW18" i="10" l="1"/>
  <c r="BW19" i="10"/>
  <c r="BZ30" i="5"/>
  <c r="AZ42" i="5"/>
  <c r="AZ40" i="5"/>
  <c r="BZ37" i="5"/>
  <c r="CA37" i="5" s="1"/>
  <c r="BZ9" i="5"/>
  <c r="CA9" i="5" s="1"/>
  <c r="CA16" i="5" s="1"/>
  <c r="BZ36" i="5"/>
  <c r="CA36" i="5" s="1"/>
  <c r="CB3" i="5"/>
  <c r="CA14" i="5"/>
  <c r="CA2" i="5"/>
  <c r="CA4" i="5"/>
  <c r="BZ38" i="5"/>
  <c r="BY21" i="5"/>
  <c r="D21" i="5" s="1"/>
  <c r="BY23" i="5"/>
  <c r="D23" i="5" s="1"/>
  <c r="BY20" i="5"/>
  <c r="D20" i="5" s="1"/>
  <c r="BY24" i="5"/>
  <c r="D24" i="5" s="1"/>
  <c r="BY13" i="5"/>
  <c r="D13" i="5" s="1"/>
  <c r="BY15" i="5"/>
  <c r="BY23" i="6" s="1"/>
  <c r="BY16" i="5"/>
  <c r="D16" i="5" s="1"/>
  <c r="BY11" i="5"/>
  <c r="D11" i="5" s="1"/>
  <c r="BY22" i="5"/>
  <c r="D22" i="5" s="1"/>
  <c r="BY17" i="5"/>
  <c r="D17" i="5" s="1"/>
  <c r="BY18" i="5"/>
  <c r="D18" i="5" s="1"/>
  <c r="BY25" i="5"/>
  <c r="D25" i="5" s="1"/>
  <c r="BY19" i="5"/>
  <c r="D19" i="5" s="1"/>
  <c r="D26" i="5"/>
  <c r="D14" i="5"/>
  <c r="BX24" i="6"/>
  <c r="BX19" i="10" s="1"/>
  <c r="BX23" i="6"/>
  <c r="BX18" i="10" s="1"/>
  <c r="BY35" i="5"/>
  <c r="D36" i="5"/>
  <c r="AY22" i="10" l="1"/>
  <c r="AY34" i="10"/>
  <c r="AY33" i="10" s="1"/>
  <c r="BA41" i="5"/>
  <c r="AZ18" i="6"/>
  <c r="AZ17" i="6" s="1"/>
  <c r="CA18" i="5"/>
  <c r="CA19" i="5"/>
  <c r="CA20" i="5"/>
  <c r="CA30" i="5"/>
  <c r="CA23" i="5"/>
  <c r="CA21" i="5"/>
  <c r="CA17" i="5"/>
  <c r="CA25" i="5"/>
  <c r="CA26" i="5"/>
  <c r="CA24" i="5"/>
  <c r="CA22" i="5"/>
  <c r="CA27" i="6"/>
  <c r="CA15" i="5"/>
  <c r="CA13" i="5"/>
  <c r="CA11" i="5"/>
  <c r="CA38" i="5"/>
  <c r="CA35" i="5" s="1"/>
  <c r="CA6" i="6" s="1"/>
  <c r="CA5" i="6" s="1"/>
  <c r="CB2" i="5"/>
  <c r="CB4" i="5"/>
  <c r="CB9" i="5"/>
  <c r="CB15" i="5" s="1"/>
  <c r="CB14" i="5"/>
  <c r="CC3" i="5"/>
  <c r="CB36" i="5"/>
  <c r="CB37" i="5"/>
  <c r="BZ35" i="5"/>
  <c r="BZ6" i="6" s="1"/>
  <c r="BZ5" i="6" s="1"/>
  <c r="BZ26" i="5"/>
  <c r="BZ24" i="5"/>
  <c r="BZ13" i="5"/>
  <c r="BZ15" i="5"/>
  <c r="BY18" i="10" s="1"/>
  <c r="BZ17" i="5"/>
  <c r="BZ21" i="5"/>
  <c r="BZ18" i="5"/>
  <c r="BZ19" i="5"/>
  <c r="BZ23" i="5"/>
  <c r="BZ20" i="5"/>
  <c r="BZ25" i="5"/>
  <c r="BZ16" i="5"/>
  <c r="BZ22" i="5"/>
  <c r="BZ11" i="5"/>
  <c r="D15" i="5"/>
  <c r="BY24" i="6"/>
  <c r="D35" i="5"/>
  <c r="BY6" i="6"/>
  <c r="BY5" i="6" s="1"/>
  <c r="D5" i="7"/>
  <c r="BA42" i="5" l="1"/>
  <c r="BA40" i="5"/>
  <c r="CB38" i="5"/>
  <c r="CB35" i="5" s="1"/>
  <c r="CB6" i="6" s="1"/>
  <c r="CB5" i="6" s="1"/>
  <c r="CB30" i="5"/>
  <c r="BZ23" i="6"/>
  <c r="BZ18" i="10" s="1"/>
  <c r="BZ24" i="6"/>
  <c r="BZ19" i="10" s="1"/>
  <c r="CA23" i="6"/>
  <c r="CA24" i="6"/>
  <c r="CB27" i="6"/>
  <c r="CB23" i="6"/>
  <c r="CB24" i="6"/>
  <c r="CB26" i="5"/>
  <c r="CB25" i="5"/>
  <c r="CB24" i="5"/>
  <c r="CB13" i="5"/>
  <c r="CB22" i="5"/>
  <c r="CB11" i="5"/>
  <c r="CB18" i="5"/>
  <c r="CB21" i="5"/>
  <c r="CB19" i="5"/>
  <c r="CB17" i="5"/>
  <c r="CB20" i="5"/>
  <c r="CB16" i="5"/>
  <c r="CB23" i="5"/>
  <c r="CC2" i="5"/>
  <c r="CC4" i="5"/>
  <c r="CC9" i="5"/>
  <c r="CC11" i="5" s="1"/>
  <c r="CC14" i="5"/>
  <c r="CD3" i="5"/>
  <c r="CC37" i="5"/>
  <c r="CC36" i="5"/>
  <c r="BY19" i="10"/>
  <c r="C7" i="8"/>
  <c r="D96" i="9"/>
  <c r="E70" i="9"/>
  <c r="G70" i="9" s="1"/>
  <c r="G96" i="9" s="1"/>
  <c r="D95" i="9"/>
  <c r="E52" i="9"/>
  <c r="G52" i="9" s="1"/>
  <c r="G95" i="9" s="1"/>
  <c r="D94" i="9"/>
  <c r="E93" i="9"/>
  <c r="D93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71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53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29" i="9"/>
  <c r="H4" i="9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3" i="9"/>
  <c r="C11" i="8"/>
  <c r="C5" i="7"/>
  <c r="F3" i="7"/>
  <c r="G97" i="9" l="1"/>
  <c r="AZ22" i="10"/>
  <c r="BB41" i="5"/>
  <c r="BB40" i="5" s="1"/>
  <c r="AZ34" i="10"/>
  <c r="AZ33" i="10" s="1"/>
  <c r="BA18" i="6"/>
  <c r="BA17" i="6" s="1"/>
  <c r="I98" i="9"/>
  <c r="G20" i="4" s="1"/>
  <c r="E95" i="9"/>
  <c r="I95" i="9" s="1"/>
  <c r="CC30" i="5"/>
  <c r="CC38" i="5"/>
  <c r="CD30" i="5" s="1"/>
  <c r="CA18" i="10"/>
  <c r="CA19" i="10"/>
  <c r="CC24" i="5"/>
  <c r="CC27" i="6"/>
  <c r="CC23" i="5"/>
  <c r="CC16" i="5"/>
  <c r="CC18" i="5"/>
  <c r="CC22" i="5"/>
  <c r="CC17" i="5"/>
  <c r="CC21" i="5"/>
  <c r="CC26" i="5"/>
  <c r="CC15" i="5"/>
  <c r="CB19" i="10" s="1"/>
  <c r="CC25" i="5"/>
  <c r="CC19" i="5"/>
  <c r="CC13" i="5"/>
  <c r="CC20" i="5"/>
  <c r="CD2" i="5"/>
  <c r="CD14" i="5"/>
  <c r="CD4" i="5"/>
  <c r="CE3" i="5"/>
  <c r="CD9" i="5"/>
  <c r="CD23" i="5" s="1"/>
  <c r="CD37" i="5"/>
  <c r="CD36" i="5"/>
  <c r="F4" i="7"/>
  <c r="D6" i="7"/>
  <c r="C6" i="7"/>
  <c r="F2" i="7"/>
  <c r="E96" i="9"/>
  <c r="I96" i="9" s="1"/>
  <c r="I93" i="9"/>
  <c r="H70" i="9"/>
  <c r="D97" i="9"/>
  <c r="I101" i="9" s="1"/>
  <c r="G3" i="7"/>
  <c r="H52" i="9"/>
  <c r="I94" i="9"/>
  <c r="E97" i="9" l="1"/>
  <c r="G18" i="4" s="1"/>
  <c r="BB42" i="5"/>
  <c r="BA34" i="10" s="1"/>
  <c r="BA33" i="10" s="1"/>
  <c r="CB18" i="10"/>
  <c r="BA22" i="10"/>
  <c r="G17" i="4"/>
  <c r="I100" i="9"/>
  <c r="CD38" i="5"/>
  <c r="CD35" i="5" s="1"/>
  <c r="CD6" i="6" s="1"/>
  <c r="CD5" i="6" s="1"/>
  <c r="CC35" i="5"/>
  <c r="CC6" i="6" s="1"/>
  <c r="CC5" i="6" s="1"/>
  <c r="CD22" i="5"/>
  <c r="CD21" i="5"/>
  <c r="CD17" i="5"/>
  <c r="CC24" i="6"/>
  <c r="CC23" i="6"/>
  <c r="CD27" i="6"/>
  <c r="CD26" i="5"/>
  <c r="CD24" i="5"/>
  <c r="CD20" i="5"/>
  <c r="CD13" i="5"/>
  <c r="CD18" i="5"/>
  <c r="CD19" i="5"/>
  <c r="CD16" i="5"/>
  <c r="CD15" i="5"/>
  <c r="CD11" i="5"/>
  <c r="CD25" i="5"/>
  <c r="CC12" i="5"/>
  <c r="CB12" i="5"/>
  <c r="CA12" i="5"/>
  <c r="BZ12" i="5"/>
  <c r="CF3" i="5"/>
  <c r="CE12" i="5"/>
  <c r="CE2" i="5"/>
  <c r="CE14" i="5"/>
  <c r="CE4" i="5"/>
  <c r="CE9" i="5"/>
  <c r="CE15" i="5" s="1"/>
  <c r="CE37" i="5"/>
  <c r="CE36" i="5"/>
  <c r="CD12" i="5"/>
  <c r="BU12" i="5"/>
  <c r="BU27" i="5" s="1"/>
  <c r="BY12" i="5"/>
  <c r="BY27" i="5" s="1"/>
  <c r="BX12" i="5"/>
  <c r="BX27" i="5" s="1"/>
  <c r="BW12" i="5"/>
  <c r="BW27" i="5" s="1"/>
  <c r="BE12" i="5"/>
  <c r="BE27" i="5" s="1"/>
  <c r="BB12" i="5"/>
  <c r="BB27" i="5" s="1"/>
  <c r="AP12" i="5"/>
  <c r="AP27" i="5" s="1"/>
  <c r="AK12" i="5"/>
  <c r="AK27" i="5" s="1"/>
  <c r="AC12" i="5"/>
  <c r="AC27" i="5" s="1"/>
  <c r="Y12" i="5"/>
  <c r="Y27" i="5" s="1"/>
  <c r="BR12" i="5"/>
  <c r="BR27" i="5" s="1"/>
  <c r="BQ12" i="5"/>
  <c r="BQ27" i="5" s="1"/>
  <c r="BM12" i="5"/>
  <c r="BM27" i="5" s="1"/>
  <c r="BI12" i="5"/>
  <c r="BI27" i="5" s="1"/>
  <c r="BA12" i="5"/>
  <c r="BA27" i="5" s="1"/>
  <c r="AW12" i="5"/>
  <c r="AW27" i="5" s="1"/>
  <c r="AO12" i="5"/>
  <c r="AO27" i="5" s="1"/>
  <c r="AG12" i="5"/>
  <c r="AG27" i="5" s="1"/>
  <c r="U12" i="5"/>
  <c r="U27" i="5" s="1"/>
  <c r="Q12" i="5"/>
  <c r="Q27" i="5" s="1"/>
  <c r="L12" i="5"/>
  <c r="L27" i="5" s="1"/>
  <c r="I12" i="5"/>
  <c r="I27" i="5" s="1"/>
  <c r="BT12" i="5"/>
  <c r="BT27" i="5" s="1"/>
  <c r="BP12" i="5"/>
  <c r="BP27" i="5" s="1"/>
  <c r="BL12" i="5"/>
  <c r="BL27" i="5" s="1"/>
  <c r="BH12" i="5"/>
  <c r="BH27" i="5" s="1"/>
  <c r="BD12" i="5"/>
  <c r="BD27" i="5" s="1"/>
  <c r="AZ12" i="5"/>
  <c r="AZ27" i="5" s="1"/>
  <c r="AS12" i="5"/>
  <c r="AS27" i="5" s="1"/>
  <c r="AN12" i="5"/>
  <c r="AN27" i="5" s="1"/>
  <c r="AJ12" i="5"/>
  <c r="AJ27" i="5" s="1"/>
  <c r="T12" i="5"/>
  <c r="T27" i="5" s="1"/>
  <c r="M12" i="5"/>
  <c r="M27" i="5" s="1"/>
  <c r="H12" i="5"/>
  <c r="H27" i="5" s="1"/>
  <c r="AR12" i="5"/>
  <c r="AR27" i="5" s="1"/>
  <c r="AF12" i="5"/>
  <c r="AF27" i="5" s="1"/>
  <c r="AB12" i="5"/>
  <c r="AB27" i="5" s="1"/>
  <c r="X12" i="5"/>
  <c r="X27" i="5" s="1"/>
  <c r="P12" i="5"/>
  <c r="P27" i="5" s="1"/>
  <c r="K12" i="5"/>
  <c r="K27" i="5" s="1"/>
  <c r="BC12" i="5"/>
  <c r="BC27" i="5" s="1"/>
  <c r="AV12" i="5"/>
  <c r="AV27" i="5" s="1"/>
  <c r="G12" i="5"/>
  <c r="G27" i="5" s="1"/>
  <c r="BO12" i="5"/>
  <c r="BO27" i="5" s="1"/>
  <c r="BG12" i="5"/>
  <c r="BG27" i="5" s="1"/>
  <c r="AU12" i="5"/>
  <c r="AU27" i="5" s="1"/>
  <c r="AQ12" i="5"/>
  <c r="AQ27" i="5" s="1"/>
  <c r="AM12" i="5"/>
  <c r="AM27" i="5" s="1"/>
  <c r="AI12" i="5"/>
  <c r="AI27" i="5" s="1"/>
  <c r="AE12" i="5"/>
  <c r="AE27" i="5" s="1"/>
  <c r="W12" i="5"/>
  <c r="W27" i="5" s="1"/>
  <c r="S12" i="5"/>
  <c r="S27" i="5" s="1"/>
  <c r="O12" i="5"/>
  <c r="O27" i="5" s="1"/>
  <c r="BS12" i="5"/>
  <c r="BS27" i="5" s="1"/>
  <c r="BK12" i="5"/>
  <c r="BK27" i="5" s="1"/>
  <c r="BF12" i="5"/>
  <c r="BF27" i="5" s="1"/>
  <c r="AY12" i="5"/>
  <c r="AY27" i="5" s="1"/>
  <c r="AT12" i="5"/>
  <c r="AT27" i="5" s="1"/>
  <c r="AH12" i="5"/>
  <c r="AH27" i="5" s="1"/>
  <c r="AA12" i="5"/>
  <c r="AA27" i="5" s="1"/>
  <c r="J12" i="5"/>
  <c r="J27" i="5" s="1"/>
  <c r="F12" i="5"/>
  <c r="BV12" i="5"/>
  <c r="BV27" i="5" s="1"/>
  <c r="BN12" i="5"/>
  <c r="BN27" i="5" s="1"/>
  <c r="BJ12" i="5"/>
  <c r="BJ27" i="5" s="1"/>
  <c r="AX12" i="5"/>
  <c r="AX27" i="5" s="1"/>
  <c r="AL12" i="5"/>
  <c r="AL27" i="5" s="1"/>
  <c r="AD12" i="5"/>
  <c r="AD27" i="5" s="1"/>
  <c r="Z12" i="5"/>
  <c r="Z27" i="5" s="1"/>
  <c r="V12" i="5"/>
  <c r="V27" i="5" s="1"/>
  <c r="R12" i="5"/>
  <c r="R27" i="5" s="1"/>
  <c r="N12" i="5"/>
  <c r="N27" i="5" s="1"/>
  <c r="C4" i="8"/>
  <c r="C8" i="8" s="1"/>
  <c r="G7" i="4"/>
  <c r="G2" i="7"/>
  <c r="H3" i="7"/>
  <c r="G4" i="7"/>
  <c r="BB18" i="6" l="1"/>
  <c r="BB17" i="6" s="1"/>
  <c r="BC41" i="5"/>
  <c r="BC42" i="5" s="1"/>
  <c r="BB34" i="10" s="1"/>
  <c r="BB33" i="10" s="1"/>
  <c r="CC18" i="10"/>
  <c r="CC19" i="10"/>
  <c r="AC10" i="5"/>
  <c r="AC22" i="6" s="1"/>
  <c r="CE30" i="5"/>
  <c r="CE38" i="5"/>
  <c r="CF38" i="5" s="1"/>
  <c r="G16" i="4"/>
  <c r="I99" i="9"/>
  <c r="G21" i="4" s="1"/>
  <c r="BZ7" i="5"/>
  <c r="I97" i="9"/>
  <c r="G19" i="4" s="1"/>
  <c r="CE24" i="6"/>
  <c r="CE23" i="6"/>
  <c r="CE27" i="6"/>
  <c r="CD27" i="5"/>
  <c r="CD24" i="6"/>
  <c r="CD23" i="6"/>
  <c r="CD18" i="10" s="1"/>
  <c r="CD10" i="5"/>
  <c r="CE11" i="5"/>
  <c r="CE18" i="5"/>
  <c r="CE13" i="5"/>
  <c r="CE24" i="5"/>
  <c r="CE16" i="5"/>
  <c r="CE19" i="5"/>
  <c r="CE26" i="5"/>
  <c r="CE25" i="5"/>
  <c r="CE17" i="5"/>
  <c r="CA10" i="5"/>
  <c r="CA27" i="5"/>
  <c r="CE23" i="5"/>
  <c r="CB10" i="5"/>
  <c r="CB27" i="5"/>
  <c r="CE21" i="5"/>
  <c r="CC10" i="5"/>
  <c r="CC27" i="5"/>
  <c r="CE22" i="5"/>
  <c r="CE20" i="5"/>
  <c r="CE7" i="5"/>
  <c r="CC7" i="5"/>
  <c r="CF12" i="5"/>
  <c r="CF14" i="5"/>
  <c r="CG3" i="5"/>
  <c r="CF2" i="5"/>
  <c r="CF4" i="5"/>
  <c r="CF9" i="5"/>
  <c r="CF15" i="5" s="1"/>
  <c r="CF37" i="5"/>
  <c r="CF36" i="5"/>
  <c r="CB7" i="5"/>
  <c r="BZ10" i="5"/>
  <c r="BZ22" i="6" s="1"/>
  <c r="BZ27" i="5"/>
  <c r="BY7" i="5"/>
  <c r="BY14" i="10" s="1"/>
  <c r="CA7" i="5"/>
  <c r="CA14" i="10" s="1"/>
  <c r="CD7" i="5"/>
  <c r="AO10" i="5"/>
  <c r="AO22" i="6" s="1"/>
  <c r="G10" i="5"/>
  <c r="G22" i="6" s="1"/>
  <c r="BJ10" i="5"/>
  <c r="BJ22" i="6" s="1"/>
  <c r="O10" i="5"/>
  <c r="O22" i="6" s="1"/>
  <c r="BE10" i="5"/>
  <c r="BE22" i="6" s="1"/>
  <c r="BM10" i="5"/>
  <c r="BM22" i="6" s="1"/>
  <c r="AS10" i="5"/>
  <c r="AS22" i="6" s="1"/>
  <c r="BI10" i="5"/>
  <c r="BI22" i="6" s="1"/>
  <c r="AN10" i="5"/>
  <c r="AN22" i="6" s="1"/>
  <c r="BB10" i="5"/>
  <c r="BB22" i="6" s="1"/>
  <c r="I10" i="5"/>
  <c r="I22" i="6" s="1"/>
  <c r="AU10" i="5"/>
  <c r="AU22" i="6" s="1"/>
  <c r="BS7" i="5"/>
  <c r="BS8" i="5" s="1"/>
  <c r="BK7" i="5"/>
  <c r="BD7" i="5"/>
  <c r="BD8" i="5" s="1"/>
  <c r="BD26" i="6" s="1"/>
  <c r="AW7" i="5"/>
  <c r="AW8" i="5" s="1"/>
  <c r="AP7" i="5"/>
  <c r="AP8" i="5" s="1"/>
  <c r="AI7" i="5"/>
  <c r="AI8" i="5" s="1"/>
  <c r="AB7" i="5"/>
  <c r="AB8" i="5" s="1"/>
  <c r="U7" i="5"/>
  <c r="V7" i="5"/>
  <c r="AX7" i="5"/>
  <c r="AD7" i="5"/>
  <c r="BT7" i="5"/>
  <c r="BT8" i="5" s="1"/>
  <c r="BM7" i="5"/>
  <c r="BF7" i="5"/>
  <c r="BF8" i="5" s="1"/>
  <c r="BF26" i="6" s="1"/>
  <c r="AY7" i="5"/>
  <c r="AY8" i="5" s="1"/>
  <c r="AR7" i="5"/>
  <c r="AR8" i="5" s="1"/>
  <c r="AK7" i="5"/>
  <c r="AK8" i="5" s="1"/>
  <c r="BL7" i="5"/>
  <c r="BL8" i="5" s="1"/>
  <c r="AL7" i="5"/>
  <c r="AL8" i="5" s="1"/>
  <c r="W7" i="5"/>
  <c r="BU7" i="5"/>
  <c r="BU8" i="5" s="1"/>
  <c r="BN7" i="5"/>
  <c r="BN8" i="5" s="1"/>
  <c r="BG7" i="5"/>
  <c r="AZ7" i="5"/>
  <c r="AS7" i="5"/>
  <c r="AQ7" i="5"/>
  <c r="AQ8" i="5" s="1"/>
  <c r="C17" i="8"/>
  <c r="AT7" i="5"/>
  <c r="AE7" i="5"/>
  <c r="X7" i="5"/>
  <c r="X8" i="5" s="1"/>
  <c r="BV7" i="5"/>
  <c r="BV8" i="5" s="1"/>
  <c r="BV6" i="5" s="1"/>
  <c r="BO7" i="5"/>
  <c r="BO8" i="5" s="1"/>
  <c r="BH7" i="5"/>
  <c r="BB7" i="5"/>
  <c r="BB8" i="5" s="1"/>
  <c r="BE7" i="5"/>
  <c r="BE8" i="5" s="1"/>
  <c r="BA7" i="5"/>
  <c r="AM7" i="5"/>
  <c r="AM8" i="5" s="1"/>
  <c r="AF7" i="5"/>
  <c r="AF8" i="5" s="1"/>
  <c r="Y7" i="5"/>
  <c r="Y8" i="5" s="1"/>
  <c r="R7" i="5"/>
  <c r="BW7" i="5"/>
  <c r="BP7" i="5"/>
  <c r="BI7" i="5"/>
  <c r="BI8" i="5" s="1"/>
  <c r="AC7" i="5"/>
  <c r="AC8" i="5" s="1"/>
  <c r="BJ7" i="5"/>
  <c r="BJ8" i="5" s="1"/>
  <c r="AU7" i="5"/>
  <c r="AN7" i="5"/>
  <c r="AN8" i="5" s="1"/>
  <c r="AG7" i="5"/>
  <c r="Z7" i="5"/>
  <c r="Z8" i="5" s="1"/>
  <c r="S7" i="5"/>
  <c r="S8" i="5" s="1"/>
  <c r="BX7" i="5"/>
  <c r="BX8" i="5" s="1"/>
  <c r="BQ7" i="5"/>
  <c r="BQ8" i="5" s="1"/>
  <c r="AJ7" i="5"/>
  <c r="AJ8" i="5" s="1"/>
  <c r="BR7" i="5"/>
  <c r="BR14" i="10" s="1"/>
  <c r="BC7" i="5"/>
  <c r="BC8" i="5" s="1"/>
  <c r="AV7" i="5"/>
  <c r="AV14" i="10" s="1"/>
  <c r="AO7" i="5"/>
  <c r="AH7" i="5"/>
  <c r="AA7" i="5"/>
  <c r="AA14" i="10" s="1"/>
  <c r="T7" i="5"/>
  <c r="T14" i="10" s="1"/>
  <c r="AP10" i="5"/>
  <c r="AJ10" i="5"/>
  <c r="BT10" i="5"/>
  <c r="BT22" i="6" s="1"/>
  <c r="P10" i="5"/>
  <c r="P22" i="6" s="1"/>
  <c r="BA10" i="5"/>
  <c r="BA22" i="6" s="1"/>
  <c r="AY10" i="5"/>
  <c r="M10" i="5"/>
  <c r="M22" i="6" s="1"/>
  <c r="Y10" i="5"/>
  <c r="Y22" i="6" s="1"/>
  <c r="AG10" i="5"/>
  <c r="BY10" i="5"/>
  <c r="BY22" i="6" s="1"/>
  <c r="H10" i="5"/>
  <c r="H22" i="6" s="1"/>
  <c r="BN10" i="5"/>
  <c r="BP10" i="5"/>
  <c r="BP22" i="6" s="1"/>
  <c r="AM10" i="5"/>
  <c r="K10" i="5"/>
  <c r="K22" i="6" s="1"/>
  <c r="AQ10" i="5"/>
  <c r="AQ22" i="6" s="1"/>
  <c r="BF10" i="5"/>
  <c r="BF22" i="6" s="1"/>
  <c r="T10" i="5"/>
  <c r="T22" i="6" s="1"/>
  <c r="AA10" i="5"/>
  <c r="U10" i="5"/>
  <c r="Q10" i="5"/>
  <c r="Q22" i="6" s="1"/>
  <c r="AR10" i="5"/>
  <c r="AR22" i="6" s="1"/>
  <c r="BQ10" i="5"/>
  <c r="AF10" i="5"/>
  <c r="AF22" i="6" s="1"/>
  <c r="BH10" i="5"/>
  <c r="BC10" i="5"/>
  <c r="BG10" i="5"/>
  <c r="BS10" i="5"/>
  <c r="N10" i="5"/>
  <c r="BW10" i="5"/>
  <c r="AK10" i="5"/>
  <c r="AW10" i="5"/>
  <c r="AH10" i="5"/>
  <c r="BU10" i="5"/>
  <c r="BR10" i="5"/>
  <c r="BD10" i="5"/>
  <c r="W10" i="5"/>
  <c r="AB10" i="5"/>
  <c r="R10" i="5"/>
  <c r="J10" i="5"/>
  <c r="AE10" i="5"/>
  <c r="BL10" i="5"/>
  <c r="AX10" i="5"/>
  <c r="BX10" i="5"/>
  <c r="S10" i="5"/>
  <c r="X10" i="5"/>
  <c r="AV10" i="5"/>
  <c r="AZ10" i="5"/>
  <c r="L10" i="5"/>
  <c r="AI10" i="5"/>
  <c r="V10" i="5"/>
  <c r="BK10" i="5"/>
  <c r="BO10" i="5"/>
  <c r="AL10" i="5"/>
  <c r="AT10" i="5"/>
  <c r="BV10" i="5"/>
  <c r="D12" i="5"/>
  <c r="F27" i="5"/>
  <c r="Z10" i="5"/>
  <c r="AD10" i="5"/>
  <c r="F10" i="5"/>
  <c r="I3" i="7"/>
  <c r="H2" i="7"/>
  <c r="H4" i="7"/>
  <c r="BD41" i="5" l="1"/>
  <c r="BD42" i="5" s="1"/>
  <c r="BC34" i="10" s="1"/>
  <c r="BC33" i="10" s="1"/>
  <c r="BC40" i="5"/>
  <c r="BC18" i="6"/>
  <c r="BC17" i="6" s="1"/>
  <c r="AH14" i="10"/>
  <c r="AE14" i="10"/>
  <c r="BM14" i="10"/>
  <c r="AS14" i="10"/>
  <c r="BA14" i="10"/>
  <c r="BW14" i="10"/>
  <c r="BH14" i="10"/>
  <c r="V14" i="10"/>
  <c r="AG14" i="10"/>
  <c r="CB14" i="10"/>
  <c r="CA13" i="10" s="1"/>
  <c r="CA12" i="10" s="1"/>
  <c r="CA15" i="10" s="1"/>
  <c r="AT14" i="10"/>
  <c r="W14" i="10"/>
  <c r="CD14" i="10"/>
  <c r="BB22" i="10"/>
  <c r="AD14" i="10"/>
  <c r="BP14" i="10"/>
  <c r="AX14" i="10"/>
  <c r="BK14" i="10"/>
  <c r="AO14" i="10"/>
  <c r="BZ14" i="10"/>
  <c r="BY13" i="10" s="1"/>
  <c r="R14" i="10"/>
  <c r="AZ14" i="10"/>
  <c r="U14" i="10"/>
  <c r="BG14" i="10"/>
  <c r="AU14" i="10"/>
  <c r="CC14" i="10"/>
  <c r="CB13" i="10" s="1"/>
  <c r="CB12" i="10" s="1"/>
  <c r="CB15" i="10" s="1"/>
  <c r="CF30" i="5"/>
  <c r="CE35" i="5"/>
  <c r="CE6" i="6" s="1"/>
  <c r="CE5" i="6" s="1"/>
  <c r="CE19" i="10"/>
  <c r="AY14" i="10"/>
  <c r="C18" i="8"/>
  <c r="BZ8" i="5"/>
  <c r="BZ26" i="6" s="1"/>
  <c r="CF11" i="5"/>
  <c r="BZ17" i="10"/>
  <c r="CF24" i="5"/>
  <c r="CE8" i="5"/>
  <c r="CE6" i="5" s="1"/>
  <c r="CD19" i="10"/>
  <c r="CE18" i="10"/>
  <c r="CA22" i="6"/>
  <c r="CC22" i="6"/>
  <c r="CD22" i="6"/>
  <c r="CF24" i="6"/>
  <c r="CF23" i="6"/>
  <c r="CB22" i="6"/>
  <c r="CF27" i="6"/>
  <c r="CE10" i="5"/>
  <c r="CE27" i="5"/>
  <c r="CF35" i="5"/>
  <c r="CF6" i="6" s="1"/>
  <c r="CF5" i="6" s="1"/>
  <c r="CF26" i="5"/>
  <c r="CF13" i="5"/>
  <c r="CF25" i="5"/>
  <c r="CF19" i="5"/>
  <c r="CF7" i="5"/>
  <c r="CE14" i="10" s="1"/>
  <c r="CF23" i="5"/>
  <c r="CF17" i="5"/>
  <c r="CF22" i="5"/>
  <c r="CF21" i="5"/>
  <c r="CF18" i="5"/>
  <c r="CF20" i="5"/>
  <c r="CF16" i="5"/>
  <c r="CD8" i="5"/>
  <c r="CB8" i="5"/>
  <c r="CG12" i="5"/>
  <c r="CG2" i="5"/>
  <c r="CG14" i="5"/>
  <c r="CH3" i="5"/>
  <c r="CG4" i="5"/>
  <c r="CG9" i="5"/>
  <c r="CG21" i="5" s="1"/>
  <c r="CG30" i="5"/>
  <c r="CG36" i="5"/>
  <c r="CG38" i="5"/>
  <c r="CG37" i="5"/>
  <c r="CA8" i="5"/>
  <c r="CC8" i="5"/>
  <c r="BY8" i="5"/>
  <c r="AV8" i="5"/>
  <c r="AV26" i="6" s="1"/>
  <c r="AZ8" i="5"/>
  <c r="V8" i="5"/>
  <c r="V26" i="6" s="1"/>
  <c r="BP8" i="5"/>
  <c r="BP6" i="5" s="1"/>
  <c r="BP28" i="5" s="1"/>
  <c r="S14" i="10"/>
  <c r="BU14" i="10"/>
  <c r="AE8" i="5"/>
  <c r="AE6" i="5" s="1"/>
  <c r="AE28" i="5" s="1"/>
  <c r="BE14" i="10"/>
  <c r="BN22" i="6"/>
  <c r="BN17" i="10" s="1"/>
  <c r="AJ22" i="6"/>
  <c r="AG22" i="6"/>
  <c r="AG17" i="10" s="1"/>
  <c r="AP22" i="6"/>
  <c r="AP17" i="10" s="1"/>
  <c r="U22" i="6"/>
  <c r="U17" i="10" s="1"/>
  <c r="AY22" i="6"/>
  <c r="AP14" i="10"/>
  <c r="R8" i="5"/>
  <c r="R6" i="5" s="1"/>
  <c r="AL14" i="10"/>
  <c r="AI14" i="10"/>
  <c r="BB14" i="10"/>
  <c r="BM8" i="5"/>
  <c r="BM26" i="6" s="1"/>
  <c r="BH8" i="5"/>
  <c r="BH26" i="6" s="1"/>
  <c r="AG8" i="5"/>
  <c r="AG6" i="5" s="1"/>
  <c r="BQ14" i="10"/>
  <c r="BC14" i="10"/>
  <c r="AT8" i="5"/>
  <c r="AT6" i="5" s="1"/>
  <c r="AT28" i="5" s="1"/>
  <c r="BR8" i="5"/>
  <c r="BR6" i="5" s="1"/>
  <c r="BR28" i="5" s="1"/>
  <c r="BS14" i="10"/>
  <c r="BV14" i="10"/>
  <c r="BW8" i="5"/>
  <c r="BW6" i="5" s="1"/>
  <c r="AB14" i="10"/>
  <c r="Z14" i="10"/>
  <c r="U8" i="5"/>
  <c r="U26" i="6" s="1"/>
  <c r="BF6" i="5"/>
  <c r="BF28" i="5" s="1"/>
  <c r="BF14" i="10"/>
  <c r="BI14" i="10"/>
  <c r="AX8" i="5"/>
  <c r="AX26" i="6" s="1"/>
  <c r="X14" i="10"/>
  <c r="BN14" i="10"/>
  <c r="AR14" i="10"/>
  <c r="BA8" i="5"/>
  <c r="BA6" i="5" s="1"/>
  <c r="BA28" i="5" s="1"/>
  <c r="AO8" i="5"/>
  <c r="AO6" i="5" s="1"/>
  <c r="AO28" i="5" s="1"/>
  <c r="BK8" i="5"/>
  <c r="AM14" i="10"/>
  <c r="AC14" i="10"/>
  <c r="AK14" i="10"/>
  <c r="AH8" i="5"/>
  <c r="AH26" i="6" s="1"/>
  <c r="BH22" i="6"/>
  <c r="BI17" i="10" s="1"/>
  <c r="AA22" i="6"/>
  <c r="AM22" i="6"/>
  <c r="AN17" i="10" s="1"/>
  <c r="W8" i="5"/>
  <c r="BT14" i="10"/>
  <c r="BD6" i="5"/>
  <c r="BD28" i="5" s="1"/>
  <c r="BB17" i="10"/>
  <c r="BO14" i="10"/>
  <c r="AN14" i="10"/>
  <c r="AQ14" i="10"/>
  <c r="BQ22" i="6"/>
  <c r="BQ17" i="10" s="1"/>
  <c r="AD8" i="5"/>
  <c r="AD26" i="6" s="1"/>
  <c r="AU8" i="5"/>
  <c r="AU26" i="6" s="1"/>
  <c r="BD14" i="10"/>
  <c r="AJ14" i="10"/>
  <c r="BG8" i="5"/>
  <c r="BG6" i="5" s="1"/>
  <c r="BG28" i="5" s="1"/>
  <c r="BX14" i="10"/>
  <c r="AS8" i="5"/>
  <c r="AS26" i="6" s="1"/>
  <c r="T8" i="5"/>
  <c r="T26" i="6" s="1"/>
  <c r="Y14" i="10"/>
  <c r="AA8" i="5"/>
  <c r="BJ14" i="10"/>
  <c r="AW14" i="10"/>
  <c r="BL14" i="10"/>
  <c r="AF14" i="10"/>
  <c r="BJ17" i="10"/>
  <c r="AR17" i="10"/>
  <c r="H17" i="10"/>
  <c r="AR26" i="6"/>
  <c r="AN26" i="6"/>
  <c r="AY26" i="6"/>
  <c r="AL26" i="6"/>
  <c r="BI26" i="6"/>
  <c r="BX26" i="6"/>
  <c r="D27" i="5"/>
  <c r="BE26" i="6"/>
  <c r="BE20" i="10" s="1"/>
  <c r="BT26" i="6"/>
  <c r="BC26" i="6"/>
  <c r="AM26" i="6"/>
  <c r="AB26" i="6"/>
  <c r="X26" i="6"/>
  <c r="BL26" i="6"/>
  <c r="BO26" i="6"/>
  <c r="BS26" i="6"/>
  <c r="BB26" i="6"/>
  <c r="AI26" i="6"/>
  <c r="Y26" i="6"/>
  <c r="AF26" i="6"/>
  <c r="BQ26" i="6"/>
  <c r="AW26" i="6"/>
  <c r="BN26" i="6"/>
  <c r="AJ26" i="6"/>
  <c r="AP26" i="6"/>
  <c r="S26" i="6"/>
  <c r="AQ26" i="6"/>
  <c r="BJ26" i="6"/>
  <c r="AS17" i="10"/>
  <c r="AK26" i="6"/>
  <c r="AC26" i="6"/>
  <c r="Z26" i="6"/>
  <c r="BU26" i="6"/>
  <c r="BV26" i="6"/>
  <c r="P17" i="10"/>
  <c r="BF17" i="10"/>
  <c r="AO17" i="10"/>
  <c r="I17" i="10"/>
  <c r="Q17" i="10"/>
  <c r="BB6" i="5"/>
  <c r="BX22" i="6"/>
  <c r="BY17" i="10" s="1"/>
  <c r="W22" i="6"/>
  <c r="N22" i="6"/>
  <c r="O17" i="10" s="1"/>
  <c r="BK22" i="6"/>
  <c r="BK17" i="10" s="1"/>
  <c r="AX22" i="6"/>
  <c r="BD22" i="6"/>
  <c r="BE17" i="10" s="1"/>
  <c r="BS22" i="6"/>
  <c r="BT17" i="10" s="1"/>
  <c r="F22" i="6"/>
  <c r="G17" i="10" s="1"/>
  <c r="BQ6" i="5"/>
  <c r="V22" i="6"/>
  <c r="L22" i="6"/>
  <c r="M17" i="10" s="1"/>
  <c r="BL22" i="6"/>
  <c r="BM17" i="10" s="1"/>
  <c r="BR22" i="6"/>
  <c r="BG22" i="6"/>
  <c r="AZ22" i="6"/>
  <c r="BA17" i="10" s="1"/>
  <c r="AE22" i="6"/>
  <c r="AF17" i="10" s="1"/>
  <c r="BU22" i="6"/>
  <c r="BU17" i="10" s="1"/>
  <c r="BC22" i="6"/>
  <c r="AD22" i="6"/>
  <c r="AT22" i="6"/>
  <c r="AU17" i="10" s="1"/>
  <c r="AV22" i="6"/>
  <c r="AV17" i="10" s="1"/>
  <c r="J22" i="6"/>
  <c r="K17" i="10" s="1"/>
  <c r="AH22" i="6"/>
  <c r="Z22" i="6"/>
  <c r="AL22" i="6"/>
  <c r="X22" i="6"/>
  <c r="Y17" i="10" s="1"/>
  <c r="AW22" i="6"/>
  <c r="BO22" i="6"/>
  <c r="BP17" i="10" s="1"/>
  <c r="S22" i="6"/>
  <c r="T17" i="10" s="1"/>
  <c r="R22" i="6"/>
  <c r="AK22" i="6"/>
  <c r="BV22" i="6"/>
  <c r="AI22" i="6"/>
  <c r="AB22" i="6"/>
  <c r="AC17" i="10" s="1"/>
  <c r="BW22" i="6"/>
  <c r="BV28" i="5"/>
  <c r="D10" i="5"/>
  <c r="Y6" i="5"/>
  <c r="Y28" i="5" s="1"/>
  <c r="BE6" i="5"/>
  <c r="BT6" i="5"/>
  <c r="AM6" i="5"/>
  <c r="AB6" i="5"/>
  <c r="AB28" i="5" s="1"/>
  <c r="X6" i="5"/>
  <c r="BL6" i="5"/>
  <c r="BL28" i="5" s="1"/>
  <c r="BO6" i="5"/>
  <c r="BO28" i="5" s="1"/>
  <c r="BC6" i="5"/>
  <c r="BC28" i="5" s="1"/>
  <c r="BJ6" i="5"/>
  <c r="BJ28" i="5" s="1"/>
  <c r="BN6" i="5"/>
  <c r="BS6" i="5"/>
  <c r="BS28" i="5" s="1"/>
  <c r="AJ6" i="5"/>
  <c r="AF6" i="5"/>
  <c r="AF28" i="5" s="1"/>
  <c r="AW6" i="5"/>
  <c r="AW28" i="5" s="1"/>
  <c r="AP6" i="5"/>
  <c r="S6" i="5"/>
  <c r="S28" i="5" s="1"/>
  <c r="AQ6" i="5"/>
  <c r="AQ28" i="5" s="1"/>
  <c r="AK6" i="5"/>
  <c r="AK28" i="5" s="1"/>
  <c r="AC6" i="5"/>
  <c r="AC28" i="5" s="1"/>
  <c r="Z6" i="5"/>
  <c r="Z28" i="5" s="1"/>
  <c r="AR6" i="5"/>
  <c r="AR28" i="5" s="1"/>
  <c r="AN6" i="5"/>
  <c r="AN28" i="5" s="1"/>
  <c r="AY6" i="5"/>
  <c r="AL6" i="5"/>
  <c r="AL28" i="5" s="1"/>
  <c r="BI6" i="5"/>
  <c r="BI28" i="5" s="1"/>
  <c r="BU6" i="5"/>
  <c r="BU28" i="5" s="1"/>
  <c r="AI6" i="5"/>
  <c r="AI28" i="5" s="1"/>
  <c r="BX6" i="5"/>
  <c r="BX28" i="5" s="1"/>
  <c r="I2" i="7"/>
  <c r="J3" i="7"/>
  <c r="I4" i="7"/>
  <c r="BD40" i="5" l="1"/>
  <c r="BE41" i="5"/>
  <c r="BE40" i="5" s="1"/>
  <c r="BD18" i="6"/>
  <c r="BD17" i="6" s="1"/>
  <c r="BZ13" i="10"/>
  <c r="BZ12" i="10" s="1"/>
  <c r="BZ15" i="10" s="1"/>
  <c r="CC13" i="10"/>
  <c r="CC12" i="10" s="1"/>
  <c r="CC15" i="10" s="1"/>
  <c r="CD13" i="10"/>
  <c r="CD12" i="10" s="1"/>
  <c r="CD15" i="10" s="1"/>
  <c r="BC22" i="10"/>
  <c r="BZ6" i="5"/>
  <c r="BZ28" i="5" s="1"/>
  <c r="BZ39" i="5" s="1"/>
  <c r="CE28" i="5"/>
  <c r="CE29" i="5" s="1"/>
  <c r="BP26" i="6"/>
  <c r="BQ20" i="10" s="1"/>
  <c r="CD17" i="10"/>
  <c r="CD26" i="6"/>
  <c r="CC26" i="6"/>
  <c r="BY26" i="6"/>
  <c r="BZ20" i="10" s="1"/>
  <c r="CA26" i="6"/>
  <c r="CA20" i="10" s="1"/>
  <c r="CG22" i="5"/>
  <c r="CB26" i="6"/>
  <c r="CE26" i="6"/>
  <c r="CG27" i="6"/>
  <c r="CE22" i="6"/>
  <c r="CB17" i="10"/>
  <c r="CC17" i="10"/>
  <c r="CA17" i="10"/>
  <c r="CG23" i="5"/>
  <c r="CF8" i="5"/>
  <c r="CF6" i="5" s="1"/>
  <c r="CG24" i="5"/>
  <c r="BY6" i="5"/>
  <c r="BY28" i="5" s="1"/>
  <c r="BY39" i="5" s="1"/>
  <c r="CF27" i="5"/>
  <c r="CG18" i="5"/>
  <c r="CG25" i="5"/>
  <c r="CG7" i="5"/>
  <c r="CF14" i="10" s="1"/>
  <c r="CE13" i="10" s="1"/>
  <c r="CE12" i="10" s="1"/>
  <c r="CE15" i="10" s="1"/>
  <c r="CG15" i="5"/>
  <c r="CF18" i="10" s="1"/>
  <c r="CF10" i="5"/>
  <c r="CG19" i="5"/>
  <c r="CG16" i="5"/>
  <c r="CG26" i="5"/>
  <c r="CG17" i="5"/>
  <c r="CG13" i="5"/>
  <c r="CG11" i="5"/>
  <c r="CG35" i="5"/>
  <c r="CG6" i="6" s="1"/>
  <c r="CG5" i="6" s="1"/>
  <c r="CG20" i="5"/>
  <c r="CA6" i="5"/>
  <c r="CA28" i="5" s="1"/>
  <c r="CA29" i="5" s="1"/>
  <c r="CC6" i="5"/>
  <c r="CC28" i="5" s="1"/>
  <c r="CC39" i="5" s="1"/>
  <c r="CH9" i="5"/>
  <c r="CH13" i="5" s="1"/>
  <c r="CH12" i="5"/>
  <c r="CH2" i="5"/>
  <c r="CH14" i="5"/>
  <c r="CI3" i="5"/>
  <c r="CH4" i="5"/>
  <c r="CH30" i="5"/>
  <c r="CH36" i="5"/>
  <c r="CH37" i="5"/>
  <c r="CH38" i="5"/>
  <c r="CB6" i="5"/>
  <c r="CB28" i="5" s="1"/>
  <c r="CD6" i="5"/>
  <c r="CD28" i="5" s="1"/>
  <c r="AV6" i="5"/>
  <c r="AV28" i="5" s="1"/>
  <c r="AZ26" i="6"/>
  <c r="AZ20" i="10" s="1"/>
  <c r="AZ6" i="5"/>
  <c r="AZ28" i="5" s="1"/>
  <c r="AZ39" i="5" s="1"/>
  <c r="AZ43" i="5" s="1"/>
  <c r="AI39" i="5"/>
  <c r="AI43" i="5" s="1"/>
  <c r="Z39" i="5"/>
  <c r="Z43" i="5" s="1"/>
  <c r="AF39" i="5"/>
  <c r="AF43" i="5" s="1"/>
  <c r="BV29" i="5"/>
  <c r="BG29" i="5"/>
  <c r="BU29" i="5"/>
  <c r="BS29" i="5"/>
  <c r="BD29" i="5"/>
  <c r="AC39" i="5"/>
  <c r="AC43" i="5" s="1"/>
  <c r="BI29" i="5"/>
  <c r="AK39" i="5"/>
  <c r="AK43" i="5" s="1"/>
  <c r="AL39" i="5"/>
  <c r="AL43" i="5" s="1"/>
  <c r="BJ29" i="5"/>
  <c r="BP29" i="5"/>
  <c r="AB39" i="5"/>
  <c r="AB43" i="5" s="1"/>
  <c r="S39" i="5"/>
  <c r="S43" i="5" s="1"/>
  <c r="BC39" i="5"/>
  <c r="BC43" i="5" s="1"/>
  <c r="BO39" i="5"/>
  <c r="AO39" i="5"/>
  <c r="AO43" i="5" s="1"/>
  <c r="BF29" i="5"/>
  <c r="BR29" i="5"/>
  <c r="AQ39" i="5"/>
  <c r="AQ43" i="5" s="1"/>
  <c r="AN39" i="5"/>
  <c r="AN43" i="5" s="1"/>
  <c r="Y39" i="5"/>
  <c r="Y43" i="5" s="1"/>
  <c r="BX39" i="5"/>
  <c r="AR39" i="5"/>
  <c r="AR43" i="5" s="1"/>
  <c r="AW39" i="5"/>
  <c r="AW43" i="5" s="1"/>
  <c r="BL39" i="5"/>
  <c r="BA39" i="5"/>
  <c r="BA43" i="5" s="1"/>
  <c r="AT39" i="5"/>
  <c r="AT43" i="5" s="1"/>
  <c r="AE39" i="5"/>
  <c r="AE43" i="5" s="1"/>
  <c r="V6" i="5"/>
  <c r="V28" i="5" s="1"/>
  <c r="V29" i="5" s="1"/>
  <c r="AE26" i="6"/>
  <c r="AE20" i="10" s="1"/>
  <c r="AY17" i="10"/>
  <c r="AU6" i="5"/>
  <c r="AU28" i="5" s="1"/>
  <c r="AU29" i="5" s="1"/>
  <c r="BH6" i="5"/>
  <c r="AQ17" i="10"/>
  <c r="AJ17" i="10"/>
  <c r="V17" i="10"/>
  <c r="AO26" i="6"/>
  <c r="AO20" i="10" s="1"/>
  <c r="R26" i="6"/>
  <c r="S20" i="10" s="1"/>
  <c r="AA17" i="10"/>
  <c r="AX6" i="5"/>
  <c r="AX28" i="5" s="1"/>
  <c r="BT20" i="10"/>
  <c r="BM6" i="5"/>
  <c r="BM28" i="5" s="1"/>
  <c r="BK26" i="6"/>
  <c r="BL20" i="10" s="1"/>
  <c r="BK6" i="5"/>
  <c r="BK28" i="5" s="1"/>
  <c r="AG26" i="6"/>
  <c r="AG20" i="10" s="1"/>
  <c r="BW26" i="6"/>
  <c r="BX20" i="10" s="1"/>
  <c r="BC20" i="10"/>
  <c r="BX17" i="10"/>
  <c r="AS6" i="5"/>
  <c r="U6" i="5"/>
  <c r="BA26" i="6"/>
  <c r="AT26" i="6"/>
  <c r="AU20" i="10" s="1"/>
  <c r="AR20" i="10"/>
  <c r="BR26" i="6"/>
  <c r="BR20" i="10" s="1"/>
  <c r="BH17" i="10"/>
  <c r="W6" i="5"/>
  <c r="W28" i="5" s="1"/>
  <c r="W26" i="6"/>
  <c r="W20" i="10" s="1"/>
  <c r="BI20" i="10"/>
  <c r="AX20" i="10"/>
  <c r="AA6" i="5"/>
  <c r="T6" i="5"/>
  <c r="T28" i="5" s="1"/>
  <c r="BU20" i="10"/>
  <c r="AA26" i="6"/>
  <c r="AA20" i="10" s="1"/>
  <c r="AD6" i="5"/>
  <c r="AM17" i="10"/>
  <c r="AH6" i="5"/>
  <c r="AH28" i="5" s="1"/>
  <c r="AD20" i="10"/>
  <c r="BR17" i="10"/>
  <c r="T20" i="10"/>
  <c r="AJ28" i="5"/>
  <c r="AM28" i="5"/>
  <c r="BE28" i="5"/>
  <c r="X28" i="5"/>
  <c r="R28" i="5"/>
  <c r="BG26" i="6"/>
  <c r="BH20" i="10" s="1"/>
  <c r="AP28" i="5"/>
  <c r="BN28" i="5"/>
  <c r="AY28" i="5"/>
  <c r="BQ28" i="5"/>
  <c r="BW28" i="5"/>
  <c r="AG28" i="5"/>
  <c r="BT28" i="5"/>
  <c r="BB28" i="5"/>
  <c r="BM20" i="10"/>
  <c r="AQ20" i="10"/>
  <c r="BF39" i="5"/>
  <c r="BV17" i="10"/>
  <c r="BC29" i="5"/>
  <c r="Z20" i="10"/>
  <c r="AI20" i="10"/>
  <c r="AC20" i="10"/>
  <c r="BO29" i="5"/>
  <c r="BN20" i="10"/>
  <c r="AX17" i="10"/>
  <c r="AW20" i="10"/>
  <c r="BD17" i="10"/>
  <c r="AE17" i="10"/>
  <c r="BL29" i="5"/>
  <c r="AL17" i="10"/>
  <c r="AI17" i="10"/>
  <c r="BS39" i="5"/>
  <c r="S17" i="10"/>
  <c r="J17" i="10"/>
  <c r="F17" i="10"/>
  <c r="BC17" i="10"/>
  <c r="N17" i="10"/>
  <c r="L17" i="10"/>
  <c r="BG17" i="10"/>
  <c r="W17" i="10"/>
  <c r="BS17" i="10"/>
  <c r="BW17" i="10"/>
  <c r="AK17" i="10"/>
  <c r="AW17" i="10"/>
  <c r="AH17" i="10"/>
  <c r="AD17" i="10"/>
  <c r="AZ17" i="10"/>
  <c r="AB17" i="10"/>
  <c r="R17" i="10"/>
  <c r="X17" i="10"/>
  <c r="BG39" i="5"/>
  <c r="BO17" i="10"/>
  <c r="Z17" i="10"/>
  <c r="AT17" i="10"/>
  <c r="BL17" i="10"/>
  <c r="BI39" i="5"/>
  <c r="BD39" i="5"/>
  <c r="BD43" i="5" s="1"/>
  <c r="BA29" i="5"/>
  <c r="BJ39" i="5"/>
  <c r="BX29" i="5"/>
  <c r="BU39" i="5"/>
  <c r="BV39" i="5"/>
  <c r="BP39" i="5"/>
  <c r="BR39" i="5"/>
  <c r="BO20" i="10"/>
  <c r="AY20" i="10"/>
  <c r="U20" i="10"/>
  <c r="BV20" i="10"/>
  <c r="BJ20" i="10"/>
  <c r="Y20" i="10"/>
  <c r="AK20" i="10"/>
  <c r="AS20" i="10"/>
  <c r="AJ20" i="10"/>
  <c r="AV20" i="10"/>
  <c r="BF20" i="10"/>
  <c r="BD20" i="10"/>
  <c r="AL20" i="10"/>
  <c r="AN20" i="10"/>
  <c r="V20" i="10"/>
  <c r="AM20" i="10"/>
  <c r="AW29" i="5"/>
  <c r="Z29" i="5"/>
  <c r="S29" i="5"/>
  <c r="AC29" i="5"/>
  <c r="Y29" i="5"/>
  <c r="AR29" i="5"/>
  <c r="AO29" i="5"/>
  <c r="AK29" i="5"/>
  <c r="AB29" i="5"/>
  <c r="AE29" i="5"/>
  <c r="AI29" i="5"/>
  <c r="AF29" i="5"/>
  <c r="AQ29" i="5"/>
  <c r="AT29" i="5"/>
  <c r="AL29" i="5"/>
  <c r="AN29" i="5"/>
  <c r="J2" i="7"/>
  <c r="J4" i="7"/>
  <c r="K3" i="7"/>
  <c r="BE42" i="5" l="1"/>
  <c r="BD34" i="10" s="1"/>
  <c r="BD33" i="10" s="1"/>
  <c r="CF19" i="10"/>
  <c r="CE17" i="10"/>
  <c r="BD22" i="10"/>
  <c r="BZ29" i="5"/>
  <c r="BP20" i="10"/>
  <c r="BY29" i="5"/>
  <c r="CE39" i="5"/>
  <c r="CA39" i="5"/>
  <c r="CF28" i="5"/>
  <c r="CF29" i="5" s="1"/>
  <c r="CH7" i="5"/>
  <c r="CB20" i="10"/>
  <c r="AF20" i="10"/>
  <c r="CC20" i="10"/>
  <c r="CH20" i="5"/>
  <c r="BY20" i="10"/>
  <c r="CH24" i="5"/>
  <c r="CE20" i="10"/>
  <c r="CD20" i="10"/>
  <c r="CF26" i="6"/>
  <c r="CH27" i="6"/>
  <c r="CH21" i="5"/>
  <c r="CG24" i="6"/>
  <c r="CG23" i="6"/>
  <c r="CF22" i="6"/>
  <c r="CH17" i="5"/>
  <c r="CH23" i="5"/>
  <c r="CC29" i="5"/>
  <c r="CG8" i="5"/>
  <c r="CH18" i="5"/>
  <c r="CH11" i="5"/>
  <c r="CG10" i="5"/>
  <c r="CH26" i="5"/>
  <c r="CH35" i="5"/>
  <c r="CH6" i="6" s="1"/>
  <c r="CH5" i="6" s="1"/>
  <c r="CH15" i="5"/>
  <c r="CG27" i="5"/>
  <c r="CH25" i="5"/>
  <c r="CH22" i="5"/>
  <c r="CH16" i="5"/>
  <c r="CH19" i="5"/>
  <c r="CB29" i="5"/>
  <c r="CB39" i="5"/>
  <c r="CD29" i="5"/>
  <c r="CD39" i="5"/>
  <c r="CJ3" i="5"/>
  <c r="CI9" i="5"/>
  <c r="CI13" i="5" s="1"/>
  <c r="CI12" i="5"/>
  <c r="CI2" i="5"/>
  <c r="CI14" i="5"/>
  <c r="CI30" i="5"/>
  <c r="CI4" i="5"/>
  <c r="CI36" i="5"/>
  <c r="CI38" i="5"/>
  <c r="CI37" i="5"/>
  <c r="BA20" i="10"/>
  <c r="AZ29" i="5"/>
  <c r="BW20" i="10"/>
  <c r="X39" i="5"/>
  <c r="X43" i="5" s="1"/>
  <c r="AH39" i="5"/>
  <c r="AH43" i="5" s="1"/>
  <c r="T39" i="5"/>
  <c r="T43" i="5" s="1"/>
  <c r="AU39" i="5"/>
  <c r="AU43" i="5" s="1"/>
  <c r="BQ29" i="5"/>
  <c r="BE29" i="5"/>
  <c r="AX39" i="5"/>
  <c r="AX43" i="5" s="1"/>
  <c r="AY39" i="5"/>
  <c r="AY43" i="5" s="1"/>
  <c r="AM39" i="5"/>
  <c r="AM43" i="5" s="1"/>
  <c r="BK29" i="5"/>
  <c r="BB39" i="5"/>
  <c r="BB43" i="5" s="1"/>
  <c r="BN29" i="5"/>
  <c r="AJ39" i="5"/>
  <c r="AJ43" i="5" s="1"/>
  <c r="BT29" i="5"/>
  <c r="AP39" i="5"/>
  <c r="AP43" i="5" s="1"/>
  <c r="W39" i="5"/>
  <c r="W43" i="5" s="1"/>
  <c r="V39" i="5"/>
  <c r="V43" i="5" s="1"/>
  <c r="AX29" i="5"/>
  <c r="AG39" i="5"/>
  <c r="AG43" i="5" s="1"/>
  <c r="BM29" i="5"/>
  <c r="AV39" i="5"/>
  <c r="AV43" i="5" s="1"/>
  <c r="BW39" i="5"/>
  <c r="R39" i="5"/>
  <c r="R43" i="5" s="1"/>
  <c r="BH28" i="5"/>
  <c r="BH29" i="5" s="1"/>
  <c r="AH20" i="10"/>
  <c r="AP20" i="10"/>
  <c r="BK20" i="10"/>
  <c r="BM39" i="5"/>
  <c r="AD28" i="5"/>
  <c r="AA28" i="5"/>
  <c r="U28" i="5"/>
  <c r="AS28" i="5"/>
  <c r="BS20" i="10"/>
  <c r="AY29" i="5"/>
  <c r="BB20" i="10"/>
  <c r="W29" i="5"/>
  <c r="R29" i="5"/>
  <c r="AV29" i="5"/>
  <c r="AT20" i="10"/>
  <c r="AG29" i="5"/>
  <c r="BG20" i="10"/>
  <c r="AP29" i="5"/>
  <c r="BQ39" i="5"/>
  <c r="T29" i="5"/>
  <c r="X20" i="10"/>
  <c r="AB20" i="10"/>
  <c r="BN39" i="5"/>
  <c r="AH29" i="5"/>
  <c r="AJ29" i="5"/>
  <c r="AM29" i="5"/>
  <c r="BE39" i="5"/>
  <c r="BE43" i="5" s="1"/>
  <c r="BK39" i="5"/>
  <c r="BB29" i="5"/>
  <c r="BW29" i="5"/>
  <c r="X29" i="5"/>
  <c r="BT39" i="5"/>
  <c r="K2" i="7"/>
  <c r="L3" i="7"/>
  <c r="K4" i="7"/>
  <c r="BE18" i="6" l="1"/>
  <c r="BE17" i="6" s="1"/>
  <c r="BF41" i="5"/>
  <c r="BF42" i="5" s="1"/>
  <c r="BE34" i="10" s="1"/>
  <c r="BE33" i="10" s="1"/>
  <c r="CG18" i="10"/>
  <c r="CG19" i="10"/>
  <c r="CF17" i="10"/>
  <c r="CG14" i="10"/>
  <c r="CF13" i="10" s="1"/>
  <c r="CF12" i="10" s="1"/>
  <c r="CF15" i="10" s="1"/>
  <c r="CF39" i="5"/>
  <c r="CH8" i="5"/>
  <c r="CF20" i="10"/>
  <c r="CG26" i="6"/>
  <c r="CG22" i="6"/>
  <c r="CI27" i="6"/>
  <c r="CH23" i="6"/>
  <c r="CH18" i="10" s="1"/>
  <c r="CH24" i="6"/>
  <c r="CH19" i="10" s="1"/>
  <c r="CG6" i="5"/>
  <c r="CG28" i="5" s="1"/>
  <c r="CG29" i="5" s="1"/>
  <c r="CI22" i="5"/>
  <c r="CI17" i="5"/>
  <c r="CI11" i="5"/>
  <c r="CH27" i="5"/>
  <c r="CH10" i="5"/>
  <c r="CI24" i="5"/>
  <c r="CI7" i="5"/>
  <c r="CI20" i="5"/>
  <c r="CI15" i="5"/>
  <c r="CI25" i="5"/>
  <c r="CI23" i="5"/>
  <c r="CI18" i="5"/>
  <c r="CI19" i="5"/>
  <c r="CI16" i="5"/>
  <c r="CI21" i="5"/>
  <c r="CI26" i="5"/>
  <c r="CI35" i="5"/>
  <c r="CI6" i="6" s="1"/>
  <c r="CI5" i="6" s="1"/>
  <c r="CJ2" i="5"/>
  <c r="CJ4" i="5"/>
  <c r="CJ9" i="5"/>
  <c r="CJ17" i="5" s="1"/>
  <c r="CJ12" i="5"/>
  <c r="CJ14" i="5"/>
  <c r="CK3" i="5"/>
  <c r="CJ30" i="5"/>
  <c r="CJ36" i="5"/>
  <c r="CJ38" i="5"/>
  <c r="CJ37" i="5"/>
  <c r="U39" i="5"/>
  <c r="U43" i="5" s="1"/>
  <c r="AA39" i="5"/>
  <c r="AA43" i="5" s="1"/>
  <c r="BH39" i="5"/>
  <c r="AS39" i="5"/>
  <c r="AS43" i="5" s="1"/>
  <c r="AD39" i="5"/>
  <c r="AD43" i="5" s="1"/>
  <c r="AS29" i="5"/>
  <c r="U29" i="5"/>
  <c r="AD29" i="5"/>
  <c r="AA29" i="5"/>
  <c r="L2" i="7"/>
  <c r="L4" i="7"/>
  <c r="M3" i="7"/>
  <c r="BF40" i="5" l="1"/>
  <c r="BE22" i="10" s="1"/>
  <c r="CG20" i="10"/>
  <c r="CH14" i="10"/>
  <c r="CG13" i="10" s="1"/>
  <c r="CG12" i="10" s="1"/>
  <c r="CG15" i="10" s="1"/>
  <c r="CH6" i="5"/>
  <c r="CH28" i="5" s="1"/>
  <c r="CH29" i="5" s="1"/>
  <c r="BF18" i="6"/>
  <c r="BF17" i="6" s="1"/>
  <c r="BG41" i="5"/>
  <c r="CG39" i="5"/>
  <c r="CH26" i="6"/>
  <c r="CH22" i="6"/>
  <c r="CI23" i="6"/>
  <c r="CI24" i="6"/>
  <c r="CJ27" i="6"/>
  <c r="CG17" i="10"/>
  <c r="CJ21" i="5"/>
  <c r="CJ24" i="5"/>
  <c r="CJ26" i="5"/>
  <c r="CI8" i="5"/>
  <c r="CJ23" i="5"/>
  <c r="CJ15" i="5"/>
  <c r="CJ22" i="5"/>
  <c r="CJ13" i="5"/>
  <c r="CJ25" i="5"/>
  <c r="CI10" i="5"/>
  <c r="CI27" i="5"/>
  <c r="CJ20" i="5"/>
  <c r="CJ11" i="5"/>
  <c r="CJ16" i="5"/>
  <c r="CJ7" i="5"/>
  <c r="CI14" i="10" s="1"/>
  <c r="CH13" i="10" s="1"/>
  <c r="CH12" i="10" s="1"/>
  <c r="CH15" i="10" s="1"/>
  <c r="CJ19" i="5"/>
  <c r="CJ18" i="5"/>
  <c r="CJ35" i="5"/>
  <c r="CJ6" i="6" s="1"/>
  <c r="CJ5" i="6" s="1"/>
  <c r="CK2" i="5"/>
  <c r="CK4" i="5"/>
  <c r="CK9" i="5"/>
  <c r="CK13" i="5" s="1"/>
  <c r="CL3" i="5"/>
  <c r="CK12" i="5"/>
  <c r="CK14" i="5"/>
  <c r="CK37" i="5"/>
  <c r="CK36" i="5"/>
  <c r="CK38" i="5"/>
  <c r="CK30" i="5"/>
  <c r="M2" i="7"/>
  <c r="N3" i="7"/>
  <c r="M4" i="7"/>
  <c r="BF43" i="5" l="1"/>
  <c r="CI19" i="10"/>
  <c r="CI18" i="10"/>
  <c r="CH17" i="10"/>
  <c r="BG42" i="5"/>
  <c r="BG40" i="5"/>
  <c r="BF22" i="10" s="1"/>
  <c r="CH39" i="5"/>
  <c r="CI26" i="6"/>
  <c r="CH20" i="10"/>
  <c r="CI6" i="5"/>
  <c r="CI28" i="5" s="1"/>
  <c r="CK27" i="6"/>
  <c r="CI22" i="6"/>
  <c r="CJ23" i="6"/>
  <c r="CJ24" i="6"/>
  <c r="CJ8" i="5"/>
  <c r="CJ6" i="5" s="1"/>
  <c r="CJ10" i="5"/>
  <c r="CK24" i="5"/>
  <c r="CJ27" i="5"/>
  <c r="CK19" i="5"/>
  <c r="CK11" i="5"/>
  <c r="CK26" i="5"/>
  <c r="CK18" i="5"/>
  <c r="CK7" i="5"/>
  <c r="CJ14" i="10" s="1"/>
  <c r="CI13" i="10" s="1"/>
  <c r="CI12" i="10" s="1"/>
  <c r="CI15" i="10" s="1"/>
  <c r="CK21" i="5"/>
  <c r="CK16" i="5"/>
  <c r="CK23" i="5"/>
  <c r="CK15" i="5"/>
  <c r="CK22" i="5"/>
  <c r="CK17" i="5"/>
  <c r="CK20" i="5"/>
  <c r="CK25" i="5"/>
  <c r="CK35" i="5"/>
  <c r="CK6" i="6" s="1"/>
  <c r="CK5" i="6" s="1"/>
  <c r="CL4" i="5"/>
  <c r="CL14" i="5"/>
  <c r="CM3" i="5"/>
  <c r="CL9" i="5"/>
  <c r="CL19" i="5" s="1"/>
  <c r="CL12" i="5"/>
  <c r="CL30" i="5"/>
  <c r="CL38" i="5"/>
  <c r="CL2" i="5"/>
  <c r="CL37" i="5"/>
  <c r="CL36" i="5"/>
  <c r="O3" i="7"/>
  <c r="N4" i="7"/>
  <c r="N2" i="7"/>
  <c r="CJ19" i="10" l="1"/>
  <c r="CI20" i="10"/>
  <c r="CJ18" i="10"/>
  <c r="BH41" i="5"/>
  <c r="BH40" i="5" s="1"/>
  <c r="BG22" i="10" s="1"/>
  <c r="BF34" i="10"/>
  <c r="BF33" i="10" s="1"/>
  <c r="BG18" i="6"/>
  <c r="BG17" i="6" s="1"/>
  <c r="BG43" i="5"/>
  <c r="CI39" i="5"/>
  <c r="CI29" i="5"/>
  <c r="CJ26" i="6"/>
  <c r="CJ28" i="5"/>
  <c r="CJ29" i="5" s="1"/>
  <c r="CL27" i="6"/>
  <c r="CJ22" i="6"/>
  <c r="CK24" i="6"/>
  <c r="CK23" i="6"/>
  <c r="CI17" i="10"/>
  <c r="CK8" i="5"/>
  <c r="CL21" i="5"/>
  <c r="CL17" i="5"/>
  <c r="CL23" i="5"/>
  <c r="CK10" i="5"/>
  <c r="CK27" i="5"/>
  <c r="CL25" i="5"/>
  <c r="CL11" i="5"/>
  <c r="CL20" i="5"/>
  <c r="CL7" i="5"/>
  <c r="CL26" i="5"/>
  <c r="CL18" i="5"/>
  <c r="CL24" i="5"/>
  <c r="CL16" i="5"/>
  <c r="CL15" i="5"/>
  <c r="CL22" i="5"/>
  <c r="CL13" i="5"/>
  <c r="CL35" i="5"/>
  <c r="CL6" i="6" s="1"/>
  <c r="CL5" i="6" s="1"/>
  <c r="CN3" i="5"/>
  <c r="CM2" i="5"/>
  <c r="CM4" i="5"/>
  <c r="CM14" i="5"/>
  <c r="CM9" i="5"/>
  <c r="CM15" i="5" s="1"/>
  <c r="CM12" i="5"/>
  <c r="CM30" i="5"/>
  <c r="CM37" i="5"/>
  <c r="CM36" i="5"/>
  <c r="CM38" i="5"/>
  <c r="O4" i="7"/>
  <c r="O2" i="7"/>
  <c r="P3" i="7"/>
  <c r="BH42" i="5" l="1"/>
  <c r="BG34" i="10" s="1"/>
  <c r="BG33" i="10" s="1"/>
  <c r="CJ20" i="10"/>
  <c r="CK14" i="10"/>
  <c r="CJ13" i="10" s="1"/>
  <c r="CJ12" i="10" s="1"/>
  <c r="CJ15" i="10" s="1"/>
  <c r="CK18" i="10"/>
  <c r="CK19" i="10"/>
  <c r="BH43" i="5"/>
  <c r="CJ39" i="5"/>
  <c r="CJ17" i="10"/>
  <c r="CK26" i="6"/>
  <c r="CM26" i="5"/>
  <c r="CM22" i="5"/>
  <c r="CK6" i="5"/>
  <c r="CK28" i="5" s="1"/>
  <c r="CK39" i="5" s="1"/>
  <c r="CM13" i="5"/>
  <c r="CK22" i="6"/>
  <c r="CM20" i="5"/>
  <c r="CM27" i="6"/>
  <c r="CM18" i="5"/>
  <c r="CL24" i="6"/>
  <c r="CL19" i="10" s="1"/>
  <c r="CL23" i="6"/>
  <c r="CL18" i="10" s="1"/>
  <c r="CM24" i="6"/>
  <c r="CM23" i="6"/>
  <c r="CM24" i="5"/>
  <c r="CM21" i="5"/>
  <c r="CL10" i="5"/>
  <c r="CL8" i="5"/>
  <c r="CM19" i="5"/>
  <c r="CM16" i="5"/>
  <c r="CM11" i="5"/>
  <c r="CM17" i="5"/>
  <c r="CM25" i="5"/>
  <c r="CM7" i="5"/>
  <c r="CL14" i="10" s="1"/>
  <c r="CL27" i="5"/>
  <c r="CM23" i="5"/>
  <c r="CM35" i="5"/>
  <c r="CM6" i="6" s="1"/>
  <c r="CM5" i="6" s="1"/>
  <c r="CN12" i="5"/>
  <c r="CN14" i="5"/>
  <c r="CO3" i="5"/>
  <c r="CN2" i="5"/>
  <c r="CN4" i="5"/>
  <c r="CN9" i="5"/>
  <c r="CN18" i="5" s="1"/>
  <c r="CN30" i="5"/>
  <c r="CN37" i="5"/>
  <c r="CN36" i="5"/>
  <c r="CN38" i="5"/>
  <c r="P2" i="7"/>
  <c r="P4" i="7"/>
  <c r="Q3" i="7"/>
  <c r="BI41" i="5" l="1"/>
  <c r="BI40" i="5" s="1"/>
  <c r="BH22" i="10" s="1"/>
  <c r="BH18" i="6"/>
  <c r="BH17" i="6" s="1"/>
  <c r="CK13" i="10"/>
  <c r="CK12" i="10" s="1"/>
  <c r="CK15" i="10" s="1"/>
  <c r="CK20" i="10"/>
  <c r="BI42" i="5"/>
  <c r="CK29" i="5"/>
  <c r="CN20" i="5"/>
  <c r="CN15" i="5"/>
  <c r="CN24" i="6" s="1"/>
  <c r="CK17" i="10"/>
  <c r="CL26" i="6"/>
  <c r="CN21" i="5"/>
  <c r="CM10" i="5"/>
  <c r="CL22" i="6"/>
  <c r="CN27" i="6"/>
  <c r="CN26" i="5"/>
  <c r="CL6" i="5"/>
  <c r="CL28" i="5" s="1"/>
  <c r="CL29" i="5" s="1"/>
  <c r="CN16" i="5"/>
  <c r="CN11" i="5"/>
  <c r="CM27" i="5"/>
  <c r="CM8" i="5"/>
  <c r="CN13" i="5"/>
  <c r="CN24" i="5"/>
  <c r="CN19" i="5"/>
  <c r="CN22" i="5"/>
  <c r="CN7" i="5"/>
  <c r="CM14" i="10" s="1"/>
  <c r="CL13" i="10" s="1"/>
  <c r="CL12" i="10" s="1"/>
  <c r="CL15" i="10" s="1"/>
  <c r="CN17" i="5"/>
  <c r="CN25" i="5"/>
  <c r="CN23" i="5"/>
  <c r="CO12" i="5"/>
  <c r="CO2" i="5"/>
  <c r="CP3" i="5"/>
  <c r="CO4" i="5"/>
  <c r="CO14" i="5"/>
  <c r="CO9" i="5"/>
  <c r="CO13" i="5" s="1"/>
  <c r="CO36" i="5"/>
  <c r="CO38" i="5"/>
  <c r="CO30" i="5"/>
  <c r="CO37" i="5"/>
  <c r="CN35" i="5"/>
  <c r="CN6" i="6" s="1"/>
  <c r="CN5" i="6" s="1"/>
  <c r="R3" i="7"/>
  <c r="R7" i="7" s="1"/>
  <c r="R9" i="7" s="1"/>
  <c r="Q4" i="7"/>
  <c r="Q2" i="7"/>
  <c r="CM18" i="10" l="1"/>
  <c r="CM19" i="10"/>
  <c r="BH34" i="10"/>
  <c r="BH33" i="10" s="1"/>
  <c r="BJ41" i="5"/>
  <c r="BI18" i="6"/>
  <c r="BI17" i="6" s="1"/>
  <c r="BI43" i="5"/>
  <c r="CN23" i="6"/>
  <c r="CL20" i="10"/>
  <c r="CM26" i="6"/>
  <c r="CM6" i="5"/>
  <c r="CM28" i="5" s="1"/>
  <c r="CM29" i="5" s="1"/>
  <c r="CL39" i="5"/>
  <c r="CO27" i="6"/>
  <c r="CM22" i="6"/>
  <c r="CL17" i="10"/>
  <c r="CN10" i="5"/>
  <c r="CN8" i="5"/>
  <c r="CN6" i="5" s="1"/>
  <c r="CN27" i="5"/>
  <c r="CO22" i="5"/>
  <c r="CO17" i="5"/>
  <c r="CO16" i="5"/>
  <c r="CO11" i="5"/>
  <c r="CO21" i="5"/>
  <c r="CO7" i="5"/>
  <c r="CN14" i="10" s="1"/>
  <c r="CM13" i="10" s="1"/>
  <c r="CM12" i="10" s="1"/>
  <c r="CM15" i="10" s="1"/>
  <c r="CO23" i="5"/>
  <c r="CO26" i="5"/>
  <c r="CO25" i="5"/>
  <c r="CO19" i="5"/>
  <c r="CO18" i="5"/>
  <c r="CO15" i="5"/>
  <c r="CN19" i="10" s="1"/>
  <c r="CO20" i="5"/>
  <c r="CO24" i="5"/>
  <c r="CO35" i="5"/>
  <c r="CO6" i="6" s="1"/>
  <c r="CO5" i="6" s="1"/>
  <c r="CP2" i="5"/>
  <c r="CQ3" i="5"/>
  <c r="CP4" i="5"/>
  <c r="CP14" i="5"/>
  <c r="CP9" i="5"/>
  <c r="CP16" i="5" s="1"/>
  <c r="CP12" i="5"/>
  <c r="CP30" i="5"/>
  <c r="CP38" i="5"/>
  <c r="CP36" i="5"/>
  <c r="CP37" i="5"/>
  <c r="R2" i="7"/>
  <c r="S3" i="7"/>
  <c r="S7" i="7" s="1"/>
  <c r="S9" i="7" s="1"/>
  <c r="R4" i="7"/>
  <c r="CN18" i="10" l="1"/>
  <c r="BJ42" i="5"/>
  <c r="BJ40" i="5"/>
  <c r="BI22" i="10" s="1"/>
  <c r="CN28" i="5"/>
  <c r="CN39" i="5" s="1"/>
  <c r="CM39" i="5"/>
  <c r="CM20" i="10"/>
  <c r="CN26" i="6"/>
  <c r="CM17" i="10"/>
  <c r="CN22" i="6"/>
  <c r="CO10" i="5"/>
  <c r="CO24" i="6"/>
  <c r="CO23" i="6"/>
  <c r="CP27" i="6"/>
  <c r="CO27" i="5"/>
  <c r="CO8" i="5"/>
  <c r="CP11" i="5"/>
  <c r="CP24" i="5"/>
  <c r="CP7" i="5"/>
  <c r="CO14" i="10" s="1"/>
  <c r="CN13" i="10" s="1"/>
  <c r="CN12" i="10" s="1"/>
  <c r="CN15" i="10" s="1"/>
  <c r="CP26" i="5"/>
  <c r="CP18" i="5"/>
  <c r="CP22" i="5"/>
  <c r="CP15" i="5"/>
  <c r="CP13" i="5"/>
  <c r="CP23" i="5"/>
  <c r="CP19" i="5"/>
  <c r="CP21" i="5"/>
  <c r="CP17" i="5"/>
  <c r="CP25" i="5"/>
  <c r="CP20" i="5"/>
  <c r="CP35" i="5"/>
  <c r="CP6" i="6" s="1"/>
  <c r="CP5" i="6" s="1"/>
  <c r="CR3" i="5"/>
  <c r="CQ2" i="5"/>
  <c r="CQ4" i="5"/>
  <c r="CQ14" i="5"/>
  <c r="CQ9" i="5"/>
  <c r="CQ16" i="5" s="1"/>
  <c r="CQ30" i="5"/>
  <c r="CQ12" i="5"/>
  <c r="CQ36" i="5"/>
  <c r="CQ38" i="5"/>
  <c r="CQ37" i="5"/>
  <c r="S2" i="7"/>
  <c r="S4" i="7"/>
  <c r="T3" i="7"/>
  <c r="T4" i="7" s="1"/>
  <c r="F7" i="5"/>
  <c r="P7" i="5"/>
  <c r="K7" i="5"/>
  <c r="N7" i="5"/>
  <c r="I7" i="5"/>
  <c r="L7" i="5"/>
  <c r="Q7" i="5"/>
  <c r="Q14" i="10" s="1"/>
  <c r="G7" i="5"/>
  <c r="O7" i="5"/>
  <c r="O14" i="10" s="1"/>
  <c r="J7" i="5"/>
  <c r="M7" i="5"/>
  <c r="H7" i="5"/>
  <c r="C19" i="8"/>
  <c r="M14" i="10" l="1"/>
  <c r="CO18" i="10"/>
  <c r="G14" i="10"/>
  <c r="CN17" i="10"/>
  <c r="J14" i="10"/>
  <c r="I14" i="10"/>
  <c r="P14" i="10"/>
  <c r="CO19" i="10"/>
  <c r="L14" i="10"/>
  <c r="BK41" i="5"/>
  <c r="BK40" i="5" s="1"/>
  <c r="BJ22" i="10" s="1"/>
  <c r="BI34" i="10"/>
  <c r="BI33" i="10" s="1"/>
  <c r="H14" i="10"/>
  <c r="N14" i="10"/>
  <c r="K14" i="10"/>
  <c r="CN29" i="5"/>
  <c r="BJ18" i="6"/>
  <c r="BJ17" i="6" s="1"/>
  <c r="BJ43" i="5"/>
  <c r="BK42" i="5"/>
  <c r="BK18" i="6" s="1"/>
  <c r="BK17" i="6" s="1"/>
  <c r="CN20" i="10"/>
  <c r="CO26" i="6"/>
  <c r="CP23" i="6"/>
  <c r="CP24" i="6"/>
  <c r="CO22" i="6"/>
  <c r="CQ27" i="6"/>
  <c r="CP27" i="5"/>
  <c r="CO6" i="5"/>
  <c r="CO28" i="5" s="1"/>
  <c r="CO29" i="5" s="1"/>
  <c r="CP10" i="5"/>
  <c r="CP8" i="5"/>
  <c r="CQ19" i="5"/>
  <c r="CQ25" i="5"/>
  <c r="CQ11" i="5"/>
  <c r="CQ20" i="5"/>
  <c r="CQ17" i="5"/>
  <c r="CQ7" i="5"/>
  <c r="CP14" i="10" s="1"/>
  <c r="CO13" i="10" s="1"/>
  <c r="CO12" i="10" s="1"/>
  <c r="CO15" i="10" s="1"/>
  <c r="CQ15" i="5"/>
  <c r="CQ21" i="5"/>
  <c r="CQ23" i="5"/>
  <c r="CQ26" i="5"/>
  <c r="CQ13" i="5"/>
  <c r="CQ24" i="5"/>
  <c r="CQ18" i="5"/>
  <c r="CQ22" i="5"/>
  <c r="CQ35" i="5"/>
  <c r="CQ6" i="6" s="1"/>
  <c r="CQ5" i="6" s="1"/>
  <c r="CR2" i="5"/>
  <c r="CR4" i="5"/>
  <c r="CR9" i="5"/>
  <c r="CR19" i="5" s="1"/>
  <c r="CR12" i="5"/>
  <c r="CR14" i="5"/>
  <c r="CS3" i="5"/>
  <c r="CR30" i="5"/>
  <c r="CR36" i="5"/>
  <c r="CR38" i="5"/>
  <c r="CR37" i="5"/>
  <c r="U3" i="7"/>
  <c r="U7" i="7" s="1"/>
  <c r="U9" i="7" s="1"/>
  <c r="T7" i="7"/>
  <c r="T9" i="7" s="1"/>
  <c r="T2" i="7"/>
  <c r="K8" i="5"/>
  <c r="K6" i="5" s="1"/>
  <c r="K28" i="5" s="1"/>
  <c r="P8" i="5"/>
  <c r="N8" i="5"/>
  <c r="N6" i="5" s="1"/>
  <c r="N28" i="5" s="1"/>
  <c r="I8" i="5"/>
  <c r="I6" i="5" s="1"/>
  <c r="Q8" i="5"/>
  <c r="Q6" i="5" s="1"/>
  <c r="Q28" i="5" s="1"/>
  <c r="L8" i="5"/>
  <c r="H8" i="5"/>
  <c r="F14" i="10"/>
  <c r="D7" i="5"/>
  <c r="O8" i="5"/>
  <c r="J8" i="5"/>
  <c r="J26" i="6" s="1"/>
  <c r="M8" i="5"/>
  <c r="M6" i="5" s="1"/>
  <c r="M28" i="5" s="1"/>
  <c r="F8" i="5"/>
  <c r="G8" i="5"/>
  <c r="G7" i="7"/>
  <c r="G9" i="7" s="1"/>
  <c r="H7" i="7"/>
  <c r="H9" i="7" s="1"/>
  <c r="F7" i="7"/>
  <c r="F9" i="7" s="1"/>
  <c r="I7" i="7"/>
  <c r="I9" i="7" s="1"/>
  <c r="J7" i="7"/>
  <c r="J9" i="7" s="1"/>
  <c r="K7" i="7"/>
  <c r="K9" i="7" s="1"/>
  <c r="L7" i="7"/>
  <c r="L9" i="7" s="1"/>
  <c r="M7" i="7"/>
  <c r="M9" i="7" s="1"/>
  <c r="N7" i="7"/>
  <c r="N9" i="7" s="1"/>
  <c r="O7" i="7"/>
  <c r="O9" i="7" s="1"/>
  <c r="P7" i="7"/>
  <c r="P9" i="7" s="1"/>
  <c r="Q7" i="7"/>
  <c r="Q9" i="7" s="1"/>
  <c r="BJ34" i="10" l="1"/>
  <c r="BJ33" i="10" s="1"/>
  <c r="CP19" i="10"/>
  <c r="CP18" i="10"/>
  <c r="CO39" i="5"/>
  <c r="BL41" i="5"/>
  <c r="BL42" i="5" s="1"/>
  <c r="BK34" i="10" s="1"/>
  <c r="BK33" i="10" s="1"/>
  <c r="BK43" i="5"/>
  <c r="CP26" i="6"/>
  <c r="CP6" i="5"/>
  <c r="CP28" i="5" s="1"/>
  <c r="CP29" i="5" s="1"/>
  <c r="CO20" i="10"/>
  <c r="CR27" i="6"/>
  <c r="CQ23" i="6"/>
  <c r="CQ24" i="6"/>
  <c r="CP22" i="6"/>
  <c r="CO17" i="10"/>
  <c r="CQ8" i="5"/>
  <c r="CQ6" i="5" s="1"/>
  <c r="CR26" i="5"/>
  <c r="CQ10" i="5"/>
  <c r="CR23" i="5"/>
  <c r="CR21" i="5"/>
  <c r="CR15" i="5"/>
  <c r="CQ27" i="5"/>
  <c r="CR16" i="5"/>
  <c r="CR25" i="5"/>
  <c r="CR17" i="5"/>
  <c r="CR20" i="5"/>
  <c r="CR18" i="5"/>
  <c r="CR13" i="5"/>
  <c r="CR11" i="5"/>
  <c r="CR24" i="5"/>
  <c r="CR7" i="5"/>
  <c r="CQ14" i="10" s="1"/>
  <c r="CP13" i="10" s="1"/>
  <c r="CP12" i="10" s="1"/>
  <c r="CP15" i="10" s="1"/>
  <c r="CR22" i="5"/>
  <c r="CS2" i="5"/>
  <c r="CS4" i="5"/>
  <c r="CS9" i="5"/>
  <c r="CS11" i="5" s="1"/>
  <c r="CS12" i="5"/>
  <c r="CT3" i="5"/>
  <c r="CS14" i="5"/>
  <c r="CS37" i="5"/>
  <c r="CS30" i="5"/>
  <c r="CS36" i="5"/>
  <c r="CS38" i="5"/>
  <c r="CR35" i="5"/>
  <c r="CR6" i="6" s="1"/>
  <c r="CR5" i="6" s="1"/>
  <c r="U2" i="7"/>
  <c r="U4" i="7"/>
  <c r="Q26" i="6"/>
  <c r="R20" i="10" s="1"/>
  <c r="V3" i="7"/>
  <c r="W3" i="7" s="1"/>
  <c r="M29" i="5"/>
  <c r="K29" i="5"/>
  <c r="N29" i="5"/>
  <c r="Q39" i="5"/>
  <c r="Q43" i="5" s="1"/>
  <c r="P6" i="5"/>
  <c r="P28" i="5" s="1"/>
  <c r="P29" i="5" s="1"/>
  <c r="P26" i="6"/>
  <c r="O6" i="5"/>
  <c r="O28" i="5" s="1"/>
  <c r="K26" i="6"/>
  <c r="K20" i="10" s="1"/>
  <c r="N26" i="6"/>
  <c r="I26" i="6"/>
  <c r="J20" i="10" s="1"/>
  <c r="L26" i="6"/>
  <c r="L6" i="5"/>
  <c r="J6" i="5"/>
  <c r="J28" i="5" s="1"/>
  <c r="M26" i="6"/>
  <c r="H26" i="6"/>
  <c r="H6" i="5"/>
  <c r="H28" i="5" s="1"/>
  <c r="O26" i="6"/>
  <c r="I28" i="5"/>
  <c r="N39" i="5"/>
  <c r="N43" i="5" s="1"/>
  <c r="N44" i="5" s="1"/>
  <c r="Q29" i="5"/>
  <c r="F26" i="6"/>
  <c r="F20" i="10" s="1"/>
  <c r="G26" i="6"/>
  <c r="K39" i="5"/>
  <c r="K43" i="5" s="1"/>
  <c r="K44" i="5" s="1"/>
  <c r="M39" i="5"/>
  <c r="M43" i="5" s="1"/>
  <c r="M44" i="5" s="1"/>
  <c r="F6" i="5"/>
  <c r="D8" i="5"/>
  <c r="D6" i="5" s="1"/>
  <c r="D28" i="5" s="1"/>
  <c r="G6" i="5"/>
  <c r="G28" i="5" s="1"/>
  <c r="D39" i="5" l="1"/>
  <c r="M28" i="6"/>
  <c r="M25" i="6" s="1"/>
  <c r="K28" i="6"/>
  <c r="K25" i="6" s="1"/>
  <c r="N28" i="6"/>
  <c r="N25" i="6" s="1"/>
  <c r="CQ19" i="10"/>
  <c r="CP17" i="10"/>
  <c r="CQ18" i="10"/>
  <c r="BM41" i="5"/>
  <c r="BM42" i="5" s="1"/>
  <c r="BL34" i="10" s="1"/>
  <c r="BL33" i="10" s="1"/>
  <c r="BL40" i="5"/>
  <c r="BK22" i="10" s="1"/>
  <c r="BL18" i="6"/>
  <c r="BL17" i="6" s="1"/>
  <c r="CP39" i="5"/>
  <c r="CS25" i="5"/>
  <c r="CQ28" i="5"/>
  <c r="CQ29" i="5" s="1"/>
  <c r="CP20" i="10"/>
  <c r="CS23" i="5"/>
  <c r="CQ26" i="6"/>
  <c r="CS24" i="5"/>
  <c r="CR23" i="6"/>
  <c r="CR24" i="6"/>
  <c r="CS7" i="5"/>
  <c r="CS19" i="5"/>
  <c r="CQ22" i="6"/>
  <c r="CS27" i="6"/>
  <c r="CR8" i="5"/>
  <c r="CR6" i="5" s="1"/>
  <c r="CR14" i="10"/>
  <c r="CQ13" i="10" s="1"/>
  <c r="CQ12" i="10" s="1"/>
  <c r="CQ15" i="10" s="1"/>
  <c r="CS21" i="5"/>
  <c r="CS18" i="5"/>
  <c r="CS16" i="5"/>
  <c r="CR10" i="5"/>
  <c r="CS17" i="5"/>
  <c r="CR27" i="5"/>
  <c r="CS26" i="5"/>
  <c r="CS22" i="5"/>
  <c r="CS15" i="5"/>
  <c r="CS13" i="5"/>
  <c r="CS35" i="5"/>
  <c r="CS6" i="6" s="1"/>
  <c r="CS5" i="6" s="1"/>
  <c r="CS20" i="5"/>
  <c r="CT12" i="5"/>
  <c r="CT2" i="5"/>
  <c r="CT4" i="5"/>
  <c r="CU3" i="5"/>
  <c r="CT14" i="5"/>
  <c r="CT9" i="5"/>
  <c r="CT7" i="5" s="1"/>
  <c r="CT30" i="5"/>
  <c r="CT37" i="5"/>
  <c r="CT38" i="5"/>
  <c r="CT36" i="5"/>
  <c r="V4" i="7"/>
  <c r="V7" i="7"/>
  <c r="V9" i="7" s="1"/>
  <c r="V2" i="7"/>
  <c r="Q20" i="10"/>
  <c r="L28" i="5"/>
  <c r="L39" i="5" s="1"/>
  <c r="L43" i="5" s="1"/>
  <c r="L44" i="5" s="1"/>
  <c r="I29" i="5"/>
  <c r="G39" i="5"/>
  <c r="G43" i="5" s="1"/>
  <c r="G44" i="5" s="1"/>
  <c r="J29" i="5"/>
  <c r="H39" i="5"/>
  <c r="H43" i="5" s="1"/>
  <c r="H44" i="5" s="1"/>
  <c r="O29" i="5"/>
  <c r="P39" i="5"/>
  <c r="P43" i="5" s="1"/>
  <c r="P44" i="5" s="1"/>
  <c r="N20" i="10"/>
  <c r="O20" i="10"/>
  <c r="L20" i="10"/>
  <c r="I20" i="10"/>
  <c r="J39" i="5"/>
  <c r="J43" i="5" s="1"/>
  <c r="J44" i="5" s="1"/>
  <c r="H29" i="5"/>
  <c r="M20" i="10"/>
  <c r="P20" i="10"/>
  <c r="I39" i="5"/>
  <c r="I43" i="5" s="1"/>
  <c r="I44" i="5" s="1"/>
  <c r="N47" i="5"/>
  <c r="K47" i="5"/>
  <c r="F28" i="5"/>
  <c r="O39" i="5"/>
  <c r="O43" i="5" s="1"/>
  <c r="O44" i="5" s="1"/>
  <c r="G20" i="10"/>
  <c r="M47" i="5"/>
  <c r="H20" i="10"/>
  <c r="G29" i="5"/>
  <c r="D29" i="5"/>
  <c r="O11" i="4" s="1"/>
  <c r="W7" i="7"/>
  <c r="W9" i="7" s="1"/>
  <c r="W2" i="7"/>
  <c r="X3" i="7"/>
  <c r="W4" i="7"/>
  <c r="G28" i="6" l="1"/>
  <c r="G25" i="6" s="1"/>
  <c r="L28" i="6"/>
  <c r="H47" i="5"/>
  <c r="I28" i="6"/>
  <c r="I25" i="6" s="1"/>
  <c r="CQ17" i="10"/>
  <c r="CR19" i="10"/>
  <c r="CR18" i="10"/>
  <c r="CQ20" i="10"/>
  <c r="CS14" i="10"/>
  <c r="CR13" i="10" s="1"/>
  <c r="CR12" i="10" s="1"/>
  <c r="CR15" i="10" s="1"/>
  <c r="BL22" i="10"/>
  <c r="BL43" i="5"/>
  <c r="BN41" i="5"/>
  <c r="BN42" i="5" s="1"/>
  <c r="BM34" i="10" s="1"/>
  <c r="BM33" i="10" s="1"/>
  <c r="BM40" i="5"/>
  <c r="BM18" i="6"/>
  <c r="BM17" i="6" s="1"/>
  <c r="CQ39" i="5"/>
  <c r="CT15" i="5"/>
  <c r="CT23" i="6" s="1"/>
  <c r="CR26" i="6"/>
  <c r="CS8" i="5"/>
  <c r="CS6" i="5" s="1"/>
  <c r="CT27" i="6"/>
  <c r="CR28" i="5"/>
  <c r="CR39" i="5" s="1"/>
  <c r="CR22" i="6"/>
  <c r="CS23" i="6"/>
  <c r="CS24" i="6"/>
  <c r="CT21" i="5"/>
  <c r="CT19" i="5"/>
  <c r="CT20" i="5"/>
  <c r="CT26" i="5"/>
  <c r="CS10" i="5"/>
  <c r="CT17" i="5"/>
  <c r="CT24" i="5"/>
  <c r="CT18" i="5"/>
  <c r="CT13" i="5"/>
  <c r="CS27" i="5"/>
  <c r="CT22" i="5"/>
  <c r="CT16" i="5"/>
  <c r="CT25" i="5"/>
  <c r="CT11" i="5"/>
  <c r="CT23" i="5"/>
  <c r="CT35" i="5"/>
  <c r="CT6" i="6" s="1"/>
  <c r="CT5" i="6" s="1"/>
  <c r="CT8" i="5"/>
  <c r="CV3" i="5"/>
  <c r="CU9" i="5"/>
  <c r="CU11" i="5" s="1"/>
  <c r="CU12" i="5"/>
  <c r="CU2" i="5"/>
  <c r="CU4" i="5"/>
  <c r="CU14" i="5"/>
  <c r="CU37" i="5"/>
  <c r="CU36" i="5"/>
  <c r="CU38" i="5"/>
  <c r="CU30" i="5"/>
  <c r="L29" i="5"/>
  <c r="L47" i="5"/>
  <c r="P28" i="6"/>
  <c r="P25" i="6" s="1"/>
  <c r="F29" i="5"/>
  <c r="J47" i="5"/>
  <c r="F39" i="5"/>
  <c r="F43" i="5" s="1"/>
  <c r="F44" i="5" s="1"/>
  <c r="G47" i="5"/>
  <c r="X7" i="7"/>
  <c r="X9" i="7" s="1"/>
  <c r="Y3" i="7"/>
  <c r="X4" i="7"/>
  <c r="X2" i="7"/>
  <c r="I47" i="5" l="1"/>
  <c r="H28" i="6"/>
  <c r="H25" i="6" s="1"/>
  <c r="L25" i="6"/>
  <c r="L21" i="10"/>
  <c r="L16" i="10" s="1"/>
  <c r="M21" i="10"/>
  <c r="M16" i="10" s="1"/>
  <c r="J28" i="6"/>
  <c r="F47" i="5"/>
  <c r="F16" i="6" s="1"/>
  <c r="G16" i="6" s="1"/>
  <c r="CS18" i="10"/>
  <c r="CR20" i="10"/>
  <c r="O47" i="5"/>
  <c r="N21" i="10"/>
  <c r="N16" i="10" s="1"/>
  <c r="BM43" i="5"/>
  <c r="BN18" i="6"/>
  <c r="BN17" i="6" s="1"/>
  <c r="BN40" i="5"/>
  <c r="BM22" i="10" s="1"/>
  <c r="BO41" i="5"/>
  <c r="CR29" i="5"/>
  <c r="CT24" i="6"/>
  <c r="CS28" i="5"/>
  <c r="CS39" i="5" s="1"/>
  <c r="CU22" i="5"/>
  <c r="CR17" i="10"/>
  <c r="CU24" i="5"/>
  <c r="CU26" i="5"/>
  <c r="CU25" i="5"/>
  <c r="CU16" i="5"/>
  <c r="CU7" i="5"/>
  <c r="CU18" i="5"/>
  <c r="CS26" i="6"/>
  <c r="CU17" i="5"/>
  <c r="CU27" i="6"/>
  <c r="CU15" i="5"/>
  <c r="CT18" i="10" s="1"/>
  <c r="CS19" i="10"/>
  <c r="CS22" i="6"/>
  <c r="CT27" i="5"/>
  <c r="CT10" i="5"/>
  <c r="CU23" i="5"/>
  <c r="CU13" i="5"/>
  <c r="CU21" i="5"/>
  <c r="CU19" i="5"/>
  <c r="CU20" i="5"/>
  <c r="CU35" i="5"/>
  <c r="CU6" i="6" s="1"/>
  <c r="CU5" i="6" s="1"/>
  <c r="CT6" i="5"/>
  <c r="CV12" i="5"/>
  <c r="CV14" i="5"/>
  <c r="CW3" i="5"/>
  <c r="CV2" i="5"/>
  <c r="CV4" i="5"/>
  <c r="CV9" i="5"/>
  <c r="CV13" i="5" s="1"/>
  <c r="CV30" i="5"/>
  <c r="CV37" i="5"/>
  <c r="CV38" i="5"/>
  <c r="CV36" i="5"/>
  <c r="P47" i="5"/>
  <c r="J29" i="10"/>
  <c r="N29" i="10"/>
  <c r="M29" i="10"/>
  <c r="K29" i="10"/>
  <c r="L29" i="10"/>
  <c r="F46" i="5"/>
  <c r="G46" i="5" s="1"/>
  <c r="H46" i="5" s="1"/>
  <c r="I46" i="5" s="1"/>
  <c r="J46" i="5" s="1"/>
  <c r="K46" i="5" s="1"/>
  <c r="L46" i="5" s="1"/>
  <c r="M46" i="5" s="1"/>
  <c r="N46" i="5" s="1"/>
  <c r="O46" i="5" s="1"/>
  <c r="P46" i="5" s="1"/>
  <c r="Q46" i="5" s="1"/>
  <c r="O28" i="6"/>
  <c r="O21" i="10" s="1"/>
  <c r="O16" i="10" s="1"/>
  <c r="H21" i="10"/>
  <c r="H16" i="10" s="1"/>
  <c r="Y7" i="7"/>
  <c r="Y9" i="7" s="1"/>
  <c r="Z3" i="7"/>
  <c r="Y4" i="7"/>
  <c r="Y2" i="7"/>
  <c r="I21" i="10" l="1"/>
  <c r="I16" i="10" s="1"/>
  <c r="F28" i="6"/>
  <c r="F21" i="10" s="1"/>
  <c r="F16" i="10" s="1"/>
  <c r="J25" i="6"/>
  <c r="K21" i="10"/>
  <c r="K16" i="10" s="1"/>
  <c r="J21" i="10"/>
  <c r="J16" i="10" s="1"/>
  <c r="CT14" i="10"/>
  <c r="CS13" i="10" s="1"/>
  <c r="CS12" i="10" s="1"/>
  <c r="CS15" i="10" s="1"/>
  <c r="CT19" i="10"/>
  <c r="BO42" i="5"/>
  <c r="BO40" i="5"/>
  <c r="BN22" i="10" s="1"/>
  <c r="BN43" i="5"/>
  <c r="CS29" i="5"/>
  <c r="CU8" i="5"/>
  <c r="CT26" i="6"/>
  <c r="CS20" i="10"/>
  <c r="CV27" i="6"/>
  <c r="CS17" i="10"/>
  <c r="CT22" i="6"/>
  <c r="CU24" i="6"/>
  <c r="CU23" i="6"/>
  <c r="CT28" i="5"/>
  <c r="CT29" i="5" s="1"/>
  <c r="CU10" i="5"/>
  <c r="CU27" i="5"/>
  <c r="CV26" i="5"/>
  <c r="CV11" i="5"/>
  <c r="CV24" i="5"/>
  <c r="CV22" i="5"/>
  <c r="CV25" i="5"/>
  <c r="CV17" i="5"/>
  <c r="CV23" i="5"/>
  <c r="CV18" i="5"/>
  <c r="CV20" i="5"/>
  <c r="CV21" i="5"/>
  <c r="CV16" i="5"/>
  <c r="CV7" i="5"/>
  <c r="CU14" i="10" s="1"/>
  <c r="CV19" i="5"/>
  <c r="CV15" i="5"/>
  <c r="CW12" i="5"/>
  <c r="CW14" i="5"/>
  <c r="CW9" i="5"/>
  <c r="CW7" i="5" s="1"/>
  <c r="CW2" i="5"/>
  <c r="CW4" i="5"/>
  <c r="CX3" i="5"/>
  <c r="CW36" i="5"/>
  <c r="CW38" i="5"/>
  <c r="CW37" i="5"/>
  <c r="CW30" i="5"/>
  <c r="CV35" i="5"/>
  <c r="CV6" i="6" s="1"/>
  <c r="CV5" i="6" s="1"/>
  <c r="I29" i="10"/>
  <c r="R46" i="5"/>
  <c r="Q45" i="5"/>
  <c r="O25" i="6"/>
  <c r="G29" i="10"/>
  <c r="H16" i="6"/>
  <c r="Z7" i="7"/>
  <c r="Z9" i="7" s="1"/>
  <c r="Z2" i="7"/>
  <c r="Z4" i="7"/>
  <c r="AA3" i="7"/>
  <c r="P21" i="10" l="1"/>
  <c r="P16" i="10" s="1"/>
  <c r="Q44" i="5"/>
  <c r="F25" i="6"/>
  <c r="G21" i="10"/>
  <c r="G16" i="10" s="1"/>
  <c r="CT13" i="10"/>
  <c r="CT12" i="10" s="1"/>
  <c r="CT15" i="10" s="1"/>
  <c r="BO18" i="6"/>
  <c r="BO17" i="6" s="1"/>
  <c r="BN34" i="10"/>
  <c r="BN33" i="10" s="1"/>
  <c r="CU18" i="10"/>
  <c r="CU19" i="10"/>
  <c r="CU6" i="5"/>
  <c r="CU28" i="5" s="1"/>
  <c r="CU29" i="5" s="1"/>
  <c r="BP41" i="5"/>
  <c r="BP42" i="5" s="1"/>
  <c r="BO34" i="10" s="1"/>
  <c r="BO33" i="10" s="1"/>
  <c r="BO43" i="5"/>
  <c r="CT20" i="10"/>
  <c r="CT39" i="5"/>
  <c r="CU26" i="6"/>
  <c r="CW27" i="6"/>
  <c r="CU22" i="6"/>
  <c r="CV24" i="6"/>
  <c r="CV23" i="6"/>
  <c r="CT17" i="10"/>
  <c r="CW16" i="5"/>
  <c r="CW21" i="5"/>
  <c r="CW25" i="5"/>
  <c r="CW22" i="5"/>
  <c r="CW19" i="5"/>
  <c r="CW13" i="5"/>
  <c r="CW24" i="5"/>
  <c r="CW11" i="5"/>
  <c r="CV8" i="5"/>
  <c r="CV6" i="5" s="1"/>
  <c r="CV14" i="10"/>
  <c r="CU13" i="10" s="1"/>
  <c r="CU12" i="10" s="1"/>
  <c r="CU15" i="10" s="1"/>
  <c r="CW20" i="5"/>
  <c r="CW23" i="5"/>
  <c r="CW26" i="5"/>
  <c r="CW18" i="5"/>
  <c r="CV10" i="5"/>
  <c r="CV27" i="5"/>
  <c r="CW15" i="5"/>
  <c r="CW17" i="5"/>
  <c r="CW8" i="5"/>
  <c r="CW35" i="5"/>
  <c r="CW6" i="6" s="1"/>
  <c r="CW5" i="6" s="1"/>
  <c r="CY3" i="5"/>
  <c r="CX4" i="5"/>
  <c r="CX14" i="5"/>
  <c r="CX9" i="5"/>
  <c r="CX26" i="5" s="1"/>
  <c r="CX12" i="5"/>
  <c r="CX2" i="5"/>
  <c r="CX30" i="5"/>
  <c r="CX36" i="5"/>
  <c r="CX38" i="5"/>
  <c r="CX37" i="5"/>
  <c r="O29" i="10"/>
  <c r="H29" i="10"/>
  <c r="Q28" i="6"/>
  <c r="Q47" i="5"/>
  <c r="R45" i="5"/>
  <c r="R44" i="5" s="1"/>
  <c r="S46" i="5"/>
  <c r="I16" i="6"/>
  <c r="AA7" i="7"/>
  <c r="AA9" i="7" s="1"/>
  <c r="AA4" i="7"/>
  <c r="AA2" i="7"/>
  <c r="AB3" i="7"/>
  <c r="CU17" i="10" l="1"/>
  <c r="CV18" i="10"/>
  <c r="CV19" i="10"/>
  <c r="BP18" i="6"/>
  <c r="BP17" i="6" s="1"/>
  <c r="BP40" i="5"/>
  <c r="BO22" i="10" s="1"/>
  <c r="BQ41" i="5"/>
  <c r="CU39" i="5"/>
  <c r="CV26" i="6"/>
  <c r="CU20" i="10"/>
  <c r="CV22" i="6"/>
  <c r="CW10" i="5"/>
  <c r="CW27" i="5"/>
  <c r="CV28" i="5"/>
  <c r="CV29" i="5" s="1"/>
  <c r="CX27" i="6"/>
  <c r="CW24" i="6"/>
  <c r="CW23" i="6"/>
  <c r="CX23" i="5"/>
  <c r="CX21" i="5"/>
  <c r="CX16" i="5"/>
  <c r="CX20" i="5"/>
  <c r="CX15" i="5"/>
  <c r="CX24" i="5"/>
  <c r="CX22" i="5"/>
  <c r="CX18" i="5"/>
  <c r="CX25" i="5"/>
  <c r="CX11" i="5"/>
  <c r="CX19" i="5"/>
  <c r="CX17" i="5"/>
  <c r="CX7" i="5"/>
  <c r="CW14" i="10" s="1"/>
  <c r="CV13" i="10" s="1"/>
  <c r="CV12" i="10" s="1"/>
  <c r="CV15" i="10" s="1"/>
  <c r="CX13" i="5"/>
  <c r="CZ3" i="5"/>
  <c r="CY2" i="5"/>
  <c r="CY4" i="5"/>
  <c r="CY14" i="5"/>
  <c r="CY9" i="5"/>
  <c r="CY18" i="5" s="1"/>
  <c r="CY12" i="5"/>
  <c r="CY30" i="5"/>
  <c r="CY36" i="5"/>
  <c r="CY38" i="5"/>
  <c r="CY37" i="5"/>
  <c r="CW6" i="5"/>
  <c r="CX35" i="5"/>
  <c r="CX6" i="6" s="1"/>
  <c r="CX5" i="6" s="1"/>
  <c r="P29" i="10"/>
  <c r="S45" i="5"/>
  <c r="S44" i="5" s="1"/>
  <c r="T46" i="5"/>
  <c r="R28" i="6"/>
  <c r="R47" i="5"/>
  <c r="Q25" i="6"/>
  <c r="Q21" i="10"/>
  <c r="J16" i="6"/>
  <c r="AB7" i="7"/>
  <c r="AB9" i="7" s="1"/>
  <c r="AC3" i="7"/>
  <c r="AB4" i="7"/>
  <c r="AB2" i="7"/>
  <c r="CW18" i="10" l="1"/>
  <c r="CV20" i="10"/>
  <c r="CW19" i="10"/>
  <c r="BQ42" i="5"/>
  <c r="BQ40" i="5"/>
  <c r="BP43" i="5"/>
  <c r="BP22" i="10"/>
  <c r="Q16" i="10"/>
  <c r="CV39" i="5"/>
  <c r="CW28" i="5"/>
  <c r="CW29" i="5" s="1"/>
  <c r="CY17" i="5"/>
  <c r="CY25" i="5"/>
  <c r="CY24" i="5"/>
  <c r="CY22" i="5"/>
  <c r="CW26" i="6"/>
  <c r="CY21" i="5"/>
  <c r="CW22" i="6"/>
  <c r="CX23" i="6"/>
  <c r="CX24" i="6"/>
  <c r="CV17" i="10"/>
  <c r="CY27" i="6"/>
  <c r="CX27" i="5"/>
  <c r="CY13" i="5"/>
  <c r="CX10" i="5"/>
  <c r="CY23" i="5"/>
  <c r="CY16" i="5"/>
  <c r="CX8" i="5"/>
  <c r="CY26" i="5"/>
  <c r="CY7" i="5"/>
  <c r="CY15" i="5"/>
  <c r="CY19" i="5"/>
  <c r="CY20" i="5"/>
  <c r="CY11" i="5"/>
  <c r="CY35" i="5"/>
  <c r="CY6" i="6" s="1"/>
  <c r="CY5" i="6" s="1"/>
  <c r="CZ2" i="5"/>
  <c r="CZ4" i="5"/>
  <c r="CZ9" i="5"/>
  <c r="CZ13" i="5" s="1"/>
  <c r="CZ12" i="5"/>
  <c r="CZ14" i="5"/>
  <c r="DA3" i="5"/>
  <c r="CZ30" i="5"/>
  <c r="CZ36" i="5"/>
  <c r="CZ38" i="5"/>
  <c r="CZ37" i="5"/>
  <c r="F13" i="6"/>
  <c r="R25" i="6"/>
  <c r="R21" i="10"/>
  <c r="R16" i="10" s="1"/>
  <c r="T45" i="5"/>
  <c r="T44" i="5" s="1"/>
  <c r="U46" i="5"/>
  <c r="S28" i="6"/>
  <c r="S47" i="5"/>
  <c r="E30" i="6"/>
  <c r="K16" i="6"/>
  <c r="AC7" i="7"/>
  <c r="AC9" i="7" s="1"/>
  <c r="AC4" i="7"/>
  <c r="AC2" i="7"/>
  <c r="AD3" i="7"/>
  <c r="CX14" i="10" l="1"/>
  <c r="CW13" i="10" s="1"/>
  <c r="CW12" i="10" s="1"/>
  <c r="CW15" i="10" s="1"/>
  <c r="CX19" i="10"/>
  <c r="BR41" i="5"/>
  <c r="BR42" i="5" s="1"/>
  <c r="BP34" i="10"/>
  <c r="BP33" i="10" s="1"/>
  <c r="CX18" i="10"/>
  <c r="CW39" i="5"/>
  <c r="BQ18" i="6"/>
  <c r="BQ17" i="6" s="1"/>
  <c r="BQ43" i="5"/>
  <c r="CY27" i="5"/>
  <c r="CX26" i="6"/>
  <c r="CW20" i="10"/>
  <c r="CY23" i="6"/>
  <c r="CY24" i="6"/>
  <c r="CY10" i="5"/>
  <c r="CZ27" i="6"/>
  <c r="CX22" i="6"/>
  <c r="CX17" i="10" s="1"/>
  <c r="CW17" i="10"/>
  <c r="CX6" i="5"/>
  <c r="CX28" i="5" s="1"/>
  <c r="CX29" i="5" s="1"/>
  <c r="CY8" i="5"/>
  <c r="CZ26" i="5"/>
  <c r="CZ21" i="5"/>
  <c r="CZ11" i="5"/>
  <c r="CZ16" i="5"/>
  <c r="CZ24" i="5"/>
  <c r="CZ22" i="5"/>
  <c r="CZ19" i="5"/>
  <c r="CZ17" i="5"/>
  <c r="CZ7" i="5"/>
  <c r="CY14" i="10" s="1"/>
  <c r="CZ20" i="5"/>
  <c r="CZ18" i="5"/>
  <c r="CZ25" i="5"/>
  <c r="CZ15" i="5"/>
  <c r="CZ23" i="5"/>
  <c r="CZ35" i="5"/>
  <c r="CZ6" i="6" s="1"/>
  <c r="CZ5" i="6" s="1"/>
  <c r="DA2" i="5"/>
  <c r="DA4" i="5"/>
  <c r="DA9" i="5"/>
  <c r="DA11" i="5" s="1"/>
  <c r="DB3" i="5"/>
  <c r="DA14" i="5"/>
  <c r="DA12" i="5"/>
  <c r="DA37" i="5"/>
  <c r="DA36" i="5"/>
  <c r="DA38" i="5"/>
  <c r="DA30" i="5"/>
  <c r="Q30" i="10"/>
  <c r="V46" i="5"/>
  <c r="U45" i="5"/>
  <c r="U44" i="5" s="1"/>
  <c r="T28" i="6"/>
  <c r="T25" i="6" s="1"/>
  <c r="T47" i="5"/>
  <c r="S25" i="6"/>
  <c r="S21" i="10"/>
  <c r="S16" i="10" s="1"/>
  <c r="L16" i="6"/>
  <c r="AD7" i="7"/>
  <c r="AD9" i="7" s="1"/>
  <c r="AD2" i="7"/>
  <c r="AD4" i="7"/>
  <c r="AE3" i="7"/>
  <c r="CX13" i="10" l="1"/>
  <c r="CX12" i="10" s="1"/>
  <c r="CX15" i="10" s="1"/>
  <c r="BR40" i="5"/>
  <c r="BQ22" i="10" s="1"/>
  <c r="CY19" i="10"/>
  <c r="BQ34" i="10"/>
  <c r="BQ33" i="10" s="1"/>
  <c r="CY18" i="10"/>
  <c r="BS41" i="5"/>
  <c r="BR18" i="6"/>
  <c r="BR17" i="6" s="1"/>
  <c r="DA22" i="5"/>
  <c r="Q29" i="10"/>
  <c r="DA21" i="5"/>
  <c r="DA19" i="5"/>
  <c r="CY26" i="6"/>
  <c r="CX20" i="10"/>
  <c r="CY6" i="5"/>
  <c r="CY28" i="5" s="1"/>
  <c r="CY29" i="5" s="1"/>
  <c r="DA24" i="5"/>
  <c r="DA26" i="5"/>
  <c r="DA15" i="5"/>
  <c r="CY22" i="6"/>
  <c r="DA27" i="6"/>
  <c r="CZ23" i="6"/>
  <c r="CZ18" i="10" s="1"/>
  <c r="CZ24" i="6"/>
  <c r="CZ19" i="10" s="1"/>
  <c r="CX39" i="5"/>
  <c r="CZ8" i="5"/>
  <c r="DA7" i="5"/>
  <c r="DA23" i="5"/>
  <c r="DA20" i="5"/>
  <c r="DA16" i="5"/>
  <c r="CZ27" i="5"/>
  <c r="CZ10" i="5"/>
  <c r="DA17" i="5"/>
  <c r="DA13" i="5"/>
  <c r="DA25" i="5"/>
  <c r="DA18" i="5"/>
  <c r="DA35" i="5"/>
  <c r="DA6" i="6" s="1"/>
  <c r="DA5" i="6" s="1"/>
  <c r="DB2" i="5"/>
  <c r="DB4" i="5"/>
  <c r="DC3" i="5"/>
  <c r="DB9" i="5"/>
  <c r="DB17" i="5" s="1"/>
  <c r="DB14" i="5"/>
  <c r="DB12" i="5"/>
  <c r="DB30" i="5"/>
  <c r="DB37" i="5"/>
  <c r="DB38" i="5"/>
  <c r="DB36" i="5"/>
  <c r="G13" i="6"/>
  <c r="R30" i="10"/>
  <c r="R29" i="10" s="1"/>
  <c r="T21" i="10"/>
  <c r="T16" i="10" s="1"/>
  <c r="U28" i="6"/>
  <c r="U47" i="5"/>
  <c r="V45" i="5"/>
  <c r="V44" i="5" s="1"/>
  <c r="W46" i="5"/>
  <c r="H13" i="6"/>
  <c r="M16" i="6"/>
  <c r="AE7" i="7"/>
  <c r="AE9" i="7" s="1"/>
  <c r="AE2" i="7"/>
  <c r="AE4" i="7"/>
  <c r="AF3" i="7"/>
  <c r="BR43" i="5" l="1"/>
  <c r="CY20" i="10"/>
  <c r="CZ14" i="10"/>
  <c r="CY13" i="10" s="1"/>
  <c r="CY12" i="10" s="1"/>
  <c r="CY15" i="10" s="1"/>
  <c r="BS40" i="5"/>
  <c r="BR22" i="10" s="1"/>
  <c r="BS42" i="5"/>
  <c r="BR34" i="10" s="1"/>
  <c r="BR33" i="10" s="1"/>
  <c r="CY39" i="5"/>
  <c r="CZ26" i="6"/>
  <c r="CZ6" i="5"/>
  <c r="CZ28" i="5" s="1"/>
  <c r="DB19" i="5"/>
  <c r="DB27" i="6"/>
  <c r="DB23" i="5"/>
  <c r="DB7" i="5"/>
  <c r="DB21" i="5"/>
  <c r="DA10" i="5"/>
  <c r="DB25" i="5"/>
  <c r="DB18" i="5"/>
  <c r="DB26" i="5"/>
  <c r="DB13" i="5"/>
  <c r="CZ22" i="6"/>
  <c r="DB22" i="5"/>
  <c r="DA8" i="5"/>
  <c r="DA6" i="5" s="1"/>
  <c r="DA23" i="6"/>
  <c r="DA24" i="6"/>
  <c r="DB20" i="5"/>
  <c r="DB11" i="5"/>
  <c r="CY17" i="10"/>
  <c r="DA27" i="5"/>
  <c r="DB24" i="5"/>
  <c r="DB16" i="5"/>
  <c r="DB15" i="5"/>
  <c r="DD3" i="5"/>
  <c r="DC2" i="5"/>
  <c r="DC4" i="5"/>
  <c r="DC9" i="5"/>
  <c r="DC17" i="5" s="1"/>
  <c r="DC14" i="5"/>
  <c r="DC30" i="5"/>
  <c r="DC37" i="5"/>
  <c r="DC36" i="5"/>
  <c r="DC38" i="5"/>
  <c r="DC12" i="5"/>
  <c r="DB35" i="5"/>
  <c r="DB6" i="6" s="1"/>
  <c r="DB5" i="6" s="1"/>
  <c r="S30" i="10"/>
  <c r="T30" i="10"/>
  <c r="T29" i="10" s="1"/>
  <c r="U25" i="6"/>
  <c r="U21" i="10"/>
  <c r="U16" i="10" s="1"/>
  <c r="V28" i="6"/>
  <c r="V25" i="6" s="1"/>
  <c r="V47" i="5"/>
  <c r="W45" i="5"/>
  <c r="W44" i="5" s="1"/>
  <c r="X46" i="5"/>
  <c r="I13" i="6"/>
  <c r="N16" i="6"/>
  <c r="AF7" i="7"/>
  <c r="AF9" i="7" s="1"/>
  <c r="AG3" i="7"/>
  <c r="AF4" i="7"/>
  <c r="AF2" i="7"/>
  <c r="DA18" i="10" l="1"/>
  <c r="CZ20" i="10"/>
  <c r="DA14" i="10"/>
  <c r="CZ13" i="10" s="1"/>
  <c r="CZ12" i="10" s="1"/>
  <c r="CZ15" i="10" s="1"/>
  <c r="DA19" i="10"/>
  <c r="BT41" i="5"/>
  <c r="BS18" i="6"/>
  <c r="BS17" i="6" s="1"/>
  <c r="BS43" i="5"/>
  <c r="S29" i="10"/>
  <c r="DA28" i="5"/>
  <c r="DA39" i="5" s="1"/>
  <c r="DC13" i="5"/>
  <c r="CZ29" i="5"/>
  <c r="CZ39" i="5"/>
  <c r="DC16" i="5"/>
  <c r="DC26" i="5"/>
  <c r="DB8" i="5"/>
  <c r="DB6" i="5" s="1"/>
  <c r="DA26" i="6"/>
  <c r="DB27" i="5"/>
  <c r="DC20" i="5"/>
  <c r="DC7" i="5"/>
  <c r="DC24" i="5"/>
  <c r="DA22" i="6"/>
  <c r="CZ17" i="10"/>
  <c r="DB10" i="5"/>
  <c r="DB24" i="6"/>
  <c r="DB23" i="6"/>
  <c r="DC27" i="6"/>
  <c r="DC11" i="5"/>
  <c r="DC18" i="5"/>
  <c r="DC23" i="5"/>
  <c r="DC19" i="5"/>
  <c r="DC21" i="5"/>
  <c r="DC22" i="5"/>
  <c r="DC15" i="5"/>
  <c r="DC25" i="5"/>
  <c r="DD12" i="5"/>
  <c r="DD14" i="5"/>
  <c r="DE3" i="5"/>
  <c r="DD2" i="5"/>
  <c r="DD4" i="5"/>
  <c r="DD9" i="5"/>
  <c r="DD17" i="5" s="1"/>
  <c r="DD30" i="5"/>
  <c r="DD37" i="5"/>
  <c r="DD36" i="5"/>
  <c r="DD38" i="5"/>
  <c r="DC35" i="5"/>
  <c r="DC6" i="6" s="1"/>
  <c r="DC5" i="6" s="1"/>
  <c r="V21" i="10"/>
  <c r="V16" i="10" s="1"/>
  <c r="Y46" i="5"/>
  <c r="X45" i="5"/>
  <c r="X44" i="5" s="1"/>
  <c r="W28" i="6"/>
  <c r="W47" i="5"/>
  <c r="J13" i="6"/>
  <c r="O16" i="6"/>
  <c r="AG7" i="7"/>
  <c r="AG9" i="7" s="1"/>
  <c r="AG4" i="7"/>
  <c r="AH3" i="7"/>
  <c r="AG2" i="7"/>
  <c r="DB19" i="10" l="1"/>
  <c r="DB18" i="10"/>
  <c r="DB14" i="10"/>
  <c r="DA13" i="10" s="1"/>
  <c r="DA12" i="10" s="1"/>
  <c r="DA15" i="10" s="1"/>
  <c r="DA17" i="10"/>
  <c r="BT42" i="5"/>
  <c r="BS34" i="10" s="1"/>
  <c r="BS33" i="10" s="1"/>
  <c r="BT40" i="5"/>
  <c r="BS22" i="10" s="1"/>
  <c r="DA29" i="5"/>
  <c r="DC8" i="5"/>
  <c r="DB28" i="5"/>
  <c r="DB29" i="5" s="1"/>
  <c r="DA20" i="10"/>
  <c r="DC27" i="5"/>
  <c r="DB26" i="6"/>
  <c r="DB22" i="6"/>
  <c r="DD27" i="6"/>
  <c r="DC10" i="5"/>
  <c r="DC24" i="6"/>
  <c r="DC23" i="6"/>
  <c r="DD24" i="5"/>
  <c r="DD11" i="5"/>
  <c r="DD20" i="5"/>
  <c r="DD25" i="5"/>
  <c r="DD19" i="5"/>
  <c r="DD22" i="5"/>
  <c r="DD23" i="5"/>
  <c r="DD18" i="5"/>
  <c r="DD21" i="5"/>
  <c r="DD16" i="5"/>
  <c r="DD15" i="5"/>
  <c r="DD26" i="5"/>
  <c r="DD13" i="5"/>
  <c r="DD7" i="5"/>
  <c r="DE12" i="5"/>
  <c r="DE2" i="5"/>
  <c r="DF3" i="5"/>
  <c r="DE4" i="5"/>
  <c r="DE9" i="5"/>
  <c r="DE7" i="5" s="1"/>
  <c r="DE14" i="5"/>
  <c r="DE36" i="5"/>
  <c r="DE38" i="5"/>
  <c r="DE37" i="5"/>
  <c r="DE30" i="5"/>
  <c r="DD35" i="5"/>
  <c r="DD6" i="6" s="1"/>
  <c r="DD5" i="6" s="1"/>
  <c r="V30" i="10"/>
  <c r="V29" i="10" s="1"/>
  <c r="U30" i="10"/>
  <c r="W25" i="6"/>
  <c r="W21" i="10"/>
  <c r="W16" i="10" s="1"/>
  <c r="X28" i="6"/>
  <c r="X47" i="5"/>
  <c r="Z46" i="5"/>
  <c r="Y45" i="5"/>
  <c r="Y44" i="5" s="1"/>
  <c r="K13" i="6"/>
  <c r="P16" i="6"/>
  <c r="AH7" i="7"/>
  <c r="AH9" i="7" s="1"/>
  <c r="AH4" i="7"/>
  <c r="AI3" i="7"/>
  <c r="AH2" i="7"/>
  <c r="DD14" i="10" l="1"/>
  <c r="DC18" i="10"/>
  <c r="DC14" i="10"/>
  <c r="DB13" i="10" s="1"/>
  <c r="DB12" i="10" s="1"/>
  <c r="DB15" i="10" s="1"/>
  <c r="DC19" i="10"/>
  <c r="DC6" i="5"/>
  <c r="DC28" i="5" s="1"/>
  <c r="DC29" i="5" s="1"/>
  <c r="DB39" i="5"/>
  <c r="BT43" i="5"/>
  <c r="BU41" i="5"/>
  <c r="BU42" i="5" s="1"/>
  <c r="BT34" i="10" s="1"/>
  <c r="BT33" i="10" s="1"/>
  <c r="BT18" i="6"/>
  <c r="BT17" i="6" s="1"/>
  <c r="U29" i="10"/>
  <c r="DB20" i="10"/>
  <c r="DD10" i="5"/>
  <c r="DD22" i="6" s="1"/>
  <c r="DC26" i="6"/>
  <c r="DC22" i="6"/>
  <c r="DE25" i="5"/>
  <c r="DB17" i="10"/>
  <c r="DE21" i="5"/>
  <c r="DE22" i="5"/>
  <c r="DE23" i="5"/>
  <c r="DD27" i="5"/>
  <c r="DD24" i="6"/>
  <c r="DD23" i="6"/>
  <c r="DE27" i="6"/>
  <c r="DD8" i="5"/>
  <c r="DE20" i="5"/>
  <c r="DE24" i="5"/>
  <c r="DE18" i="5"/>
  <c r="DE16" i="5"/>
  <c r="DE19" i="5"/>
  <c r="DE15" i="5"/>
  <c r="DE11" i="5"/>
  <c r="DE17" i="5"/>
  <c r="DE13" i="5"/>
  <c r="DE26" i="5"/>
  <c r="DE35" i="5"/>
  <c r="DE6" i="6" s="1"/>
  <c r="DE5" i="6" s="1"/>
  <c r="DF12" i="5"/>
  <c r="DF2" i="5"/>
  <c r="DG3" i="5"/>
  <c r="DF4" i="5"/>
  <c r="DF30" i="5"/>
  <c r="DF14" i="5"/>
  <c r="DF38" i="5"/>
  <c r="DF9" i="5"/>
  <c r="DF26" i="5" s="1"/>
  <c r="DF37" i="5"/>
  <c r="DF36" i="5"/>
  <c r="DE8" i="5"/>
  <c r="Y28" i="6"/>
  <c r="Y47" i="5"/>
  <c r="AA46" i="5"/>
  <c r="Z45" i="5"/>
  <c r="Z44" i="5" s="1"/>
  <c r="X25" i="6"/>
  <c r="X21" i="10"/>
  <c r="X16" i="10" s="1"/>
  <c r="L13" i="6"/>
  <c r="Q16" i="6"/>
  <c r="AI7" i="7"/>
  <c r="AI9" i="7" s="1"/>
  <c r="AI4" i="7"/>
  <c r="AJ3" i="7"/>
  <c r="AI2" i="7"/>
  <c r="DD19" i="10" l="1"/>
  <c r="DD18" i="10"/>
  <c r="DC13" i="10"/>
  <c r="DC12" i="10" s="1"/>
  <c r="DC15" i="10" s="1"/>
  <c r="BU40" i="5"/>
  <c r="BT22" i="10" s="1"/>
  <c r="BV41" i="5"/>
  <c r="BU18" i="6"/>
  <c r="BU17" i="6" s="1"/>
  <c r="DC39" i="5"/>
  <c r="DC20" i="10"/>
  <c r="DD26" i="6"/>
  <c r="DC17" i="10"/>
  <c r="DF27" i="6"/>
  <c r="DE24" i="6"/>
  <c r="DE23" i="6"/>
  <c r="DE18" i="10" s="1"/>
  <c r="DF16" i="5"/>
  <c r="DF22" i="5"/>
  <c r="DF20" i="5"/>
  <c r="DF13" i="5"/>
  <c r="DF18" i="5"/>
  <c r="DF19" i="5"/>
  <c r="DF25" i="5"/>
  <c r="DF7" i="5"/>
  <c r="DD6" i="5"/>
  <c r="DD28" i="5" s="1"/>
  <c r="DD39" i="5" s="1"/>
  <c r="DF23" i="5"/>
  <c r="DF15" i="5"/>
  <c r="DF21" i="5"/>
  <c r="DF17" i="5"/>
  <c r="DF24" i="5"/>
  <c r="DE10" i="5"/>
  <c r="DE27" i="5"/>
  <c r="DF11" i="5"/>
  <c r="DE6" i="5"/>
  <c r="DH3" i="5"/>
  <c r="DG9" i="5"/>
  <c r="DG13" i="5" s="1"/>
  <c r="DG14" i="5"/>
  <c r="DG12" i="5"/>
  <c r="DG2" i="5"/>
  <c r="DG4" i="5"/>
  <c r="DG30" i="5"/>
  <c r="DG36" i="5"/>
  <c r="DG38" i="5"/>
  <c r="DG37" i="5"/>
  <c r="DF35" i="5"/>
  <c r="DF6" i="6" s="1"/>
  <c r="DF5" i="6" s="1"/>
  <c r="W30" i="10"/>
  <c r="W29" i="10" s="1"/>
  <c r="Z28" i="6"/>
  <c r="Z47" i="5"/>
  <c r="AA45" i="5"/>
  <c r="AA44" i="5" s="1"/>
  <c r="AB46" i="5"/>
  <c r="Y25" i="6"/>
  <c r="Y21" i="10"/>
  <c r="Y16" i="10" s="1"/>
  <c r="M13" i="6"/>
  <c r="R16" i="6"/>
  <c r="AJ7" i="7"/>
  <c r="AJ9" i="7" s="1"/>
  <c r="AJ4" i="7"/>
  <c r="AK3" i="7"/>
  <c r="AJ2" i="7"/>
  <c r="DE19" i="10" l="1"/>
  <c r="DD17" i="10"/>
  <c r="DE14" i="10"/>
  <c r="DD13" i="10" s="1"/>
  <c r="DD12" i="10" s="1"/>
  <c r="DD15" i="10" s="1"/>
  <c r="BV42" i="5"/>
  <c r="BV40" i="5"/>
  <c r="BU43" i="5"/>
  <c r="BU22" i="10"/>
  <c r="DD29" i="5"/>
  <c r="DD20" i="10"/>
  <c r="DE26" i="6"/>
  <c r="DF23" i="6"/>
  <c r="DF24" i="6"/>
  <c r="DF8" i="5"/>
  <c r="DF6" i="5" s="1"/>
  <c r="DE22" i="6"/>
  <c r="DG27" i="6"/>
  <c r="DF10" i="5"/>
  <c r="DF27" i="5"/>
  <c r="DG20" i="5"/>
  <c r="DE28" i="5"/>
  <c r="DG17" i="5"/>
  <c r="DG7" i="5"/>
  <c r="DG21" i="5"/>
  <c r="DG18" i="5"/>
  <c r="DG25" i="5"/>
  <c r="DG19" i="5"/>
  <c r="DG11" i="5"/>
  <c r="DG23" i="5"/>
  <c r="DG26" i="5"/>
  <c r="DG16" i="5"/>
  <c r="DG24" i="5"/>
  <c r="DG15" i="5"/>
  <c r="DG22" i="5"/>
  <c r="DG35" i="5"/>
  <c r="DG6" i="6" s="1"/>
  <c r="DG5" i="6" s="1"/>
  <c r="DH2" i="5"/>
  <c r="DH4" i="5"/>
  <c r="DH9" i="5"/>
  <c r="DH7" i="5" s="1"/>
  <c r="DH12" i="5"/>
  <c r="DH14" i="5"/>
  <c r="DI3" i="5"/>
  <c r="DH30" i="5"/>
  <c r="DH36" i="5"/>
  <c r="DH38" i="5"/>
  <c r="DH37" i="5"/>
  <c r="X30" i="10"/>
  <c r="X29" i="10" s="1"/>
  <c r="AA28" i="6"/>
  <c r="AA47" i="5"/>
  <c r="AC46" i="5"/>
  <c r="AB45" i="5"/>
  <c r="AB44" i="5" s="1"/>
  <c r="Z25" i="6"/>
  <c r="Z21" i="10"/>
  <c r="Z16" i="10" s="1"/>
  <c r="N13" i="6"/>
  <c r="S16" i="6"/>
  <c r="AK7" i="7"/>
  <c r="AK9" i="7" s="1"/>
  <c r="AK4" i="7"/>
  <c r="AL3" i="7"/>
  <c r="AK2" i="7"/>
  <c r="DG14" i="10" l="1"/>
  <c r="DF19" i="10"/>
  <c r="BW41" i="5"/>
  <c r="BW42" i="5" s="1"/>
  <c r="BU34" i="10"/>
  <c r="BU33" i="10" s="1"/>
  <c r="DF18" i="10"/>
  <c r="DF14" i="10"/>
  <c r="DE13" i="10" s="1"/>
  <c r="DE12" i="10" s="1"/>
  <c r="DE15" i="10" s="1"/>
  <c r="BV18" i="6"/>
  <c r="BV17" i="6" s="1"/>
  <c r="BV43" i="5"/>
  <c r="DF28" i="5"/>
  <c r="DF29" i="5" s="1"/>
  <c r="DF26" i="6"/>
  <c r="DE20" i="10"/>
  <c r="DH27" i="6"/>
  <c r="DG27" i="5"/>
  <c r="DF22" i="6"/>
  <c r="DG23" i="6"/>
  <c r="DG24" i="6"/>
  <c r="DE17" i="10"/>
  <c r="DH26" i="5"/>
  <c r="DH22" i="5"/>
  <c r="DH20" i="5"/>
  <c r="DE39" i="5"/>
  <c r="DE29" i="5"/>
  <c r="DG8" i="5"/>
  <c r="DG6" i="5" s="1"/>
  <c r="DG10" i="5"/>
  <c r="DH19" i="5"/>
  <c r="DH17" i="5"/>
  <c r="DH15" i="5"/>
  <c r="DH25" i="5"/>
  <c r="DH18" i="5"/>
  <c r="DH23" i="5"/>
  <c r="DH13" i="5"/>
  <c r="DH21" i="5"/>
  <c r="DH11" i="5"/>
  <c r="DH24" i="5"/>
  <c r="DH16" i="5"/>
  <c r="DH35" i="5"/>
  <c r="DH6" i="6" s="1"/>
  <c r="DH5" i="6" s="1"/>
  <c r="DI2" i="5"/>
  <c r="DI4" i="5"/>
  <c r="DI9" i="5"/>
  <c r="DI11" i="5" s="1"/>
  <c r="DI14" i="5"/>
  <c r="DI12" i="5"/>
  <c r="DI37" i="5"/>
  <c r="DI30" i="5"/>
  <c r="DI36" i="5"/>
  <c r="DI38" i="5"/>
  <c r="DH8" i="5"/>
  <c r="Y30" i="10"/>
  <c r="Y29" i="10" s="1"/>
  <c r="AB28" i="6"/>
  <c r="AB47" i="5"/>
  <c r="AC45" i="5"/>
  <c r="AC44" i="5" s="1"/>
  <c r="AD46" i="5"/>
  <c r="AA25" i="6"/>
  <c r="AA21" i="10"/>
  <c r="AA16" i="10" s="1"/>
  <c r="O13" i="6"/>
  <c r="T16" i="6"/>
  <c r="AL7" i="7"/>
  <c r="AL9" i="7" s="1"/>
  <c r="AM3" i="7"/>
  <c r="AL4" i="7"/>
  <c r="AL2" i="7"/>
  <c r="BW40" i="5" l="1"/>
  <c r="BV22" i="10" s="1"/>
  <c r="DG19" i="10"/>
  <c r="DG18" i="10"/>
  <c r="BV34" i="10"/>
  <c r="BV33" i="10" s="1"/>
  <c r="DF20" i="10"/>
  <c r="DF13" i="10"/>
  <c r="DF12" i="10" s="1"/>
  <c r="DF15" i="10" s="1"/>
  <c r="BX41" i="5"/>
  <c r="BW18" i="6"/>
  <c r="BW17" i="6" s="1"/>
  <c r="BW43" i="5"/>
  <c r="DF39" i="5"/>
  <c r="DG26" i="6"/>
  <c r="DF17" i="10"/>
  <c r="DG22" i="6"/>
  <c r="DH23" i="6"/>
  <c r="DH24" i="6"/>
  <c r="DI27" i="6"/>
  <c r="DG28" i="5"/>
  <c r="DG29" i="5" s="1"/>
  <c r="DI18" i="5"/>
  <c r="DI16" i="5"/>
  <c r="DI26" i="5"/>
  <c r="DI25" i="5"/>
  <c r="DI15" i="5"/>
  <c r="DI7" i="5"/>
  <c r="DH10" i="5"/>
  <c r="DI21" i="5"/>
  <c r="DI17" i="5"/>
  <c r="DI23" i="5"/>
  <c r="DH27" i="5"/>
  <c r="DI20" i="5"/>
  <c r="DI13" i="5"/>
  <c r="DI24" i="5"/>
  <c r="DI22" i="5"/>
  <c r="DI19" i="5"/>
  <c r="DI35" i="5"/>
  <c r="DI6" i="6" s="1"/>
  <c r="DI5" i="6" s="1"/>
  <c r="DH6" i="5"/>
  <c r="Z30" i="10"/>
  <c r="Z29" i="10" s="1"/>
  <c r="AE46" i="5"/>
  <c r="AD45" i="5"/>
  <c r="AD44" i="5" s="1"/>
  <c r="AC28" i="6"/>
  <c r="AC25" i="6" s="1"/>
  <c r="AC47" i="5"/>
  <c r="AB25" i="6"/>
  <c r="AB21" i="10"/>
  <c r="AB16" i="10" s="1"/>
  <c r="P13" i="6"/>
  <c r="U16" i="6"/>
  <c r="AM7" i="7"/>
  <c r="AM9" i="7" s="1"/>
  <c r="AM2" i="7"/>
  <c r="AM4" i="7"/>
  <c r="AN3" i="7"/>
  <c r="DG20" i="10" l="1"/>
  <c r="DI14" i="10"/>
  <c r="DH14" i="10"/>
  <c r="DG13" i="10" s="1"/>
  <c r="DG12" i="10" s="1"/>
  <c r="DG15" i="10" s="1"/>
  <c r="DH19" i="10"/>
  <c r="DH18" i="10"/>
  <c r="BX42" i="5"/>
  <c r="BW34" i="10" s="1"/>
  <c r="BW33" i="10" s="1"/>
  <c r="BX40" i="5"/>
  <c r="BW22" i="10" s="1"/>
  <c r="DG39" i="5"/>
  <c r="DH26" i="6"/>
  <c r="DG17" i="10"/>
  <c r="DI8" i="5"/>
  <c r="DI6" i="5" s="1"/>
  <c r="DI27" i="5"/>
  <c r="DI24" i="6"/>
  <c r="DI19" i="10" s="1"/>
  <c r="DI23" i="6"/>
  <c r="DI18" i="10" s="1"/>
  <c r="D18" i="10" s="1"/>
  <c r="DH28" i="5"/>
  <c r="DH29" i="5" s="1"/>
  <c r="DH22" i="6"/>
  <c r="DI10" i="5"/>
  <c r="AA30" i="10"/>
  <c r="AA29" i="10" s="1"/>
  <c r="AC21" i="10"/>
  <c r="AC16" i="10" s="1"/>
  <c r="AD28" i="6"/>
  <c r="AD47" i="5"/>
  <c r="AE45" i="5"/>
  <c r="AE44" i="5" s="1"/>
  <c r="AF46" i="5"/>
  <c r="Q13" i="6"/>
  <c r="V16" i="6"/>
  <c r="AN7" i="7"/>
  <c r="AN9" i="7" s="1"/>
  <c r="AO3" i="7"/>
  <c r="AN4" i="7"/>
  <c r="AN2" i="7"/>
  <c r="D19" i="10" l="1"/>
  <c r="DH13" i="10"/>
  <c r="DI13" i="10" s="1"/>
  <c r="DI12" i="10" s="1"/>
  <c r="DI15" i="10" s="1"/>
  <c r="D14" i="10"/>
  <c r="BX43" i="5"/>
  <c r="BX18" i="6"/>
  <c r="BX17" i="6" s="1"/>
  <c r="BY41" i="5"/>
  <c r="BY42" i="5" s="1"/>
  <c r="BX34" i="10" s="1"/>
  <c r="BX33" i="10" s="1"/>
  <c r="DH39" i="5"/>
  <c r="DI28" i="5"/>
  <c r="DI39" i="5" s="1"/>
  <c r="DI26" i="6"/>
  <c r="DI20" i="10" s="1"/>
  <c r="DH20" i="10"/>
  <c r="DH17" i="10"/>
  <c r="DI22" i="6"/>
  <c r="AB30" i="10"/>
  <c r="AB29" i="10" s="1"/>
  <c r="AD25" i="6"/>
  <c r="AD21" i="10"/>
  <c r="AD16" i="10" s="1"/>
  <c r="AF45" i="5"/>
  <c r="AF44" i="5" s="1"/>
  <c r="AG46" i="5"/>
  <c r="AE28" i="6"/>
  <c r="AE25" i="6" s="1"/>
  <c r="AE47" i="5"/>
  <c r="R13" i="6"/>
  <c r="W16" i="6"/>
  <c r="AO7" i="7"/>
  <c r="AO9" i="7" s="1"/>
  <c r="AP3" i="7"/>
  <c r="AO2" i="7"/>
  <c r="AO4" i="7"/>
  <c r="DH12" i="10" l="1"/>
  <c r="DH15" i="10" s="1"/>
  <c r="BY18" i="6"/>
  <c r="BY17" i="6" s="1"/>
  <c r="BY40" i="5"/>
  <c r="BX22" i="10" s="1"/>
  <c r="BZ41" i="5"/>
  <c r="D42" i="5"/>
  <c r="DI29" i="5"/>
  <c r="D20" i="10"/>
  <c r="DI17" i="10"/>
  <c r="D17" i="10" s="1"/>
  <c r="AC30" i="10"/>
  <c r="AC29" i="10" s="1"/>
  <c r="AE21" i="10"/>
  <c r="AE16" i="10" s="1"/>
  <c r="AG45" i="5"/>
  <c r="AG44" i="5" s="1"/>
  <c r="AH46" i="5"/>
  <c r="AF28" i="6"/>
  <c r="AF47" i="5"/>
  <c r="S13" i="6"/>
  <c r="X16" i="6"/>
  <c r="AQ3" i="7"/>
  <c r="AP7" i="7"/>
  <c r="AP9" i="7" s="1"/>
  <c r="AP2" i="7"/>
  <c r="AP4" i="7"/>
  <c r="BZ42" i="5" l="1"/>
  <c r="BZ40" i="5"/>
  <c r="D40" i="5"/>
  <c r="BY43" i="5"/>
  <c r="BY22" i="10"/>
  <c r="AD30" i="10"/>
  <c r="AD29" i="10" s="1"/>
  <c r="AF25" i="6"/>
  <c r="AF21" i="10"/>
  <c r="AF16" i="10" s="1"/>
  <c r="AH45" i="5"/>
  <c r="AH44" i="5" s="1"/>
  <c r="AI46" i="5"/>
  <c r="AG28" i="6"/>
  <c r="AG47" i="5"/>
  <c r="T13" i="6"/>
  <c r="Y16" i="6"/>
  <c r="AQ7" i="7"/>
  <c r="AQ9" i="7" s="1"/>
  <c r="AR3" i="7"/>
  <c r="AQ4" i="7"/>
  <c r="AQ2" i="7"/>
  <c r="D43" i="5" l="1"/>
  <c r="CA41" i="5"/>
  <c r="CA40" i="5" s="1"/>
  <c r="BY34" i="10"/>
  <c r="BY33" i="10" s="1"/>
  <c r="BZ22" i="10"/>
  <c r="BZ43" i="5"/>
  <c r="BZ18" i="6"/>
  <c r="BZ17" i="6" s="1"/>
  <c r="AE30" i="10"/>
  <c r="AE29" i="10" s="1"/>
  <c r="AG25" i="6"/>
  <c r="AG21" i="10"/>
  <c r="AG16" i="10" s="1"/>
  <c r="AI45" i="5"/>
  <c r="AI44" i="5" s="1"/>
  <c r="AJ46" i="5"/>
  <c r="AH28" i="6"/>
  <c r="AH25" i="6" s="1"/>
  <c r="AH47" i="5"/>
  <c r="U13" i="6"/>
  <c r="Z16" i="6"/>
  <c r="AR7" i="7"/>
  <c r="AR9" i="7" s="1"/>
  <c r="AR4" i="7"/>
  <c r="AR2" i="7"/>
  <c r="AS3" i="7"/>
  <c r="CA42" i="5" l="1"/>
  <c r="BZ34" i="10" s="1"/>
  <c r="BZ33" i="10" s="1"/>
  <c r="BZ29" i="10" s="1"/>
  <c r="CA43" i="5"/>
  <c r="AF30" i="10"/>
  <c r="AF29" i="10" s="1"/>
  <c r="AK46" i="5"/>
  <c r="AJ45" i="5"/>
  <c r="AJ44" i="5" s="1"/>
  <c r="AI28" i="6"/>
  <c r="AI25" i="6" s="1"/>
  <c r="AI47" i="5"/>
  <c r="AH21" i="10"/>
  <c r="AH16" i="10" s="1"/>
  <c r="V13" i="6"/>
  <c r="AA16" i="6"/>
  <c r="AS7" i="7"/>
  <c r="AS9" i="7" s="1"/>
  <c r="AS4" i="7"/>
  <c r="AS2" i="7"/>
  <c r="AT3" i="7"/>
  <c r="CB41" i="5" l="1"/>
  <c r="CB40" i="5" s="1"/>
  <c r="CA22" i="10" s="1"/>
  <c r="CA18" i="6"/>
  <c r="CA17" i="6" s="1"/>
  <c r="CB42" i="5"/>
  <c r="AI21" i="10"/>
  <c r="AI16" i="10" s="1"/>
  <c r="AI30" i="10"/>
  <c r="AI29" i="10" s="1"/>
  <c r="AG30" i="10"/>
  <c r="AG29" i="10" s="1"/>
  <c r="AJ28" i="6"/>
  <c r="AJ47" i="5"/>
  <c r="AK45" i="5"/>
  <c r="AK44" i="5" s="1"/>
  <c r="AL46" i="5"/>
  <c r="W13" i="6"/>
  <c r="AB16" i="6"/>
  <c r="AT7" i="7"/>
  <c r="AT9" i="7" s="1"/>
  <c r="AU3" i="7"/>
  <c r="AT4" i="7"/>
  <c r="AT2" i="7"/>
  <c r="CC41" i="5" l="1"/>
  <c r="CC40" i="5" s="1"/>
  <c r="CB22" i="10" s="1"/>
  <c r="CA34" i="10"/>
  <c r="CA33" i="10" s="1"/>
  <c r="CA29" i="10" s="1"/>
  <c r="CB43" i="5"/>
  <c r="CB18" i="6"/>
  <c r="CB17" i="6" s="1"/>
  <c r="AH30" i="10"/>
  <c r="AH29" i="10" s="1"/>
  <c r="AK28" i="6"/>
  <c r="AK25" i="6" s="1"/>
  <c r="AK47" i="5"/>
  <c r="AJ25" i="6"/>
  <c r="AJ21" i="10"/>
  <c r="AJ16" i="10" s="1"/>
  <c r="AM46" i="5"/>
  <c r="AL45" i="5"/>
  <c r="AL44" i="5" s="1"/>
  <c r="X13" i="6"/>
  <c r="AC16" i="6"/>
  <c r="AU7" i="7"/>
  <c r="AU9" i="7" s="1"/>
  <c r="AU4" i="7"/>
  <c r="AU2" i="7"/>
  <c r="AV3" i="7"/>
  <c r="CC42" i="5" l="1"/>
  <c r="CD41" i="5" s="1"/>
  <c r="CD40" i="5" s="1"/>
  <c r="CC22" i="10" s="1"/>
  <c r="CB34" i="10"/>
  <c r="CB33" i="10" s="1"/>
  <c r="CB29" i="10" s="1"/>
  <c r="CC43" i="5"/>
  <c r="AK21" i="10"/>
  <c r="AK16" i="10" s="1"/>
  <c r="AN46" i="5"/>
  <c r="AM45" i="5"/>
  <c r="AM44" i="5" s="1"/>
  <c r="AL28" i="6"/>
  <c r="AL47" i="5"/>
  <c r="Y13" i="6"/>
  <c r="AD16" i="6"/>
  <c r="AV7" i="7"/>
  <c r="AV9" i="7" s="1"/>
  <c r="AW3" i="7"/>
  <c r="AV4" i="7"/>
  <c r="AV2" i="7"/>
  <c r="CD42" i="5" l="1"/>
  <c r="CC34" i="10" s="1"/>
  <c r="CC33" i="10" s="1"/>
  <c r="CC29" i="10" s="1"/>
  <c r="CC18" i="6"/>
  <c r="CC17" i="6" s="1"/>
  <c r="CD43" i="5"/>
  <c r="AJ30" i="10"/>
  <c r="AJ29" i="10" s="1"/>
  <c r="AM28" i="6"/>
  <c r="AM25" i="6" s="1"/>
  <c r="AM47" i="5"/>
  <c r="AN45" i="5"/>
  <c r="AN44" i="5" s="1"/>
  <c r="AO46" i="5"/>
  <c r="AL25" i="6"/>
  <c r="AL21" i="10"/>
  <c r="AL16" i="10" s="1"/>
  <c r="Z13" i="6"/>
  <c r="AE16" i="6"/>
  <c r="AW7" i="7"/>
  <c r="AW9" i="7" s="1"/>
  <c r="AX3" i="7"/>
  <c r="AW4" i="7"/>
  <c r="AW2" i="7"/>
  <c r="CE41" i="5" l="1"/>
  <c r="CE40" i="5" s="1"/>
  <c r="CD22" i="10" s="1"/>
  <c r="CD18" i="6"/>
  <c r="CD17" i="6" s="1"/>
  <c r="CE42" i="5"/>
  <c r="AK30" i="10"/>
  <c r="AK29" i="10" s="1"/>
  <c r="AM21" i="10"/>
  <c r="AM16" i="10" s="1"/>
  <c r="AP46" i="5"/>
  <c r="AO45" i="5"/>
  <c r="AO44" i="5" s="1"/>
  <c r="AN28" i="6"/>
  <c r="AN47" i="5"/>
  <c r="AA13" i="6"/>
  <c r="AF16" i="6"/>
  <c r="AX7" i="7"/>
  <c r="AX9" i="7" s="1"/>
  <c r="AX2" i="7"/>
  <c r="AY3" i="7"/>
  <c r="AX4" i="7"/>
  <c r="CE43" i="5" l="1"/>
  <c r="CF41" i="5"/>
  <c r="CF40" i="5" s="1"/>
  <c r="CD34" i="10"/>
  <c r="CD33" i="10" s="1"/>
  <c r="CD29" i="10" s="1"/>
  <c r="CE18" i="6"/>
  <c r="CE17" i="6" s="1"/>
  <c r="CF42" i="5"/>
  <c r="CG41" i="5" s="1"/>
  <c r="CG40" i="5" s="1"/>
  <c r="AL30" i="10"/>
  <c r="AL29" i="10" s="1"/>
  <c r="AN25" i="6"/>
  <c r="AN21" i="10"/>
  <c r="AN16" i="10" s="1"/>
  <c r="AO28" i="6"/>
  <c r="AO25" i="6" s="1"/>
  <c r="AO47" i="5"/>
  <c r="AP45" i="5"/>
  <c r="AP44" i="5" s="1"/>
  <c r="AQ46" i="5"/>
  <c r="AB13" i="6"/>
  <c r="AG16" i="6"/>
  <c r="AY7" i="7"/>
  <c r="AY9" i="7" s="1"/>
  <c r="AZ3" i="7"/>
  <c r="AY4" i="7"/>
  <c r="AY2" i="7"/>
  <c r="CF22" i="10" l="1"/>
  <c r="CE22" i="10"/>
  <c r="CE34" i="10"/>
  <c r="CE33" i="10" s="1"/>
  <c r="CE29" i="10" s="1"/>
  <c r="CF43" i="5"/>
  <c r="CF18" i="6"/>
  <c r="CF17" i="6" s="1"/>
  <c r="CG42" i="5"/>
  <c r="CH41" i="5" s="1"/>
  <c r="CG43" i="5"/>
  <c r="AM30" i="10"/>
  <c r="AM29" i="10" s="1"/>
  <c r="AO21" i="10"/>
  <c r="AO16" i="10" s="1"/>
  <c r="AQ45" i="5"/>
  <c r="AQ44" i="5" s="1"/>
  <c r="AR46" i="5"/>
  <c r="AP28" i="6"/>
  <c r="AP47" i="5"/>
  <c r="AC13" i="6"/>
  <c r="AH16" i="6"/>
  <c r="AZ7" i="7"/>
  <c r="AZ9" i="7" s="1"/>
  <c r="BA3" i="7"/>
  <c r="BB3" i="7" s="1"/>
  <c r="AZ2" i="7"/>
  <c r="AZ4" i="7"/>
  <c r="CF34" i="10" l="1"/>
  <c r="CF33" i="10" s="1"/>
  <c r="CF29" i="10" s="1"/>
  <c r="BB7" i="7"/>
  <c r="BB9" i="7" s="1"/>
  <c r="BC3" i="7"/>
  <c r="BB2" i="7"/>
  <c r="BB4" i="7"/>
  <c r="CH42" i="5"/>
  <c r="CG18" i="6"/>
  <c r="CG17" i="6" s="1"/>
  <c r="CH40" i="5"/>
  <c r="CG22" i="10" s="1"/>
  <c r="AO30" i="10"/>
  <c r="AO29" i="10" s="1"/>
  <c r="AN30" i="10"/>
  <c r="AN29" i="10" s="1"/>
  <c r="AR45" i="5"/>
  <c r="AR44" i="5" s="1"/>
  <c r="AS46" i="5"/>
  <c r="AQ28" i="6"/>
  <c r="AQ25" i="6" s="1"/>
  <c r="AQ47" i="5"/>
  <c r="AP25" i="6"/>
  <c r="AP21" i="10"/>
  <c r="AP16" i="10" s="1"/>
  <c r="AP23" i="10" s="1"/>
  <c r="AD13" i="6"/>
  <c r="AI16" i="6"/>
  <c r="BA7" i="7"/>
  <c r="BA9" i="7" s="1"/>
  <c r="BA2" i="7"/>
  <c r="BA4" i="7"/>
  <c r="CG34" i="10" l="1"/>
  <c r="CG33" i="10" s="1"/>
  <c r="CG29" i="10" s="1"/>
  <c r="BD3" i="7"/>
  <c r="BC4" i="7"/>
  <c r="BC7" i="7"/>
  <c r="BC9" i="7" s="1"/>
  <c r="BC2" i="7"/>
  <c r="CI41" i="5"/>
  <c r="CI40" i="5" s="1"/>
  <c r="CH22" i="10" s="1"/>
  <c r="CH18" i="6"/>
  <c r="CH17" i="6" s="1"/>
  <c r="CH43" i="5"/>
  <c r="AQ21" i="10"/>
  <c r="AQ16" i="10" s="1"/>
  <c r="AQ23" i="10" s="1"/>
  <c r="AS45" i="5"/>
  <c r="AS44" i="5" s="1"/>
  <c r="AT46" i="5"/>
  <c r="AR28" i="6"/>
  <c r="AR47" i="5"/>
  <c r="AE13" i="6"/>
  <c r="AJ16" i="6"/>
  <c r="BD2" i="7" l="1"/>
  <c r="BD4" i="7"/>
  <c r="BD7" i="7"/>
  <c r="BD9" i="7" s="1"/>
  <c r="BE3" i="7"/>
  <c r="CI42" i="5"/>
  <c r="CI43" i="5"/>
  <c r="AQ30" i="10"/>
  <c r="AQ29" i="10" s="1"/>
  <c r="AP30" i="10"/>
  <c r="AP29" i="10" s="1"/>
  <c r="AS28" i="6"/>
  <c r="AS47" i="5"/>
  <c r="AR25" i="6"/>
  <c r="AR21" i="10"/>
  <c r="AR16" i="10" s="1"/>
  <c r="AR23" i="10" s="1"/>
  <c r="AT45" i="5"/>
  <c r="AT44" i="5" s="1"/>
  <c r="AU46" i="5"/>
  <c r="AF13" i="6"/>
  <c r="AK16" i="6"/>
  <c r="CJ41" i="5" l="1"/>
  <c r="CJ40" i="5" s="1"/>
  <c r="CI22" i="10" s="1"/>
  <c r="CH34" i="10"/>
  <c r="CH33" i="10" s="1"/>
  <c r="CH29" i="10" s="1"/>
  <c r="BE2" i="7"/>
  <c r="BE4" i="7"/>
  <c r="BE7" i="7"/>
  <c r="BE9" i="7" s="1"/>
  <c r="BF3" i="7"/>
  <c r="CI18" i="6"/>
  <c r="CI17" i="6" s="1"/>
  <c r="CJ42" i="5"/>
  <c r="AU45" i="5"/>
  <c r="AU44" i="5" s="1"/>
  <c r="AV46" i="5"/>
  <c r="AT28" i="6"/>
  <c r="AT47" i="5"/>
  <c r="AS25" i="6"/>
  <c r="AS21" i="10"/>
  <c r="AS16" i="10" s="1"/>
  <c r="AS23" i="10" s="1"/>
  <c r="AG13" i="6"/>
  <c r="AL16" i="6"/>
  <c r="CJ43" i="5" l="1"/>
  <c r="CI34" i="10"/>
  <c r="CI33" i="10" s="1"/>
  <c r="CI29" i="10" s="1"/>
  <c r="BF2" i="7"/>
  <c r="BF4" i="7"/>
  <c r="BF7" i="7"/>
  <c r="BF9" i="7" s="1"/>
  <c r="BG3" i="7"/>
  <c r="CJ18" i="6"/>
  <c r="CJ17" i="6" s="1"/>
  <c r="CK41" i="5"/>
  <c r="CK42" i="5" s="1"/>
  <c r="CL41" i="5" s="1"/>
  <c r="AR30" i="10"/>
  <c r="AR29" i="10" s="1"/>
  <c r="AT25" i="6"/>
  <c r="AT21" i="10"/>
  <c r="AT16" i="10" s="1"/>
  <c r="AT23" i="10" s="1"/>
  <c r="AW46" i="5"/>
  <c r="AV45" i="5"/>
  <c r="AV44" i="5" s="1"/>
  <c r="AU28" i="6"/>
  <c r="AU25" i="6" s="1"/>
  <c r="AU47" i="5"/>
  <c r="AH13" i="6"/>
  <c r="AM16" i="6"/>
  <c r="CJ34" i="10" l="1"/>
  <c r="CJ33" i="10" s="1"/>
  <c r="CJ29" i="10" s="1"/>
  <c r="BH3" i="7"/>
  <c r="BG2" i="7"/>
  <c r="BG4" i="7"/>
  <c r="BG7" i="7"/>
  <c r="BG9" i="7" s="1"/>
  <c r="CK40" i="5"/>
  <c r="CL40" i="5"/>
  <c r="CK18" i="6"/>
  <c r="CK17" i="6" s="1"/>
  <c r="CL42" i="5"/>
  <c r="CK34" i="10" s="1"/>
  <c r="CK33" i="10" s="1"/>
  <c r="CK29" i="10" s="1"/>
  <c r="AS30" i="10"/>
  <c r="AS29" i="10" s="1"/>
  <c r="AU21" i="10"/>
  <c r="AU16" i="10" s="1"/>
  <c r="AU23" i="10" s="1"/>
  <c r="AV28" i="6"/>
  <c r="AV47" i="5"/>
  <c r="AW45" i="5"/>
  <c r="AW44" i="5" s="1"/>
  <c r="AX46" i="5"/>
  <c r="AI13" i="6"/>
  <c r="AN16" i="6"/>
  <c r="CK22" i="10" l="1"/>
  <c r="CJ22" i="10"/>
  <c r="BH7" i="7"/>
  <c r="BH9" i="7" s="1"/>
  <c r="BI3" i="7"/>
  <c r="BH2" i="7"/>
  <c r="BH4" i="7"/>
  <c r="CK43" i="5"/>
  <c r="CL43" i="5"/>
  <c r="CL18" i="6"/>
  <c r="CL17" i="6" s="1"/>
  <c r="CM41" i="5"/>
  <c r="AT30" i="10"/>
  <c r="AT29" i="10" s="1"/>
  <c r="AW28" i="6"/>
  <c r="AW25" i="6" s="1"/>
  <c r="AW47" i="5"/>
  <c r="AY46" i="5"/>
  <c r="AX45" i="5"/>
  <c r="AX44" i="5" s="1"/>
  <c r="AV25" i="6"/>
  <c r="AV21" i="10"/>
  <c r="AV16" i="10" s="1"/>
  <c r="AV23" i="10" s="1"/>
  <c r="AJ13" i="6"/>
  <c r="AO16" i="6"/>
  <c r="BJ3" i="7" l="1"/>
  <c r="BI7" i="7"/>
  <c r="BI9" i="7" s="1"/>
  <c r="BI2" i="7"/>
  <c r="BI4" i="7"/>
  <c r="CM42" i="5"/>
  <c r="CM40" i="5"/>
  <c r="CL22" i="10" s="1"/>
  <c r="AU30" i="10"/>
  <c r="AU29" i="10" s="1"/>
  <c r="AW21" i="10"/>
  <c r="AW16" i="10" s="1"/>
  <c r="AW23" i="10" s="1"/>
  <c r="AX28" i="6"/>
  <c r="AX47" i="5"/>
  <c r="AZ46" i="5"/>
  <c r="AY45" i="5"/>
  <c r="AY44" i="5" s="1"/>
  <c r="AK13" i="6"/>
  <c r="AP16" i="6"/>
  <c r="CN41" i="5" l="1"/>
  <c r="CN40" i="5" s="1"/>
  <c r="CM22" i="10" s="1"/>
  <c r="CL34" i="10"/>
  <c r="CL33" i="10" s="1"/>
  <c r="CL29" i="10" s="1"/>
  <c r="BJ7" i="7"/>
  <c r="BJ9" i="7" s="1"/>
  <c r="BK3" i="7"/>
  <c r="BJ2" i="7"/>
  <c r="BJ4" i="7"/>
  <c r="CM43" i="5"/>
  <c r="CM18" i="6"/>
  <c r="CM17" i="6" s="1"/>
  <c r="CN42" i="5"/>
  <c r="CM34" i="10" s="1"/>
  <c r="CM33" i="10" s="1"/>
  <c r="CM29" i="10" s="1"/>
  <c r="AV30" i="10"/>
  <c r="AV29" i="10" s="1"/>
  <c r="AX25" i="6"/>
  <c r="AX21" i="10"/>
  <c r="AX16" i="10" s="1"/>
  <c r="AX23" i="10" s="1"/>
  <c r="AY28" i="6"/>
  <c r="AY47" i="5"/>
  <c r="BA46" i="5"/>
  <c r="AZ45" i="5"/>
  <c r="AZ44" i="5" s="1"/>
  <c r="AL13" i="6"/>
  <c r="AQ16" i="6"/>
  <c r="BL3" i="7" l="1"/>
  <c r="BK4" i="7"/>
  <c r="BK7" i="7"/>
  <c r="BK9" i="7" s="1"/>
  <c r="BK2" i="7"/>
  <c r="CN18" i="6"/>
  <c r="CN17" i="6" s="1"/>
  <c r="CO41" i="5"/>
  <c r="CN43" i="5"/>
  <c r="AW30" i="10"/>
  <c r="AW29" i="10" s="1"/>
  <c r="BB46" i="5"/>
  <c r="BA45" i="5"/>
  <c r="BA44" i="5" s="1"/>
  <c r="AZ28" i="6"/>
  <c r="AZ47" i="5"/>
  <c r="AY25" i="6"/>
  <c r="AY21" i="10"/>
  <c r="AY16" i="10" s="1"/>
  <c r="AY23" i="10" s="1"/>
  <c r="AM13" i="6"/>
  <c r="AR16" i="6"/>
  <c r="BL2" i="7" l="1"/>
  <c r="BL4" i="7"/>
  <c r="BL7" i="7"/>
  <c r="BL9" i="7" s="1"/>
  <c r="BM3" i="7"/>
  <c r="CO42" i="5"/>
  <c r="CO40" i="5"/>
  <c r="CN22" i="10" s="1"/>
  <c r="AX30" i="10"/>
  <c r="AX29" i="10" s="1"/>
  <c r="AZ25" i="6"/>
  <c r="AZ21" i="10"/>
  <c r="AZ16" i="10" s="1"/>
  <c r="AZ23" i="10" s="1"/>
  <c r="BA28" i="6"/>
  <c r="BA47" i="5"/>
  <c r="BC46" i="5"/>
  <c r="BB45" i="5"/>
  <c r="BB44" i="5" s="1"/>
  <c r="AN13" i="6"/>
  <c r="AS16" i="6"/>
  <c r="CP41" i="5" l="1"/>
  <c r="CP40" i="5" s="1"/>
  <c r="CO22" i="10" s="1"/>
  <c r="CN34" i="10"/>
  <c r="CN33" i="10" s="1"/>
  <c r="CN29" i="10" s="1"/>
  <c r="BM2" i="7"/>
  <c r="BM4" i="7"/>
  <c r="BM7" i="7"/>
  <c r="BM9" i="7" s="1"/>
  <c r="BN3" i="7"/>
  <c r="CO43" i="5"/>
  <c r="CP42" i="5"/>
  <c r="CO34" i="10" s="1"/>
  <c r="CO33" i="10" s="1"/>
  <c r="CO29" i="10" s="1"/>
  <c r="CO18" i="6"/>
  <c r="CO17" i="6" s="1"/>
  <c r="AY30" i="10"/>
  <c r="AY29" i="10" s="1"/>
  <c r="BA25" i="6"/>
  <c r="BA21" i="10"/>
  <c r="BA16" i="10" s="1"/>
  <c r="BA23" i="10" s="1"/>
  <c r="BD46" i="5"/>
  <c r="BC45" i="5"/>
  <c r="BC44" i="5" s="1"/>
  <c r="BB28" i="6"/>
  <c r="BB25" i="6" s="1"/>
  <c r="BB47" i="5"/>
  <c r="AO13" i="6"/>
  <c r="AT16" i="6"/>
  <c r="BN4" i="7" l="1"/>
  <c r="BN2" i="7"/>
  <c r="BO3" i="7"/>
  <c r="BN7" i="7"/>
  <c r="BN9" i="7" s="1"/>
  <c r="CP18" i="6"/>
  <c r="CP17" i="6" s="1"/>
  <c r="CP43" i="5"/>
  <c r="CQ41" i="5"/>
  <c r="CQ42" i="5" s="1"/>
  <c r="CP34" i="10" s="1"/>
  <c r="CP33" i="10" s="1"/>
  <c r="CP29" i="10" s="1"/>
  <c r="AZ30" i="10"/>
  <c r="AZ29" i="10" s="1"/>
  <c r="BB21" i="10"/>
  <c r="BB16" i="10" s="1"/>
  <c r="BB23" i="10" s="1"/>
  <c r="BC28" i="6"/>
  <c r="BC25" i="6" s="1"/>
  <c r="BC47" i="5"/>
  <c r="BE46" i="5"/>
  <c r="BD45" i="5"/>
  <c r="BD44" i="5" s="1"/>
  <c r="AP13" i="6"/>
  <c r="AU16" i="6"/>
  <c r="BP3" i="7" l="1"/>
  <c r="BO2" i="7"/>
  <c r="BO4" i="7"/>
  <c r="BO7" i="7"/>
  <c r="BO9" i="7" s="1"/>
  <c r="CQ40" i="5"/>
  <c r="CP22" i="10" s="1"/>
  <c r="CR41" i="5"/>
  <c r="CR42" i="5" s="1"/>
  <c r="CQ34" i="10" s="1"/>
  <c r="CQ33" i="10" s="1"/>
  <c r="CQ29" i="10" s="1"/>
  <c r="CQ18" i="6"/>
  <c r="CQ17" i="6" s="1"/>
  <c r="BA30" i="10"/>
  <c r="BA29" i="10" s="1"/>
  <c r="BC21" i="10"/>
  <c r="BC16" i="10" s="1"/>
  <c r="BC23" i="10" s="1"/>
  <c r="BF46" i="5"/>
  <c r="BE45" i="5"/>
  <c r="BE44" i="5" s="1"/>
  <c r="BD28" i="6"/>
  <c r="BD47" i="5"/>
  <c r="AQ13" i="6"/>
  <c r="AV16" i="6"/>
  <c r="BP7" i="7" l="1"/>
  <c r="BP9" i="7" s="1"/>
  <c r="BQ3" i="7"/>
  <c r="BP2" i="7"/>
  <c r="BP4" i="7"/>
  <c r="CR40" i="5"/>
  <c r="CQ22" i="10" s="1"/>
  <c r="CS41" i="5"/>
  <c r="CS42" i="5" s="1"/>
  <c r="CR34" i="10" s="1"/>
  <c r="CR33" i="10" s="1"/>
  <c r="CR29" i="10" s="1"/>
  <c r="CR18" i="6"/>
  <c r="CR17" i="6" s="1"/>
  <c r="CQ43" i="5"/>
  <c r="BB30" i="10"/>
  <c r="BB29" i="10" s="1"/>
  <c r="BD25" i="6"/>
  <c r="BD21" i="10"/>
  <c r="BD16" i="10" s="1"/>
  <c r="BD23" i="10" s="1"/>
  <c r="BE28" i="6"/>
  <c r="BE47" i="5"/>
  <c r="BF45" i="5"/>
  <c r="BF44" i="5" s="1"/>
  <c r="BG46" i="5"/>
  <c r="AR13" i="6"/>
  <c r="AW16" i="6"/>
  <c r="BQ7" i="7" l="1"/>
  <c r="BQ9" i="7" s="1"/>
  <c r="BR3" i="7"/>
  <c r="BQ2" i="7"/>
  <c r="BQ4" i="7"/>
  <c r="CS18" i="6"/>
  <c r="CS17" i="6" s="1"/>
  <c r="CS40" i="5"/>
  <c r="CR22" i="10" s="1"/>
  <c r="CT41" i="5"/>
  <c r="CR43" i="5"/>
  <c r="BC30" i="10"/>
  <c r="BC29" i="10" s="1"/>
  <c r="BF28" i="6"/>
  <c r="BF25" i="6" s="1"/>
  <c r="BF47" i="5"/>
  <c r="BH46" i="5"/>
  <c r="BG45" i="5"/>
  <c r="BG44" i="5" s="1"/>
  <c r="BE25" i="6"/>
  <c r="BE21" i="10"/>
  <c r="BE16" i="10" s="1"/>
  <c r="BE23" i="10" s="1"/>
  <c r="AS13" i="6"/>
  <c r="AX16" i="6"/>
  <c r="BR7" i="7" l="1"/>
  <c r="BR9" i="7" s="1"/>
  <c r="BS3" i="7"/>
  <c r="BR2" i="7"/>
  <c r="BR4" i="7"/>
  <c r="CT42" i="5"/>
  <c r="CT40" i="5"/>
  <c r="CS43" i="5"/>
  <c r="CS22" i="10"/>
  <c r="BD30" i="10"/>
  <c r="BD29" i="10" s="1"/>
  <c r="BF21" i="10"/>
  <c r="BF16" i="10" s="1"/>
  <c r="BF23" i="10" s="1"/>
  <c r="BG28" i="6"/>
  <c r="BG47" i="5"/>
  <c r="BI46" i="5"/>
  <c r="BH45" i="5"/>
  <c r="BH44" i="5" s="1"/>
  <c r="AT13" i="6"/>
  <c r="AY16" i="6"/>
  <c r="CU41" i="5" l="1"/>
  <c r="CU40" i="5" s="1"/>
  <c r="CT22" i="10" s="1"/>
  <c r="CS34" i="10"/>
  <c r="CS33" i="10" s="1"/>
  <c r="CS29" i="10" s="1"/>
  <c r="BT3" i="7"/>
  <c r="BS2" i="7"/>
  <c r="BS7" i="7"/>
  <c r="BS9" i="7" s="1"/>
  <c r="BS4" i="7"/>
  <c r="CT43" i="5"/>
  <c r="CT18" i="6"/>
  <c r="CT17" i="6" s="1"/>
  <c r="CU42" i="5"/>
  <c r="CT34" i="10" s="1"/>
  <c r="CT33" i="10" s="1"/>
  <c r="CT29" i="10" s="1"/>
  <c r="BE30" i="10"/>
  <c r="BE29" i="10" s="1"/>
  <c r="BI45" i="5"/>
  <c r="BI44" i="5" s="1"/>
  <c r="BJ46" i="5"/>
  <c r="BG25" i="6"/>
  <c r="BG21" i="10"/>
  <c r="BG16" i="10" s="1"/>
  <c r="BG23" i="10" s="1"/>
  <c r="BH28" i="6"/>
  <c r="BH25" i="6" s="1"/>
  <c r="BH47" i="5"/>
  <c r="AU13" i="6"/>
  <c r="AZ16" i="6"/>
  <c r="BT2" i="7" l="1"/>
  <c r="BT4" i="7"/>
  <c r="BT7" i="7"/>
  <c r="BT9" i="7" s="1"/>
  <c r="BU3" i="7"/>
  <c r="CU18" i="6"/>
  <c r="CU17" i="6" s="1"/>
  <c r="CU43" i="5"/>
  <c r="CV41" i="5"/>
  <c r="CV42" i="5" s="1"/>
  <c r="CU34" i="10" s="1"/>
  <c r="CU33" i="10" s="1"/>
  <c r="CU29" i="10" s="1"/>
  <c r="BF30" i="10"/>
  <c r="BF29" i="10" s="1"/>
  <c r="BJ45" i="5"/>
  <c r="BJ44" i="5" s="1"/>
  <c r="BK46" i="5"/>
  <c r="BI28" i="6"/>
  <c r="BI47" i="5"/>
  <c r="BH21" i="10"/>
  <c r="BH16" i="10" s="1"/>
  <c r="BH23" i="10" s="1"/>
  <c r="AV13" i="6"/>
  <c r="BA16" i="6"/>
  <c r="BU2" i="7" l="1"/>
  <c r="BU4" i="7"/>
  <c r="BU7" i="7"/>
  <c r="BU9" i="7" s="1"/>
  <c r="BV3" i="7"/>
  <c r="CV18" i="6"/>
  <c r="CV17" i="6" s="1"/>
  <c r="CV40" i="5"/>
  <c r="CU22" i="10" s="1"/>
  <c r="CW41" i="5"/>
  <c r="CW42" i="5" s="1"/>
  <c r="CV34" i="10" s="1"/>
  <c r="CV33" i="10" s="1"/>
  <c r="CV29" i="10" s="1"/>
  <c r="BG30" i="10"/>
  <c r="BG29" i="10" s="1"/>
  <c r="BI25" i="6"/>
  <c r="BI21" i="10"/>
  <c r="BI16" i="10" s="1"/>
  <c r="BI23" i="10" s="1"/>
  <c r="BK45" i="5"/>
  <c r="BK44" i="5" s="1"/>
  <c r="BL46" i="5"/>
  <c r="BJ28" i="6"/>
  <c r="BJ47" i="5"/>
  <c r="AW13" i="6"/>
  <c r="BB16" i="6"/>
  <c r="BV2" i="7" l="1"/>
  <c r="BV4" i="7"/>
  <c r="BW3" i="7"/>
  <c r="BV7" i="7"/>
  <c r="BV9" i="7" s="1"/>
  <c r="CW40" i="5"/>
  <c r="CX41" i="5"/>
  <c r="CX42" i="5" s="1"/>
  <c r="CW34" i="10" s="1"/>
  <c r="CW33" i="10" s="1"/>
  <c r="CW29" i="10" s="1"/>
  <c r="CV43" i="5"/>
  <c r="CV22" i="10"/>
  <c r="CW18" i="6"/>
  <c r="CW17" i="6" s="1"/>
  <c r="BH30" i="10"/>
  <c r="BH29" i="10" s="1"/>
  <c r="BL45" i="5"/>
  <c r="BL44" i="5" s="1"/>
  <c r="BM46" i="5"/>
  <c r="BK28" i="6"/>
  <c r="BK25" i="6" s="1"/>
  <c r="BK47" i="5"/>
  <c r="BJ25" i="6"/>
  <c r="BJ21" i="10"/>
  <c r="BJ16" i="10" s="1"/>
  <c r="BJ23" i="10" s="1"/>
  <c r="AX13" i="6"/>
  <c r="BC16" i="6"/>
  <c r="BX3" i="7" l="1"/>
  <c r="BW2" i="7"/>
  <c r="BW4" i="7"/>
  <c r="BW7" i="7"/>
  <c r="BW9" i="7" s="1"/>
  <c r="CX18" i="6"/>
  <c r="CX17" i="6" s="1"/>
  <c r="CX40" i="5"/>
  <c r="CW22" i="10" s="1"/>
  <c r="CY41" i="5"/>
  <c r="CY42" i="5" s="1"/>
  <c r="CX34" i="10" s="1"/>
  <c r="CX33" i="10" s="1"/>
  <c r="CX29" i="10" s="1"/>
  <c r="CW43" i="5"/>
  <c r="BK21" i="10"/>
  <c r="BK16" i="10" s="1"/>
  <c r="BK23" i="10" s="1"/>
  <c r="BI30" i="10"/>
  <c r="BI29" i="10" s="1"/>
  <c r="BM45" i="5"/>
  <c r="BM44" i="5" s="1"/>
  <c r="BN46" i="5"/>
  <c r="BL28" i="6"/>
  <c r="BL47" i="5"/>
  <c r="AY13" i="6"/>
  <c r="BD16" i="6"/>
  <c r="BX7" i="7" l="1"/>
  <c r="BX9" i="7" s="1"/>
  <c r="BY3" i="7"/>
  <c r="BX2" i="7"/>
  <c r="BX4" i="7"/>
  <c r="CZ41" i="5"/>
  <c r="CZ42" i="5" s="1"/>
  <c r="CY34" i="10" s="1"/>
  <c r="CY33" i="10" s="1"/>
  <c r="CY29" i="10" s="1"/>
  <c r="CY40" i="5"/>
  <c r="CX22" i="10" s="1"/>
  <c r="CX43" i="5"/>
  <c r="CY18" i="6"/>
  <c r="CY17" i="6" s="1"/>
  <c r="BJ30" i="10"/>
  <c r="BJ29" i="10" s="1"/>
  <c r="BK30" i="10"/>
  <c r="BK29" i="10" s="1"/>
  <c r="BN45" i="5"/>
  <c r="BN44" i="5" s="1"/>
  <c r="BO46" i="5"/>
  <c r="BL25" i="6"/>
  <c r="BL21" i="10"/>
  <c r="BL16" i="10" s="1"/>
  <c r="BL23" i="10" s="1"/>
  <c r="BM28" i="6"/>
  <c r="BM25" i="6" s="1"/>
  <c r="BM47" i="5"/>
  <c r="AZ13" i="6"/>
  <c r="BE16" i="6"/>
  <c r="BZ3" i="7" l="1"/>
  <c r="BY7" i="7"/>
  <c r="BY9" i="7" s="1"/>
  <c r="BY2" i="7"/>
  <c r="BY4" i="7"/>
  <c r="CY43" i="5"/>
  <c r="CZ18" i="6"/>
  <c r="CZ17" i="6" s="1"/>
  <c r="CZ40" i="5"/>
  <c r="CY22" i="10" s="1"/>
  <c r="DA41" i="5"/>
  <c r="BO45" i="5"/>
  <c r="BO44" i="5" s="1"/>
  <c r="BP46" i="5"/>
  <c r="BN28" i="6"/>
  <c r="BN25" i="6" s="1"/>
  <c r="BN47" i="5"/>
  <c r="BM21" i="10"/>
  <c r="BM16" i="10" s="1"/>
  <c r="BM23" i="10" s="1"/>
  <c r="BA13" i="6"/>
  <c r="BF16" i="6"/>
  <c r="BZ7" i="7" l="1"/>
  <c r="BZ9" i="7" s="1"/>
  <c r="CA3" i="7"/>
  <c r="BZ2" i="7"/>
  <c r="BZ4" i="7"/>
  <c r="CZ43" i="5"/>
  <c r="DA42" i="5"/>
  <c r="CZ34" i="10" s="1"/>
  <c r="CZ33" i="10" s="1"/>
  <c r="CZ29" i="10" s="1"/>
  <c r="DA40" i="5"/>
  <c r="CZ22" i="10" s="1"/>
  <c r="BN21" i="10"/>
  <c r="BN16" i="10" s="1"/>
  <c r="BN23" i="10" s="1"/>
  <c r="BL30" i="10"/>
  <c r="BL29" i="10" s="1"/>
  <c r="BN30" i="10"/>
  <c r="BN29" i="10" s="1"/>
  <c r="BP45" i="5"/>
  <c r="BP44" i="5" s="1"/>
  <c r="BQ46" i="5"/>
  <c r="BO28" i="6"/>
  <c r="BO47" i="5"/>
  <c r="BB13" i="6"/>
  <c r="BG16" i="6"/>
  <c r="CB3" i="7" l="1"/>
  <c r="CA4" i="7"/>
  <c r="CA2" i="7"/>
  <c r="CA7" i="7"/>
  <c r="CA9" i="7" s="1"/>
  <c r="DA43" i="5"/>
  <c r="DA18" i="6"/>
  <c r="DA17" i="6" s="1"/>
  <c r="DB41" i="5"/>
  <c r="DB42" i="5" s="1"/>
  <c r="DA34" i="10" s="1"/>
  <c r="DA33" i="10" s="1"/>
  <c r="DA29" i="10" s="1"/>
  <c r="BM30" i="10"/>
  <c r="BM29" i="10" s="1"/>
  <c r="BQ45" i="5"/>
  <c r="BQ44" i="5" s="1"/>
  <c r="BR46" i="5"/>
  <c r="BP28" i="6"/>
  <c r="BP47" i="5"/>
  <c r="BO25" i="6"/>
  <c r="BO21" i="10"/>
  <c r="BO16" i="10" s="1"/>
  <c r="BO23" i="10" s="1"/>
  <c r="BC13" i="6"/>
  <c r="BH16" i="6"/>
  <c r="CB2" i="7" l="1"/>
  <c r="CB4" i="7"/>
  <c r="CB7" i="7"/>
  <c r="CB9" i="7" s="1"/>
  <c r="CC3" i="7"/>
  <c r="DB40" i="5"/>
  <c r="DA22" i="10" s="1"/>
  <c r="DC41" i="5"/>
  <c r="DC42" i="5" s="1"/>
  <c r="DB34" i="10" s="1"/>
  <c r="DB33" i="10" s="1"/>
  <c r="DB29" i="10" s="1"/>
  <c r="DB18" i="6"/>
  <c r="DB17" i="6" s="1"/>
  <c r="BP25" i="6"/>
  <c r="BP21" i="10"/>
  <c r="BP16" i="10" s="1"/>
  <c r="BP23" i="10" s="1"/>
  <c r="BO30" i="10"/>
  <c r="BO29" i="10" s="1"/>
  <c r="BS46" i="5"/>
  <c r="BR45" i="5"/>
  <c r="BR44" i="5" s="1"/>
  <c r="BQ28" i="6"/>
  <c r="BQ25" i="6" s="1"/>
  <c r="BQ47" i="5"/>
  <c r="BD13" i="6"/>
  <c r="BI16" i="6"/>
  <c r="CC2" i="7" l="1"/>
  <c r="CC4" i="7"/>
  <c r="CC7" i="7"/>
  <c r="CC9" i="7" s="1"/>
  <c r="CD3" i="7"/>
  <c r="DC18" i="6"/>
  <c r="DC17" i="6" s="1"/>
  <c r="DD41" i="5"/>
  <c r="DD42" i="5" s="1"/>
  <c r="DC34" i="10" s="1"/>
  <c r="DC33" i="10" s="1"/>
  <c r="DC29" i="10" s="1"/>
  <c r="DC40" i="5"/>
  <c r="DB22" i="10" s="1"/>
  <c r="DB43" i="5"/>
  <c r="BR28" i="6"/>
  <c r="BR25" i="6" s="1"/>
  <c r="BR47" i="5"/>
  <c r="BQ21" i="10"/>
  <c r="BQ16" i="10" s="1"/>
  <c r="BQ23" i="10" s="1"/>
  <c r="BP30" i="10"/>
  <c r="BP29" i="10" s="1"/>
  <c r="BS45" i="5"/>
  <c r="BS44" i="5" s="1"/>
  <c r="BT46" i="5"/>
  <c r="BE13" i="6"/>
  <c r="BJ16" i="6"/>
  <c r="CD2" i="7" l="1"/>
  <c r="CD4" i="7"/>
  <c r="CE3" i="7"/>
  <c r="CD7" i="7"/>
  <c r="CD9" i="7" s="1"/>
  <c r="DC43" i="5"/>
  <c r="DD40" i="5"/>
  <c r="DC22" i="10" s="1"/>
  <c r="DE41" i="5"/>
  <c r="DE42" i="5" s="1"/>
  <c r="DD34" i="10" s="1"/>
  <c r="DD33" i="10" s="1"/>
  <c r="DD29" i="10" s="1"/>
  <c r="DD18" i="6"/>
  <c r="DD17" i="6" s="1"/>
  <c r="BR21" i="10"/>
  <c r="BR16" i="10" s="1"/>
  <c r="BR23" i="10" s="1"/>
  <c r="BQ30" i="10"/>
  <c r="BQ29" i="10" s="1"/>
  <c r="BT45" i="5"/>
  <c r="BT44" i="5" s="1"/>
  <c r="BU46" i="5"/>
  <c r="BS28" i="6"/>
  <c r="BS47" i="5"/>
  <c r="BF13" i="6"/>
  <c r="BK16" i="6"/>
  <c r="CF3" i="7" l="1"/>
  <c r="CE2" i="7"/>
  <c r="CE4" i="7"/>
  <c r="CE7" i="7"/>
  <c r="CE9" i="7" s="1"/>
  <c r="DD43" i="5"/>
  <c r="DD22" i="10"/>
  <c r="DE18" i="6"/>
  <c r="DE17" i="6" s="1"/>
  <c r="DF41" i="5"/>
  <c r="DF42" i="5" s="1"/>
  <c r="DE34" i="10" s="1"/>
  <c r="DE33" i="10" s="1"/>
  <c r="DE29" i="10" s="1"/>
  <c r="DE40" i="5"/>
  <c r="BR30" i="10"/>
  <c r="BR29" i="10" s="1"/>
  <c r="BU45" i="5"/>
  <c r="BU44" i="5" s="1"/>
  <c r="BV46" i="5"/>
  <c r="BT28" i="6"/>
  <c r="BT25" i="6" s="1"/>
  <c r="BT47" i="5"/>
  <c r="BS25" i="6"/>
  <c r="BS21" i="10"/>
  <c r="BS16" i="10" s="1"/>
  <c r="BS23" i="10" s="1"/>
  <c r="BG13" i="6"/>
  <c r="BL16" i="6"/>
  <c r="CF7" i="7" l="1"/>
  <c r="CF9" i="7" s="1"/>
  <c r="CG3" i="7"/>
  <c r="CF2" i="7"/>
  <c r="CF4" i="7"/>
  <c r="DF18" i="6"/>
  <c r="DF17" i="6" s="1"/>
  <c r="DE43" i="5"/>
  <c r="DF40" i="5"/>
  <c r="DE22" i="10" s="1"/>
  <c r="DG41" i="5"/>
  <c r="DG42" i="5" s="1"/>
  <c r="DF34" i="10" s="1"/>
  <c r="DF33" i="10" s="1"/>
  <c r="DF29" i="10" s="1"/>
  <c r="BV45" i="5"/>
  <c r="BV44" i="5" s="1"/>
  <c r="BW46" i="5"/>
  <c r="BU28" i="6"/>
  <c r="BU25" i="6" s="1"/>
  <c r="BU47" i="5"/>
  <c r="BS30" i="10"/>
  <c r="BS29" i="10" s="1"/>
  <c r="BT21" i="10"/>
  <c r="BT16" i="10" s="1"/>
  <c r="BT23" i="10" s="1"/>
  <c r="BH13" i="6"/>
  <c r="BM16" i="6"/>
  <c r="CG7" i="7" l="1"/>
  <c r="CG9" i="7" s="1"/>
  <c r="CH3" i="7"/>
  <c r="CG2" i="7"/>
  <c r="CG4" i="7"/>
  <c r="DF43" i="5"/>
  <c r="DG40" i="5"/>
  <c r="DF22" i="10" s="1"/>
  <c r="DH41" i="5"/>
  <c r="DG18" i="6"/>
  <c r="DG17" i="6" s="1"/>
  <c r="BU21" i="10"/>
  <c r="BU16" i="10" s="1"/>
  <c r="BU23" i="10" s="1"/>
  <c r="BT30" i="10"/>
  <c r="BT29" i="10" s="1"/>
  <c r="BX46" i="5"/>
  <c r="BW45" i="5"/>
  <c r="BW44" i="5" s="1"/>
  <c r="BV28" i="6"/>
  <c r="BV47" i="5"/>
  <c r="BI13" i="6"/>
  <c r="BN16" i="6"/>
  <c r="CH7" i="7" l="1"/>
  <c r="CH9" i="7" s="1"/>
  <c r="CI3" i="7"/>
  <c r="CH2" i="7"/>
  <c r="CH4" i="7"/>
  <c r="DH42" i="5"/>
  <c r="DH40" i="5"/>
  <c r="DG22" i="10" s="1"/>
  <c r="DG43" i="5"/>
  <c r="BW28" i="6"/>
  <c r="BW47" i="5"/>
  <c r="BY46" i="5"/>
  <c r="BZ46" i="5" s="1"/>
  <c r="BX45" i="5"/>
  <c r="BX44" i="5" s="1"/>
  <c r="BV25" i="6"/>
  <c r="BV21" i="10"/>
  <c r="BV16" i="10" s="1"/>
  <c r="BV23" i="10" s="1"/>
  <c r="BU30" i="10"/>
  <c r="BU29" i="10" s="1"/>
  <c r="BJ13" i="6"/>
  <c r="BO16" i="6"/>
  <c r="DI41" i="5" l="1"/>
  <c r="DI40" i="5" s="1"/>
  <c r="DI22" i="10" s="1"/>
  <c r="DG34" i="10"/>
  <c r="DG33" i="10" s="1"/>
  <c r="DG29" i="10" s="1"/>
  <c r="CJ3" i="7"/>
  <c r="CI2" i="7"/>
  <c r="CI4" i="7"/>
  <c r="CI7" i="7"/>
  <c r="CI9" i="7" s="1"/>
  <c r="DH22" i="10"/>
  <c r="DH43" i="5"/>
  <c r="DH18" i="6"/>
  <c r="DH17" i="6" s="1"/>
  <c r="DI42" i="5"/>
  <c r="DH34" i="10" s="1"/>
  <c r="BZ45" i="5"/>
  <c r="BZ44" i="5" s="1"/>
  <c r="CA46" i="5"/>
  <c r="BV30" i="10"/>
  <c r="BV29" i="10" s="1"/>
  <c r="BX28" i="6"/>
  <c r="BX47" i="5"/>
  <c r="BY45" i="5"/>
  <c r="BY44" i="5" s="1"/>
  <c r="D46" i="5"/>
  <c r="BW25" i="6"/>
  <c r="BW21" i="10"/>
  <c r="BW16" i="10" s="1"/>
  <c r="BW23" i="10" s="1"/>
  <c r="BK13" i="6"/>
  <c r="BP16" i="6"/>
  <c r="DI43" i="5" l="1"/>
  <c r="CJ2" i="7"/>
  <c r="CJ4" i="7"/>
  <c r="CJ7" i="7"/>
  <c r="CJ9" i="7" s="1"/>
  <c r="CK3" i="7"/>
  <c r="DI18" i="6"/>
  <c r="DI17" i="6" s="1"/>
  <c r="DI34" i="10"/>
  <c r="DI33" i="10" s="1"/>
  <c r="DI29" i="10" s="1"/>
  <c r="DH33" i="10"/>
  <c r="D22" i="10"/>
  <c r="BZ47" i="5"/>
  <c r="BZ28" i="6"/>
  <c r="BZ25" i="6" s="1"/>
  <c r="CA45" i="5"/>
  <c r="CA44" i="5" s="1"/>
  <c r="CB46" i="5"/>
  <c r="BX25" i="6"/>
  <c r="BX21" i="10"/>
  <c r="BX16" i="10" s="1"/>
  <c r="BX23" i="10" s="1"/>
  <c r="BW30" i="10"/>
  <c r="BW29" i="10" s="1"/>
  <c r="BY28" i="6"/>
  <c r="BY47" i="5"/>
  <c r="D44" i="5"/>
  <c r="D47" i="5" s="1"/>
  <c r="BL13" i="6"/>
  <c r="BQ16" i="6"/>
  <c r="CK2" i="7" l="1"/>
  <c r="CK4" i="7"/>
  <c r="CK7" i="7"/>
  <c r="CK9" i="7" s="1"/>
  <c r="CL3" i="7"/>
  <c r="D34" i="10"/>
  <c r="DH29" i="10"/>
  <c r="D33" i="10"/>
  <c r="CA47" i="5"/>
  <c r="CA28" i="6"/>
  <c r="CA25" i="6" s="1"/>
  <c r="CB45" i="5"/>
  <c r="CB44" i="5" s="1"/>
  <c r="CC46" i="5"/>
  <c r="BY25" i="6"/>
  <c r="BZ21" i="10"/>
  <c r="BZ16" i="10" s="1"/>
  <c r="BZ23" i="10" s="1"/>
  <c r="BX30" i="10"/>
  <c r="BX29" i="10" s="1"/>
  <c r="BY21" i="10"/>
  <c r="BY16" i="10" s="1"/>
  <c r="BY23" i="10" s="1"/>
  <c r="BM13" i="6"/>
  <c r="BR16" i="6"/>
  <c r="CL2" i="7" l="1"/>
  <c r="CL4" i="7"/>
  <c r="CL7" i="7"/>
  <c r="CL9" i="7" s="1"/>
  <c r="CM3" i="7"/>
  <c r="BZ11" i="10"/>
  <c r="BZ35" i="10" s="1"/>
  <c r="CA21" i="10"/>
  <c r="CA16" i="10" s="1"/>
  <c r="CA23" i="10" s="1"/>
  <c r="CB47" i="5"/>
  <c r="CB28" i="6"/>
  <c r="CB25" i="6" s="1"/>
  <c r="CC45" i="5"/>
  <c r="CC44" i="5" s="1"/>
  <c r="CD46" i="5"/>
  <c r="BN13" i="6"/>
  <c r="BS16" i="6"/>
  <c r="CN3" i="7" l="1"/>
  <c r="CM2" i="7"/>
  <c r="CM4" i="7"/>
  <c r="CM7" i="7"/>
  <c r="CM9" i="7" s="1"/>
  <c r="BZ38" i="10"/>
  <c r="BZ45" i="10" s="1"/>
  <c r="BZ37" i="10"/>
  <c r="CA11" i="10"/>
  <c r="CA38" i="10" s="1"/>
  <c r="CA45" i="10" s="1"/>
  <c r="CB21" i="10"/>
  <c r="CB16" i="10" s="1"/>
  <c r="CB23" i="10" s="1"/>
  <c r="CC47" i="5"/>
  <c r="CC28" i="6"/>
  <c r="CC25" i="6" s="1"/>
  <c r="CD45" i="5"/>
  <c r="CD44" i="5" s="1"/>
  <c r="CE46" i="5"/>
  <c r="BY30" i="10"/>
  <c r="BO13" i="6"/>
  <c r="BT16" i="6"/>
  <c r="CN7" i="7" l="1"/>
  <c r="CN9" i="7" s="1"/>
  <c r="CO3" i="7"/>
  <c r="CN2" i="7"/>
  <c r="CN4" i="7"/>
  <c r="CA42" i="10"/>
  <c r="BZ42" i="10"/>
  <c r="CA35" i="10"/>
  <c r="CA37" i="10"/>
  <c r="CB11" i="10"/>
  <c r="CB35" i="10" s="1"/>
  <c r="BY29" i="10"/>
  <c r="D30" i="10"/>
  <c r="CC21" i="10"/>
  <c r="CC16" i="10" s="1"/>
  <c r="CC23" i="10" s="1"/>
  <c r="CD47" i="5"/>
  <c r="CD28" i="6"/>
  <c r="CD25" i="6" s="1"/>
  <c r="CE45" i="5"/>
  <c r="CE44" i="5" s="1"/>
  <c r="CF46" i="5"/>
  <c r="BP13" i="6"/>
  <c r="BU16" i="6"/>
  <c r="CP3" i="7" l="1"/>
  <c r="CO7" i="7"/>
  <c r="CO9" i="7" s="1"/>
  <c r="CO2" i="7"/>
  <c r="CO4" i="7"/>
  <c r="CB38" i="10"/>
  <c r="CB45" i="10" s="1"/>
  <c r="CB37" i="10"/>
  <c r="CC11" i="10"/>
  <c r="CC37" i="10" s="1"/>
  <c r="CE47" i="5"/>
  <c r="CE28" i="6"/>
  <c r="CE25" i="6" s="1"/>
  <c r="CD21" i="10"/>
  <c r="CD16" i="10" s="1"/>
  <c r="CD23" i="10" s="1"/>
  <c r="CF45" i="5"/>
  <c r="CF44" i="5" s="1"/>
  <c r="CG46" i="5"/>
  <c r="BQ13" i="6"/>
  <c r="BV16" i="6"/>
  <c r="CP7" i="7" l="1"/>
  <c r="CP9" i="7" s="1"/>
  <c r="CQ3" i="7"/>
  <c r="CP2" i="7"/>
  <c r="CP4" i="7"/>
  <c r="CB42" i="10"/>
  <c r="CC38" i="10"/>
  <c r="CC45" i="10" s="1"/>
  <c r="CC35" i="10"/>
  <c r="CD11" i="10"/>
  <c r="CD35" i="10" s="1"/>
  <c r="CE21" i="10"/>
  <c r="CE16" i="10" s="1"/>
  <c r="CE23" i="10" s="1"/>
  <c r="CF47" i="5"/>
  <c r="CF28" i="6"/>
  <c r="CF25" i="6" s="1"/>
  <c r="CG45" i="5"/>
  <c r="CG44" i="5" s="1"/>
  <c r="CH46" i="5"/>
  <c r="BR13" i="6"/>
  <c r="BW16" i="6"/>
  <c r="CR3" i="7" l="1"/>
  <c r="CQ7" i="7"/>
  <c r="CQ9" i="7" s="1"/>
  <c r="CQ2" i="7"/>
  <c r="CQ4" i="7"/>
  <c r="CC42" i="10"/>
  <c r="CD38" i="10"/>
  <c r="CD45" i="10" s="1"/>
  <c r="CD37" i="10"/>
  <c r="CE11" i="10"/>
  <c r="CE35" i="10" s="1"/>
  <c r="CG47" i="5"/>
  <c r="CG28" i="6"/>
  <c r="CG25" i="6" s="1"/>
  <c r="CF21" i="10"/>
  <c r="CF16" i="10" s="1"/>
  <c r="CF23" i="10" s="1"/>
  <c r="CH45" i="5"/>
  <c r="CH44" i="5" s="1"/>
  <c r="CI46" i="5"/>
  <c r="BS13" i="6"/>
  <c r="BX16" i="6"/>
  <c r="CR2" i="7" l="1"/>
  <c r="CR4" i="7"/>
  <c r="CR7" i="7"/>
  <c r="CR9" i="7" s="1"/>
  <c r="CS3" i="7"/>
  <c r="CD42" i="10"/>
  <c r="CE37" i="10"/>
  <c r="CE38" i="10"/>
  <c r="CE45" i="10" s="1"/>
  <c r="CF11" i="10"/>
  <c r="CF35" i="10" s="1"/>
  <c r="CG21" i="10"/>
  <c r="CG16" i="10" s="1"/>
  <c r="CG23" i="10" s="1"/>
  <c r="CH47" i="5"/>
  <c r="CH28" i="6"/>
  <c r="CH25" i="6" s="1"/>
  <c r="CI45" i="5"/>
  <c r="CI44" i="5" s="1"/>
  <c r="CJ46" i="5"/>
  <c r="BT13" i="6"/>
  <c r="BY16" i="6"/>
  <c r="BZ16" i="6" s="1"/>
  <c r="F29" i="10"/>
  <c r="D29" i="10" s="1"/>
  <c r="CS2" i="7" l="1"/>
  <c r="CS4" i="7"/>
  <c r="CS7" i="7"/>
  <c r="CS9" i="7" s="1"/>
  <c r="CT3" i="7"/>
  <c r="CE42" i="10"/>
  <c r="CF37" i="10"/>
  <c r="CF38" i="10"/>
  <c r="CF45" i="10" s="1"/>
  <c r="CG11" i="10"/>
  <c r="CG38" i="10" s="1"/>
  <c r="CG45" i="10" s="1"/>
  <c r="CH21" i="10"/>
  <c r="CH16" i="10" s="1"/>
  <c r="CH23" i="10" s="1"/>
  <c r="CI47" i="5"/>
  <c r="CI28" i="6"/>
  <c r="CI25" i="6" s="1"/>
  <c r="CJ45" i="5"/>
  <c r="CJ44" i="5" s="1"/>
  <c r="CK46" i="5"/>
  <c r="CA16" i="6"/>
  <c r="BZ13" i="6"/>
  <c r="BU13" i="6"/>
  <c r="CT2" i="7" l="1"/>
  <c r="CT4" i="7"/>
  <c r="CT7" i="7"/>
  <c r="CT9" i="7" s="1"/>
  <c r="CU3" i="7"/>
  <c r="CG42" i="10"/>
  <c r="CF42" i="10"/>
  <c r="CG35" i="10"/>
  <c r="CG37" i="10"/>
  <c r="CH11" i="10"/>
  <c r="CH37" i="10" s="1"/>
  <c r="CI21" i="10"/>
  <c r="CI16" i="10" s="1"/>
  <c r="CI23" i="10" s="1"/>
  <c r="CJ47" i="5"/>
  <c r="CJ28" i="6"/>
  <c r="CJ25" i="6" s="1"/>
  <c r="CK45" i="5"/>
  <c r="CK44" i="5" s="1"/>
  <c r="CL46" i="5"/>
  <c r="CB16" i="6"/>
  <c r="CA13" i="6"/>
  <c r="BV13" i="6"/>
  <c r="CV3" i="7" l="1"/>
  <c r="CU2" i="7"/>
  <c r="CU7" i="7"/>
  <c r="CU9" i="7" s="1"/>
  <c r="CU4" i="7"/>
  <c r="CH38" i="10"/>
  <c r="CH45" i="10" s="1"/>
  <c r="CH35" i="10"/>
  <c r="CI11" i="10"/>
  <c r="CI38" i="10" s="1"/>
  <c r="CI45" i="10" s="1"/>
  <c r="CJ21" i="10"/>
  <c r="CJ16" i="10" s="1"/>
  <c r="CJ23" i="10" s="1"/>
  <c r="CK47" i="5"/>
  <c r="CK28" i="6"/>
  <c r="CK25" i="6" s="1"/>
  <c r="CL45" i="5"/>
  <c r="CL44" i="5" s="1"/>
  <c r="CM46" i="5"/>
  <c r="CC16" i="6"/>
  <c r="CB13" i="6"/>
  <c r="BW13" i="6"/>
  <c r="CV7" i="7" l="1"/>
  <c r="CV9" i="7" s="1"/>
  <c r="CW3" i="7"/>
  <c r="CV2" i="7"/>
  <c r="CV4" i="7"/>
  <c r="CI42" i="10"/>
  <c r="CH42" i="10"/>
  <c r="CI37" i="10"/>
  <c r="CI35" i="10"/>
  <c r="CJ11" i="10"/>
  <c r="CJ35" i="10" s="1"/>
  <c r="CK21" i="10"/>
  <c r="CK16" i="10" s="1"/>
  <c r="CK23" i="10" s="1"/>
  <c r="CL47" i="5"/>
  <c r="CL28" i="6"/>
  <c r="CL25" i="6" s="1"/>
  <c r="CM45" i="5"/>
  <c r="CM44" i="5" s="1"/>
  <c r="CN46" i="5"/>
  <c r="CD16" i="6"/>
  <c r="CC13" i="6"/>
  <c r="BY13" i="6"/>
  <c r="BX13" i="6"/>
  <c r="AB13" i="10"/>
  <c r="AB12" i="10" s="1"/>
  <c r="AB11" i="10" s="1"/>
  <c r="AS13" i="10"/>
  <c r="AS12" i="10" s="1"/>
  <c r="AW13" i="10"/>
  <c r="AW12" i="10" s="1"/>
  <c r="AO13" i="10"/>
  <c r="AO12" i="10" s="1"/>
  <c r="AO11" i="10" s="1"/>
  <c r="AJ13" i="10"/>
  <c r="AJ12" i="10" s="1"/>
  <c r="AJ11" i="10" s="1"/>
  <c r="BD13" i="10"/>
  <c r="BD12" i="10" s="1"/>
  <c r="AG13" i="10"/>
  <c r="AG12" i="10" s="1"/>
  <c r="AG11" i="10" s="1"/>
  <c r="AX13" i="10"/>
  <c r="AX12" i="10" s="1"/>
  <c r="AP13" i="10"/>
  <c r="AP12" i="10" s="1"/>
  <c r="AF13" i="10"/>
  <c r="AF12" i="10" s="1"/>
  <c r="AF11" i="10" s="1"/>
  <c r="AM13" i="10"/>
  <c r="AM12" i="10" s="1"/>
  <c r="AM11" i="10" s="1"/>
  <c r="H13" i="10"/>
  <c r="H12" i="10" s="1"/>
  <c r="H11" i="10" s="1"/>
  <c r="L13" i="10"/>
  <c r="L12" i="10" s="1"/>
  <c r="L11" i="10" s="1"/>
  <c r="BG13" i="10"/>
  <c r="BG12" i="10" s="1"/>
  <c r="BL13" i="10"/>
  <c r="BL12" i="10" s="1"/>
  <c r="Q13" i="10"/>
  <c r="Q12" i="10" s="1"/>
  <c r="Q11" i="10" s="1"/>
  <c r="N13" i="10"/>
  <c r="N12" i="10" s="1"/>
  <c r="N11" i="10" s="1"/>
  <c r="J13" i="10"/>
  <c r="J12" i="10" s="1"/>
  <c r="J11" i="10" s="1"/>
  <c r="M13" i="10"/>
  <c r="M12" i="10" s="1"/>
  <c r="M11" i="10" s="1"/>
  <c r="I13" i="10"/>
  <c r="I12" i="10" s="1"/>
  <c r="I11" i="10" s="1"/>
  <c r="Y13" i="10"/>
  <c r="Y12" i="10" s="1"/>
  <c r="Y11" i="10" s="1"/>
  <c r="AE13" i="10"/>
  <c r="AE12" i="10" s="1"/>
  <c r="AE11" i="10" s="1"/>
  <c r="AI13" i="10"/>
  <c r="AI12" i="10" s="1"/>
  <c r="AI11" i="10" s="1"/>
  <c r="AD13" i="10"/>
  <c r="AD12" i="10" s="1"/>
  <c r="AD11" i="10" s="1"/>
  <c r="S13" i="10"/>
  <c r="S12" i="10" s="1"/>
  <c r="S11" i="10" s="1"/>
  <c r="AC13" i="10"/>
  <c r="AC12" i="10" s="1"/>
  <c r="AC11" i="10" s="1"/>
  <c r="U13" i="10"/>
  <c r="U12" i="10" s="1"/>
  <c r="U11" i="10" s="1"/>
  <c r="U38" i="10" s="1"/>
  <c r="U45" i="10" s="1"/>
  <c r="Z13" i="10"/>
  <c r="Z12" i="10" s="1"/>
  <c r="Z11" i="10" s="1"/>
  <c r="AL13" i="10"/>
  <c r="AL12" i="10" s="1"/>
  <c r="AL11" i="10" s="1"/>
  <c r="AT13" i="10"/>
  <c r="AT12" i="10" s="1"/>
  <c r="AH13" i="10"/>
  <c r="AH12" i="10" s="1"/>
  <c r="AH11" i="10" s="1"/>
  <c r="AZ13" i="10"/>
  <c r="AZ12" i="10" s="1"/>
  <c r="R13" i="10"/>
  <c r="R12" i="10" s="1"/>
  <c r="R11" i="10" s="1"/>
  <c r="BF13" i="10"/>
  <c r="BF12" i="10" s="1"/>
  <c r="T13" i="10"/>
  <c r="T12" i="10" s="1"/>
  <c r="T11" i="10" s="1"/>
  <c r="BX13" i="10"/>
  <c r="BX12" i="10" s="1"/>
  <c r="BP13" i="10"/>
  <c r="BP12" i="10" s="1"/>
  <c r="V13" i="10"/>
  <c r="V12" i="10" s="1"/>
  <c r="V11" i="10" s="1"/>
  <c r="BE13" i="10"/>
  <c r="BE12" i="10" s="1"/>
  <c r="AY13" i="10"/>
  <c r="AY12" i="10" s="1"/>
  <c r="BQ13" i="10"/>
  <c r="BQ12" i="10" s="1"/>
  <c r="BB13" i="10"/>
  <c r="BB12" i="10" s="1"/>
  <c r="X13" i="10"/>
  <c r="X12" i="10" s="1"/>
  <c r="X11" i="10" s="1"/>
  <c r="P13" i="10"/>
  <c r="P12" i="10" s="1"/>
  <c r="P11" i="10" s="1"/>
  <c r="P38" i="10" s="1"/>
  <c r="P45" i="10" s="1"/>
  <c r="G13" i="10"/>
  <c r="G12" i="10" s="1"/>
  <c r="G11" i="10" s="1"/>
  <c r="AQ13" i="10"/>
  <c r="AQ12" i="10" s="1"/>
  <c r="K13" i="10"/>
  <c r="K12" i="10" s="1"/>
  <c r="K11" i="10" s="1"/>
  <c r="BH13" i="10"/>
  <c r="BH12" i="10" s="1"/>
  <c r="AK13" i="10"/>
  <c r="AK12" i="10" s="1"/>
  <c r="AK11" i="10" s="1"/>
  <c r="BR13" i="10"/>
  <c r="BR12" i="10" s="1"/>
  <c r="AU13" i="10"/>
  <c r="AU12" i="10" s="1"/>
  <c r="BW13" i="10"/>
  <c r="BW12" i="10" s="1"/>
  <c r="BK13" i="10"/>
  <c r="BK12" i="10" s="1"/>
  <c r="O13" i="10"/>
  <c r="O12" i="10" s="1"/>
  <c r="O11" i="10" s="1"/>
  <c r="BV13" i="10"/>
  <c r="BV12" i="10" s="1"/>
  <c r="BM13" i="10"/>
  <c r="BM12" i="10" s="1"/>
  <c r="BC13" i="10"/>
  <c r="BC12" i="10" s="1"/>
  <c r="AA13" i="10"/>
  <c r="AA12" i="10" s="1"/>
  <c r="AA11" i="10" s="1"/>
  <c r="AR13" i="10"/>
  <c r="AR12" i="10" s="1"/>
  <c r="BO13" i="10"/>
  <c r="BO12" i="10" s="1"/>
  <c r="W13" i="10"/>
  <c r="W12" i="10" s="1"/>
  <c r="W11" i="10" s="1"/>
  <c r="BT13" i="10"/>
  <c r="BT12" i="10" s="1"/>
  <c r="AV13" i="10"/>
  <c r="AV12" i="10" s="1"/>
  <c r="BN13" i="10"/>
  <c r="BN12" i="10" s="1"/>
  <c r="BJ13" i="10"/>
  <c r="BJ12" i="10" s="1"/>
  <c r="BU13" i="10"/>
  <c r="BU12" i="10" s="1"/>
  <c r="AN13" i="10"/>
  <c r="AN12" i="10" s="1"/>
  <c r="AN11" i="10" s="1"/>
  <c r="BS13" i="10"/>
  <c r="BS12" i="10" s="1"/>
  <c r="BI13" i="10"/>
  <c r="BI12" i="10" s="1"/>
  <c r="F13" i="10"/>
  <c r="AR11" i="10" l="1"/>
  <c r="AR15" i="10"/>
  <c r="AU11" i="10"/>
  <c r="AU37" i="10" s="1"/>
  <c r="AU15" i="10"/>
  <c r="BR11" i="10"/>
  <c r="BR15" i="10"/>
  <c r="BB11" i="10"/>
  <c r="BB35" i="10" s="1"/>
  <c r="BB15" i="10"/>
  <c r="BF11" i="10"/>
  <c r="BF15" i="10"/>
  <c r="AW11" i="10"/>
  <c r="AW38" i="10" s="1"/>
  <c r="AW45" i="10" s="1"/>
  <c r="AW15" i="10"/>
  <c r="BC11" i="10"/>
  <c r="BC15" i="10"/>
  <c r="BQ11" i="10"/>
  <c r="BQ38" i="10" s="1"/>
  <c r="BQ45" i="10" s="1"/>
  <c r="BQ15" i="10"/>
  <c r="AS11" i="10"/>
  <c r="AS15" i="10"/>
  <c r="BM11" i="10"/>
  <c r="BM35" i="10" s="1"/>
  <c r="BM15" i="10"/>
  <c r="BH11" i="10"/>
  <c r="BH15" i="10"/>
  <c r="AY11" i="10"/>
  <c r="AY35" i="10" s="1"/>
  <c r="AY15" i="10"/>
  <c r="AZ11" i="10"/>
  <c r="AZ15" i="10"/>
  <c r="AP11" i="10"/>
  <c r="AP38" i="10" s="1"/>
  <c r="AP45" i="10" s="1"/>
  <c r="AP15" i="10"/>
  <c r="BJ11" i="10"/>
  <c r="BJ15" i="10"/>
  <c r="BV11" i="10"/>
  <c r="BV35" i="10" s="1"/>
  <c r="BV15" i="10"/>
  <c r="BE11" i="10"/>
  <c r="BE15" i="10"/>
  <c r="AX11" i="10"/>
  <c r="AX38" i="10" s="1"/>
  <c r="AX45" i="10" s="1"/>
  <c r="AX15" i="10"/>
  <c r="BN11" i="10"/>
  <c r="BN15" i="10"/>
  <c r="BT11" i="10"/>
  <c r="BT37" i="10" s="1"/>
  <c r="BT15" i="10"/>
  <c r="AQ11" i="10"/>
  <c r="AQ15" i="10"/>
  <c r="AT11" i="10"/>
  <c r="AT37" i="10" s="1"/>
  <c r="AT15" i="10"/>
  <c r="BL11" i="10"/>
  <c r="BL15" i="10"/>
  <c r="AV11" i="10"/>
  <c r="AV37" i="10" s="1"/>
  <c r="AV15" i="10"/>
  <c r="BK11" i="10"/>
  <c r="BK15" i="10"/>
  <c r="BP11" i="10"/>
  <c r="BP38" i="10" s="1"/>
  <c r="BP45" i="10" s="1"/>
  <c r="BP15" i="10"/>
  <c r="BA13" i="10"/>
  <c r="BA12" i="10" s="1"/>
  <c r="BG11" i="10"/>
  <c r="BG38" i="10" s="1"/>
  <c r="BG45" i="10" s="1"/>
  <c r="BG15" i="10"/>
  <c r="BD11" i="10"/>
  <c r="BD35" i="10" s="1"/>
  <c r="BD15" i="10"/>
  <c r="BU11" i="10"/>
  <c r="BU37" i="10" s="1"/>
  <c r="BU15" i="10"/>
  <c r="BI11" i="10"/>
  <c r="BI37" i="10" s="1"/>
  <c r="BI15" i="10"/>
  <c r="BS11" i="10"/>
  <c r="BS38" i="10" s="1"/>
  <c r="BS45" i="10" s="1"/>
  <c r="BS15" i="10"/>
  <c r="BO11" i="10"/>
  <c r="BO38" i="10" s="1"/>
  <c r="BO45" i="10" s="1"/>
  <c r="BO15" i="10"/>
  <c r="BW11" i="10"/>
  <c r="BW35" i="10" s="1"/>
  <c r="BW15" i="10"/>
  <c r="BX11" i="10"/>
  <c r="BX37" i="10" s="1"/>
  <c r="BX15" i="10"/>
  <c r="CW7" i="7"/>
  <c r="CW9" i="7" s="1"/>
  <c r="CX3" i="7"/>
  <c r="CW2" i="7"/>
  <c r="CW4" i="7"/>
  <c r="P42" i="10"/>
  <c r="U42" i="10"/>
  <c r="CJ37" i="10"/>
  <c r="CJ38" i="10"/>
  <c r="CJ45" i="10" s="1"/>
  <c r="CK11" i="10"/>
  <c r="CK37" i="10" s="1"/>
  <c r="F29" i="6"/>
  <c r="F21" i="6" s="1"/>
  <c r="F19" i="6" s="1"/>
  <c r="F30" i="6" s="1"/>
  <c r="D13" i="10"/>
  <c r="CL21" i="10"/>
  <c r="CL16" i="10" s="1"/>
  <c r="CL23" i="10" s="1"/>
  <c r="CM47" i="5"/>
  <c r="CM28" i="6"/>
  <c r="CM25" i="6" s="1"/>
  <c r="CN45" i="5"/>
  <c r="CN44" i="5" s="1"/>
  <c r="CO46" i="5"/>
  <c r="CE16" i="6"/>
  <c r="CD13" i="6"/>
  <c r="BY12" i="10"/>
  <c r="F12" i="10"/>
  <c r="AA37" i="10"/>
  <c r="AA35" i="10"/>
  <c r="AA38" i="10"/>
  <c r="AA45" i="10" s="1"/>
  <c r="BH37" i="10"/>
  <c r="BH35" i="10"/>
  <c r="BH38" i="10"/>
  <c r="BH45" i="10" s="1"/>
  <c r="BN35" i="10"/>
  <c r="BN38" i="10"/>
  <c r="BN45" i="10" s="1"/>
  <c r="BN37" i="10"/>
  <c r="BJ37" i="10"/>
  <c r="BJ35" i="10"/>
  <c r="BJ38" i="10"/>
  <c r="BJ45" i="10" s="1"/>
  <c r="AQ35" i="10"/>
  <c r="AQ37" i="10"/>
  <c r="AQ38" i="10"/>
  <c r="AQ45" i="10" s="1"/>
  <c r="W38" i="10"/>
  <c r="W45" i="10" s="1"/>
  <c r="W37" i="10"/>
  <c r="W35" i="10"/>
  <c r="AR37" i="10"/>
  <c r="AR35" i="10"/>
  <c r="AR38" i="10"/>
  <c r="AR45" i="10" s="1"/>
  <c r="X37" i="10"/>
  <c r="X35" i="10"/>
  <c r="X38" i="10"/>
  <c r="X45" i="10" s="1"/>
  <c r="BC38" i="10"/>
  <c r="BC45" i="10" s="1"/>
  <c r="BC35" i="10"/>
  <c r="BC37" i="10"/>
  <c r="BR35" i="10"/>
  <c r="BR38" i="10"/>
  <c r="BR45" i="10" s="1"/>
  <c r="BR37" i="10"/>
  <c r="BF37" i="10"/>
  <c r="BF35" i="10"/>
  <c r="BF38" i="10"/>
  <c r="BF45" i="10" s="1"/>
  <c r="AH35" i="10"/>
  <c r="AH38" i="10"/>
  <c r="AH45" i="10" s="1"/>
  <c r="AH37" i="10"/>
  <c r="AE38" i="10"/>
  <c r="AE45" i="10" s="1"/>
  <c r="AE37" i="10"/>
  <c r="AE35" i="10"/>
  <c r="BK35" i="10"/>
  <c r="BK38" i="10"/>
  <c r="BK45" i="10" s="1"/>
  <c r="BK37" i="10"/>
  <c r="G38" i="10"/>
  <c r="G45" i="10" s="1"/>
  <c r="G37" i="10"/>
  <c r="G35" i="10"/>
  <c r="AC37" i="10"/>
  <c r="AC35" i="10"/>
  <c r="AC38" i="10"/>
  <c r="AC45" i="10" s="1"/>
  <c r="AF37" i="10"/>
  <c r="AF35" i="10"/>
  <c r="AF38" i="10"/>
  <c r="AF45" i="10" s="1"/>
  <c r="AO38" i="10"/>
  <c r="AO45" i="10" s="1"/>
  <c r="AO35" i="10"/>
  <c r="AO37" i="10"/>
  <c r="AN38" i="10"/>
  <c r="AN45" i="10" s="1"/>
  <c r="AN35" i="10"/>
  <c r="AN37" i="10"/>
  <c r="AK37" i="10"/>
  <c r="AK35" i="10"/>
  <c r="AK38" i="10"/>
  <c r="AK45" i="10" s="1"/>
  <c r="BE37" i="10"/>
  <c r="BE35" i="10"/>
  <c r="BE38" i="10"/>
  <c r="BE45" i="10" s="1"/>
  <c r="AL37" i="10"/>
  <c r="AL35" i="10"/>
  <c r="AL38" i="10"/>
  <c r="AL45" i="10" s="1"/>
  <c r="Q38" i="10"/>
  <c r="Q45" i="10" s="1"/>
  <c r="Q37" i="10"/>
  <c r="Q35" i="10"/>
  <c r="K37" i="10"/>
  <c r="K35" i="10"/>
  <c r="K38" i="10"/>
  <c r="K45" i="10" s="1"/>
  <c r="P37" i="10"/>
  <c r="P35" i="10"/>
  <c r="R38" i="10"/>
  <c r="R45" i="10" s="1"/>
  <c r="R37" i="10"/>
  <c r="R35" i="10"/>
  <c r="Z37" i="10"/>
  <c r="Z35" i="10"/>
  <c r="Z38" i="10"/>
  <c r="Z45" i="10" s="1"/>
  <c r="AI38" i="10"/>
  <c r="AI45" i="10" s="1"/>
  <c r="AI35" i="10"/>
  <c r="AI37" i="10"/>
  <c r="S37" i="10"/>
  <c r="S38" i="10"/>
  <c r="S45" i="10" s="1"/>
  <c r="S35" i="10"/>
  <c r="AZ37" i="10"/>
  <c r="AZ35" i="10"/>
  <c r="AZ38" i="10"/>
  <c r="AZ45" i="10" s="1"/>
  <c r="O37" i="10"/>
  <c r="O35" i="10"/>
  <c r="O38" i="10"/>
  <c r="O45" i="10" s="1"/>
  <c r="AU38" i="10"/>
  <c r="AU45" i="10" s="1"/>
  <c r="T37" i="10"/>
  <c r="T35" i="10"/>
  <c r="T38" i="10"/>
  <c r="T45" i="10" s="1"/>
  <c r="AD35" i="10"/>
  <c r="AD37" i="10"/>
  <c r="AD38" i="10"/>
  <c r="AD45" i="10" s="1"/>
  <c r="H37" i="10"/>
  <c r="H35" i="10"/>
  <c r="H38" i="10"/>
  <c r="H45" i="10" s="1"/>
  <c r="AM37" i="10"/>
  <c r="AM35" i="10"/>
  <c r="AM38" i="10"/>
  <c r="AM45" i="10" s="1"/>
  <c r="J37" i="10"/>
  <c r="J35" i="10"/>
  <c r="J38" i="10"/>
  <c r="J45" i="10" s="1"/>
  <c r="AP37" i="10"/>
  <c r="AP35" i="10"/>
  <c r="Y37" i="10"/>
  <c r="Y35" i="10"/>
  <c r="Y38" i="10"/>
  <c r="Y45" i="10" s="1"/>
  <c r="L37" i="10"/>
  <c r="L35" i="10"/>
  <c r="L38" i="10"/>
  <c r="L45" i="10" s="1"/>
  <c r="AS37" i="10"/>
  <c r="AS35" i="10"/>
  <c r="AS38" i="10"/>
  <c r="AS45" i="10" s="1"/>
  <c r="V38" i="10"/>
  <c r="V45" i="10" s="1"/>
  <c r="V37" i="10"/>
  <c r="V35" i="10"/>
  <c r="U37" i="10"/>
  <c r="U35" i="10"/>
  <c r="I37" i="10"/>
  <c r="I38" i="10"/>
  <c r="I45" i="10" s="1"/>
  <c r="I35" i="10"/>
  <c r="AG37" i="10"/>
  <c r="AG35" i="10"/>
  <c r="AG38" i="10"/>
  <c r="AG45" i="10" s="1"/>
  <c r="AB38" i="10"/>
  <c r="AB45" i="10" s="1"/>
  <c r="AB37" i="10"/>
  <c r="AB35" i="10"/>
  <c r="M35" i="10"/>
  <c r="M37" i="10"/>
  <c r="M38" i="10"/>
  <c r="M45" i="10" s="1"/>
  <c r="N37" i="10"/>
  <c r="N35" i="10"/>
  <c r="N38" i="10"/>
  <c r="N45" i="10" s="1"/>
  <c r="BL38" i="10"/>
  <c r="BL45" i="10" s="1"/>
  <c r="BL37" i="10"/>
  <c r="BL35" i="10"/>
  <c r="AJ35" i="10"/>
  <c r="AJ38" i="10"/>
  <c r="AJ45" i="10" s="1"/>
  <c r="AJ37" i="10"/>
  <c r="BW37" i="10" l="1"/>
  <c r="BW38" i="10"/>
  <c r="BW45" i="10" s="1"/>
  <c r="AX37" i="10"/>
  <c r="AW35" i="10"/>
  <c r="BP37" i="10"/>
  <c r="BM37" i="10"/>
  <c r="AT35" i="10"/>
  <c r="AX35" i="10"/>
  <c r="AW37" i="10"/>
  <c r="BP35" i="10"/>
  <c r="AU35" i="10"/>
  <c r="BM38" i="10"/>
  <c r="BM45" i="10" s="1"/>
  <c r="AT38" i="10"/>
  <c r="AT45" i="10" s="1"/>
  <c r="BS37" i="10"/>
  <c r="BU35" i="10"/>
  <c r="BX38" i="10"/>
  <c r="BX45" i="10" s="1"/>
  <c r="BX35" i="10"/>
  <c r="BI35" i="10"/>
  <c r="BI38" i="10"/>
  <c r="BI45" i="10" s="1"/>
  <c r="BQ35" i="10"/>
  <c r="BG35" i="10"/>
  <c r="BG37" i="10"/>
  <c r="BD37" i="10"/>
  <c r="BU38" i="10"/>
  <c r="BU45" i="10" s="1"/>
  <c r="BQ37" i="10"/>
  <c r="BV38" i="10"/>
  <c r="BV45" i="10" s="1"/>
  <c r="AY37" i="10"/>
  <c r="BB37" i="10"/>
  <c r="BV37" i="10"/>
  <c r="BB38" i="10"/>
  <c r="BB45" i="10" s="1"/>
  <c r="BT38" i="10"/>
  <c r="BT45" i="10" s="1"/>
  <c r="AV38" i="10"/>
  <c r="AV45" i="10" s="1"/>
  <c r="BT35" i="10"/>
  <c r="AV35" i="10"/>
  <c r="BS35" i="10"/>
  <c r="AY38" i="10"/>
  <c r="AY45" i="10" s="1"/>
  <c r="BO37" i="10"/>
  <c r="BD38" i="10"/>
  <c r="BD45" i="10" s="1"/>
  <c r="BO35" i="10"/>
  <c r="BA11" i="10"/>
  <c r="BA15" i="10"/>
  <c r="BY11" i="10"/>
  <c r="BY37" i="10" s="1"/>
  <c r="BY15" i="10"/>
  <c r="CX7" i="7"/>
  <c r="CX9" i="7" s="1"/>
  <c r="CY3" i="7"/>
  <c r="CX2" i="7"/>
  <c r="CX4" i="7"/>
  <c r="BW42" i="10"/>
  <c r="AF42" i="10"/>
  <c r="G42" i="10"/>
  <c r="AH42" i="10"/>
  <c r="BM42" i="10"/>
  <c r="BS42" i="10"/>
  <c r="AQ42" i="10"/>
  <c r="AD42" i="10"/>
  <c r="AL42" i="10"/>
  <c r="BQ42" i="10"/>
  <c r="N42" i="10"/>
  <c r="BG42" i="10"/>
  <c r="R42" i="10"/>
  <c r="BK42" i="10"/>
  <c r="BF42" i="10"/>
  <c r="BN42" i="10"/>
  <c r="AA42" i="10"/>
  <c r="CJ42" i="10"/>
  <c r="BL42" i="10"/>
  <c r="AG42" i="10"/>
  <c r="AM42" i="10"/>
  <c r="AZ42" i="10"/>
  <c r="AC42" i="10"/>
  <c r="X42" i="10"/>
  <c r="BJ42" i="10"/>
  <c r="L42" i="10"/>
  <c r="AW42" i="10"/>
  <c r="T42" i="10"/>
  <c r="BP42" i="10"/>
  <c r="AI42" i="10"/>
  <c r="BE42" i="10"/>
  <c r="AN42" i="10"/>
  <c r="AT42" i="10"/>
  <c r="J42" i="10"/>
  <c r="AX42" i="10"/>
  <c r="AJ42" i="10"/>
  <c r="M42" i="10"/>
  <c r="AP42" i="10"/>
  <c r="O42" i="10"/>
  <c r="Z42" i="10"/>
  <c r="K42" i="10"/>
  <c r="Q42" i="10"/>
  <c r="BC42" i="10"/>
  <c r="V42" i="10"/>
  <c r="AS42" i="10"/>
  <c r="H42" i="10"/>
  <c r="AE42" i="10"/>
  <c r="BR42" i="10"/>
  <c r="BO42" i="10"/>
  <c r="AR42" i="10"/>
  <c r="AB42" i="10"/>
  <c r="I42" i="10"/>
  <c r="Y42" i="10"/>
  <c r="AU42" i="10"/>
  <c r="S42" i="10"/>
  <c r="AK42" i="10"/>
  <c r="AO42" i="10"/>
  <c r="W42" i="10"/>
  <c r="BH42" i="10"/>
  <c r="CK35" i="10"/>
  <c r="CK38" i="10"/>
  <c r="CK45" i="10" s="1"/>
  <c r="G29" i="6"/>
  <c r="H29" i="6" s="1"/>
  <c r="CL11" i="10"/>
  <c r="CL37" i="10" s="1"/>
  <c r="F11" i="10"/>
  <c r="D12" i="10"/>
  <c r="CM21" i="10"/>
  <c r="CM16" i="10" s="1"/>
  <c r="CM23" i="10" s="1"/>
  <c r="CN47" i="5"/>
  <c r="CN28" i="6"/>
  <c r="CN25" i="6" s="1"/>
  <c r="CO45" i="5"/>
  <c r="CO44" i="5" s="1"/>
  <c r="CP46" i="5"/>
  <c r="CF16" i="6"/>
  <c r="CE13" i="6"/>
  <c r="BX42" i="10" l="1"/>
  <c r="BT42" i="10"/>
  <c r="AV42" i="10"/>
  <c r="BU42" i="10"/>
  <c r="BV42" i="10"/>
  <c r="BB42" i="10"/>
  <c r="BI42" i="10"/>
  <c r="AY42" i="10"/>
  <c r="BD42" i="10"/>
  <c r="BY35" i="10"/>
  <c r="BY38" i="10"/>
  <c r="BY45" i="10" s="1"/>
  <c r="D15" i="10"/>
  <c r="BA37" i="10"/>
  <c r="BA35" i="10"/>
  <c r="BA38" i="10"/>
  <c r="BA45" i="10" s="1"/>
  <c r="CZ3" i="7"/>
  <c r="CY4" i="7"/>
  <c r="CY2" i="7"/>
  <c r="CY7" i="7"/>
  <c r="CY9" i="7" s="1"/>
  <c r="CK42" i="10"/>
  <c r="F35" i="10"/>
  <c r="F36" i="10" s="1"/>
  <c r="F9" i="6" s="1"/>
  <c r="F7" i="6" s="1"/>
  <c r="F11" i="6" s="1"/>
  <c r="F32" i="6" s="1"/>
  <c r="F38" i="10"/>
  <c r="F45" i="10" s="1"/>
  <c r="G21" i="6"/>
  <c r="G19" i="6" s="1"/>
  <c r="G30" i="6" s="1"/>
  <c r="CL38" i="10"/>
  <c r="CL45" i="10" s="1"/>
  <c r="CL35" i="10"/>
  <c r="CM11" i="10"/>
  <c r="CM37" i="10" s="1"/>
  <c r="F37" i="10"/>
  <c r="CN21" i="10"/>
  <c r="CN16" i="10" s="1"/>
  <c r="CN23" i="10" s="1"/>
  <c r="CO47" i="5"/>
  <c r="CO28" i="6"/>
  <c r="CO25" i="6" s="1"/>
  <c r="CP45" i="5"/>
  <c r="CP44" i="5" s="1"/>
  <c r="CQ46" i="5"/>
  <c r="CG16" i="6"/>
  <c r="CF13" i="6"/>
  <c r="H21" i="6"/>
  <c r="H19" i="6" s="1"/>
  <c r="H30" i="6" s="1"/>
  <c r="I29" i="6"/>
  <c r="BY42" i="10" l="1"/>
  <c r="BA42" i="10"/>
  <c r="F39" i="10"/>
  <c r="F40" i="10" s="1"/>
  <c r="CZ2" i="7"/>
  <c r="CZ4" i="7"/>
  <c r="CZ7" i="7"/>
  <c r="CZ9" i="7" s="1"/>
  <c r="DA3" i="7"/>
  <c r="CL42" i="10"/>
  <c r="F42" i="10"/>
  <c r="G36" i="10"/>
  <c r="G9" i="6" s="1"/>
  <c r="G7" i="6" s="1"/>
  <c r="G11" i="6" s="1"/>
  <c r="G32" i="6" s="1"/>
  <c r="CM35" i="10"/>
  <c r="CM38" i="10"/>
  <c r="CM45" i="10" s="1"/>
  <c r="CN11" i="10"/>
  <c r="CN38" i="10" s="1"/>
  <c r="CN45" i="10" s="1"/>
  <c r="CO21" i="10"/>
  <c r="CO16" i="10" s="1"/>
  <c r="CO23" i="10" s="1"/>
  <c r="CP47" i="5"/>
  <c r="CP28" i="6"/>
  <c r="CP25" i="6" s="1"/>
  <c r="CQ45" i="5"/>
  <c r="CQ44" i="5" s="1"/>
  <c r="CR46" i="5"/>
  <c r="CH16" i="6"/>
  <c r="CG13" i="6"/>
  <c r="I21" i="6"/>
  <c r="I19" i="6" s="1"/>
  <c r="I30" i="6" s="1"/>
  <c r="J29" i="6"/>
  <c r="G39" i="10" l="1"/>
  <c r="G40" i="10" s="1"/>
  <c r="DA2" i="7"/>
  <c r="DA4" i="7"/>
  <c r="DA7" i="7"/>
  <c r="DA9" i="7" s="1"/>
  <c r="DB3" i="7"/>
  <c r="F43" i="10"/>
  <c r="F44" i="10" s="1"/>
  <c r="CN42" i="10"/>
  <c r="CM42" i="10"/>
  <c r="H36" i="10"/>
  <c r="I36" i="10" s="1"/>
  <c r="CN35" i="10"/>
  <c r="CN37" i="10"/>
  <c r="CO11" i="10"/>
  <c r="CP21" i="10"/>
  <c r="CP16" i="10" s="1"/>
  <c r="CP23" i="10" s="1"/>
  <c r="CQ47" i="5"/>
  <c r="CQ28" i="6"/>
  <c r="CQ25" i="6" s="1"/>
  <c r="CR45" i="5"/>
  <c r="CR44" i="5" s="1"/>
  <c r="CS46" i="5"/>
  <c r="CI16" i="6"/>
  <c r="CH13" i="6"/>
  <c r="J21" i="6"/>
  <c r="J19" i="6" s="1"/>
  <c r="J30" i="6" s="1"/>
  <c r="K29" i="6"/>
  <c r="H39" i="10" l="1"/>
  <c r="H40" i="10" s="1"/>
  <c r="G43" i="10"/>
  <c r="G44" i="10" s="1"/>
  <c r="DB2" i="7"/>
  <c r="DB4" i="7"/>
  <c r="DC3" i="7"/>
  <c r="DB7" i="7"/>
  <c r="DB9" i="7" s="1"/>
  <c r="H9" i="6"/>
  <c r="H7" i="6" s="1"/>
  <c r="H11" i="6" s="1"/>
  <c r="H32" i="6" s="1"/>
  <c r="CP11" i="10"/>
  <c r="CP35" i="10" s="1"/>
  <c r="CO38" i="10"/>
  <c r="CO45" i="10" s="1"/>
  <c r="CO37" i="10"/>
  <c r="CO35" i="10"/>
  <c r="CQ21" i="10"/>
  <c r="CQ16" i="10" s="1"/>
  <c r="CQ23" i="10" s="1"/>
  <c r="CR47" i="5"/>
  <c r="CR28" i="6"/>
  <c r="CR25" i="6" s="1"/>
  <c r="CS45" i="5"/>
  <c r="CS44" i="5" s="1"/>
  <c r="CT46" i="5"/>
  <c r="CJ16" i="6"/>
  <c r="CI13" i="6"/>
  <c r="K21" i="6"/>
  <c r="K19" i="6" s="1"/>
  <c r="K30" i="6" s="1"/>
  <c r="L29" i="6"/>
  <c r="J36" i="10"/>
  <c r="I9" i="6"/>
  <c r="I7" i="6" s="1"/>
  <c r="I11" i="6" s="1"/>
  <c r="I32" i="6" s="1"/>
  <c r="I39" i="10" l="1"/>
  <c r="I40" i="10" s="1"/>
  <c r="H43" i="10"/>
  <c r="H44" i="10" s="1"/>
  <c r="DD3" i="7"/>
  <c r="DC2" i="7"/>
  <c r="DC4" i="7"/>
  <c r="DC7" i="7"/>
  <c r="DC9" i="7" s="1"/>
  <c r="CO42" i="10"/>
  <c r="CP38" i="10"/>
  <c r="CP45" i="10" s="1"/>
  <c r="CP37" i="10"/>
  <c r="CQ11" i="10"/>
  <c r="CQ37" i="10" s="1"/>
  <c r="CR21" i="10"/>
  <c r="CR16" i="10" s="1"/>
  <c r="CR23" i="10" s="1"/>
  <c r="CS47" i="5"/>
  <c r="CS28" i="6"/>
  <c r="CS25" i="6" s="1"/>
  <c r="CT45" i="5"/>
  <c r="CT44" i="5" s="1"/>
  <c r="CU46" i="5"/>
  <c r="CK16" i="6"/>
  <c r="CJ13" i="6"/>
  <c r="L21" i="6"/>
  <c r="L19" i="6" s="1"/>
  <c r="L30" i="6" s="1"/>
  <c r="M29" i="6"/>
  <c r="J9" i="6"/>
  <c r="J7" i="6" s="1"/>
  <c r="J11" i="6" s="1"/>
  <c r="J32" i="6" s="1"/>
  <c r="K36" i="10"/>
  <c r="J39" i="10" l="1"/>
  <c r="J40" i="10" s="1"/>
  <c r="I43" i="10"/>
  <c r="I44" i="10" s="1"/>
  <c r="DD7" i="7"/>
  <c r="DD9" i="7" s="1"/>
  <c r="DE3" i="7"/>
  <c r="DD2" i="7"/>
  <c r="DD4" i="7"/>
  <c r="CP42" i="10"/>
  <c r="CQ38" i="10"/>
  <c r="CQ45" i="10" s="1"/>
  <c r="CQ35" i="10"/>
  <c r="CR11" i="10"/>
  <c r="CR35" i="10" s="1"/>
  <c r="CS21" i="10"/>
  <c r="CS16" i="10" s="1"/>
  <c r="CS23" i="10" s="1"/>
  <c r="CT47" i="5"/>
  <c r="CT28" i="6"/>
  <c r="CT25" i="6" s="1"/>
  <c r="CU45" i="5"/>
  <c r="CU44" i="5" s="1"/>
  <c r="CV46" i="5"/>
  <c r="CL16" i="6"/>
  <c r="CK13" i="6"/>
  <c r="K9" i="6"/>
  <c r="K7" i="6" s="1"/>
  <c r="K11" i="6" s="1"/>
  <c r="K32" i="6" s="1"/>
  <c r="L36" i="10"/>
  <c r="M21" i="6"/>
  <c r="M19" i="6" s="1"/>
  <c r="M30" i="6" s="1"/>
  <c r="N29" i="6"/>
  <c r="K39" i="10" l="1"/>
  <c r="K40" i="10" s="1"/>
  <c r="J43" i="10"/>
  <c r="J44" i="10" s="1"/>
  <c r="DF3" i="7"/>
  <c r="DE7" i="7"/>
  <c r="DE9" i="7" s="1"/>
  <c r="DE2" i="7"/>
  <c r="DE4" i="7"/>
  <c r="CQ42" i="10"/>
  <c r="CR37" i="10"/>
  <c r="CR38" i="10"/>
  <c r="CR45" i="10" s="1"/>
  <c r="CS11" i="10"/>
  <c r="CS35" i="10" s="1"/>
  <c r="CT21" i="10"/>
  <c r="CT16" i="10" s="1"/>
  <c r="CT23" i="10" s="1"/>
  <c r="CU47" i="5"/>
  <c r="CU28" i="6"/>
  <c r="CU25" i="6" s="1"/>
  <c r="CV45" i="5"/>
  <c r="CV44" i="5" s="1"/>
  <c r="CW46" i="5"/>
  <c r="CM16" i="6"/>
  <c r="CL13" i="6"/>
  <c r="N21" i="6"/>
  <c r="N19" i="6" s="1"/>
  <c r="N30" i="6" s="1"/>
  <c r="O29" i="6"/>
  <c r="L9" i="6"/>
  <c r="L7" i="6" s="1"/>
  <c r="L11" i="6" s="1"/>
  <c r="L32" i="6" s="1"/>
  <c r="M36" i="10"/>
  <c r="L39" i="10" l="1"/>
  <c r="L40" i="10" s="1"/>
  <c r="K43" i="10"/>
  <c r="K44" i="10" s="1"/>
  <c r="DF7" i="7"/>
  <c r="DF9" i="7" s="1"/>
  <c r="DG3" i="7"/>
  <c r="DF2" i="7"/>
  <c r="DF4" i="7"/>
  <c r="CR42" i="10"/>
  <c r="CS38" i="10"/>
  <c r="CS45" i="10" s="1"/>
  <c r="CS37" i="10"/>
  <c r="CT11" i="10"/>
  <c r="CT38" i="10" s="1"/>
  <c r="CT45" i="10" s="1"/>
  <c r="CU21" i="10"/>
  <c r="CU16" i="10" s="1"/>
  <c r="CU23" i="10" s="1"/>
  <c r="CV47" i="5"/>
  <c r="CV28" i="6"/>
  <c r="CV25" i="6" s="1"/>
  <c r="CW45" i="5"/>
  <c r="CW44" i="5" s="1"/>
  <c r="CX46" i="5"/>
  <c r="CN16" i="6"/>
  <c r="CM13" i="6"/>
  <c r="M9" i="6"/>
  <c r="M7" i="6" s="1"/>
  <c r="M11" i="6" s="1"/>
  <c r="M32" i="6" s="1"/>
  <c r="N36" i="10"/>
  <c r="O21" i="6"/>
  <c r="O19" i="6" s="1"/>
  <c r="O30" i="6" s="1"/>
  <c r="P29" i="6"/>
  <c r="M39" i="10" l="1"/>
  <c r="M40" i="10" s="1"/>
  <c r="L43" i="10"/>
  <c r="L44" i="10" s="1"/>
  <c r="DH3" i="7"/>
  <c r="DG7" i="7"/>
  <c r="DG9" i="7" s="1"/>
  <c r="DG4" i="7"/>
  <c r="DG2" i="7"/>
  <c r="CS42" i="10"/>
  <c r="CT42" i="10"/>
  <c r="CT35" i="10"/>
  <c r="CT37" i="10"/>
  <c r="CU11" i="10"/>
  <c r="CU37" i="10" s="1"/>
  <c r="CV21" i="10"/>
  <c r="CV16" i="10" s="1"/>
  <c r="CV23" i="10" s="1"/>
  <c r="CW47" i="5"/>
  <c r="CW28" i="6"/>
  <c r="CW25" i="6" s="1"/>
  <c r="CX45" i="5"/>
  <c r="CX44" i="5" s="1"/>
  <c r="CY46" i="5"/>
  <c r="CO16" i="6"/>
  <c r="CN13" i="6"/>
  <c r="P21" i="6"/>
  <c r="P19" i="6" s="1"/>
  <c r="P30" i="6" s="1"/>
  <c r="Q29" i="6"/>
  <c r="N9" i="6"/>
  <c r="N7" i="6" s="1"/>
  <c r="N11" i="6" s="1"/>
  <c r="N32" i="6" s="1"/>
  <c r="O36" i="10"/>
  <c r="N39" i="10" l="1"/>
  <c r="N40" i="10" s="1"/>
  <c r="M43" i="10"/>
  <c r="M44" i="10" s="1"/>
  <c r="DH2" i="7"/>
  <c r="DH4" i="7"/>
  <c r="DH7" i="7"/>
  <c r="DH9" i="7" s="1"/>
  <c r="DI3" i="7"/>
  <c r="CU35" i="10"/>
  <c r="CU38" i="10"/>
  <c r="CU45" i="10" s="1"/>
  <c r="CV11" i="10"/>
  <c r="CV38" i="10" s="1"/>
  <c r="CV45" i="10" s="1"/>
  <c r="CW21" i="10"/>
  <c r="CW16" i="10" s="1"/>
  <c r="CW23" i="10" s="1"/>
  <c r="CX47" i="5"/>
  <c r="CX28" i="6"/>
  <c r="CX25" i="6" s="1"/>
  <c r="CY45" i="5"/>
  <c r="CY44" i="5" s="1"/>
  <c r="CZ46" i="5"/>
  <c r="CP16" i="6"/>
  <c r="CO13" i="6"/>
  <c r="P36" i="10"/>
  <c r="O9" i="6"/>
  <c r="O7" i="6" s="1"/>
  <c r="O11" i="6" s="1"/>
  <c r="O32" i="6" s="1"/>
  <c r="Q21" i="6"/>
  <c r="Q19" i="6" s="1"/>
  <c r="Q30" i="6" s="1"/>
  <c r="R29" i="6"/>
  <c r="O39" i="10" l="1"/>
  <c r="O40" i="10" s="1"/>
  <c r="N43" i="10"/>
  <c r="N44" i="10" s="1"/>
  <c r="DI2" i="7"/>
  <c r="DI4" i="7"/>
  <c r="DI7" i="7"/>
  <c r="DI9" i="7" s="1"/>
  <c r="CU42" i="10"/>
  <c r="CV42" i="10"/>
  <c r="CV35" i="10"/>
  <c r="CV37" i="10"/>
  <c r="CW11" i="10"/>
  <c r="CX21" i="10"/>
  <c r="CX16" i="10" s="1"/>
  <c r="CX23" i="10" s="1"/>
  <c r="CY47" i="5"/>
  <c r="CY28" i="6"/>
  <c r="CY25" i="6" s="1"/>
  <c r="CZ45" i="5"/>
  <c r="CZ44" i="5" s="1"/>
  <c r="DA46" i="5"/>
  <c r="CQ16" i="6"/>
  <c r="CP13" i="6"/>
  <c r="R21" i="6"/>
  <c r="R19" i="6" s="1"/>
  <c r="R30" i="6" s="1"/>
  <c r="S29" i="6"/>
  <c r="Q36" i="10"/>
  <c r="P9" i="6"/>
  <c r="P7" i="6" s="1"/>
  <c r="P11" i="6" s="1"/>
  <c r="P32" i="6" s="1"/>
  <c r="P39" i="10" l="1"/>
  <c r="P40" i="10" s="1"/>
  <c r="O43" i="10"/>
  <c r="O44" i="10" s="1"/>
  <c r="CY21" i="10"/>
  <c r="CY16" i="10" s="1"/>
  <c r="CY23" i="10" s="1"/>
  <c r="CX11" i="10"/>
  <c r="CW37" i="10"/>
  <c r="CW35" i="10"/>
  <c r="CW38" i="10"/>
  <c r="CW45" i="10" s="1"/>
  <c r="CZ47" i="5"/>
  <c r="CZ28" i="6"/>
  <c r="CZ25" i="6" s="1"/>
  <c r="DA45" i="5"/>
  <c r="DA44" i="5" s="1"/>
  <c r="DB46" i="5"/>
  <c r="CR16" i="6"/>
  <c r="CQ13" i="6"/>
  <c r="S21" i="6"/>
  <c r="S19" i="6" s="1"/>
  <c r="S30" i="6" s="1"/>
  <c r="T29" i="6"/>
  <c r="Q9" i="6"/>
  <c r="Q7" i="6" s="1"/>
  <c r="Q11" i="6" s="1"/>
  <c r="Q32" i="6" s="1"/>
  <c r="R36" i="10"/>
  <c r="CX35" i="10" l="1"/>
  <c r="Q39" i="10"/>
  <c r="Q40" i="10" s="1"/>
  <c r="P43" i="10"/>
  <c r="P44" i="10" s="1"/>
  <c r="CW42" i="10"/>
  <c r="CX37" i="10"/>
  <c r="CX38" i="10"/>
  <c r="CX45" i="10" s="1"/>
  <c r="CY11" i="10"/>
  <c r="CY35" i="10" s="1"/>
  <c r="CZ21" i="10"/>
  <c r="CZ16" i="10" s="1"/>
  <c r="CZ23" i="10" s="1"/>
  <c r="DA47" i="5"/>
  <c r="DA28" i="6"/>
  <c r="DA25" i="6" s="1"/>
  <c r="DB45" i="5"/>
  <c r="DB44" i="5" s="1"/>
  <c r="DC46" i="5"/>
  <c r="CS16" i="6"/>
  <c r="CR13" i="6"/>
  <c r="R9" i="6"/>
  <c r="R7" i="6" s="1"/>
  <c r="R11" i="6" s="1"/>
  <c r="R32" i="6" s="1"/>
  <c r="S36" i="10"/>
  <c r="T21" i="6"/>
  <c r="T19" i="6" s="1"/>
  <c r="T30" i="6" s="1"/>
  <c r="U29" i="6"/>
  <c r="R39" i="10" l="1"/>
  <c r="R40" i="10" s="1"/>
  <c r="Q43" i="10"/>
  <c r="Q44" i="10" s="1"/>
  <c r="CX42" i="10"/>
  <c r="CY38" i="10"/>
  <c r="CY45" i="10" s="1"/>
  <c r="CY37" i="10"/>
  <c r="CZ11" i="10"/>
  <c r="CZ35" i="10" s="1"/>
  <c r="DA21" i="10"/>
  <c r="DA16" i="10" s="1"/>
  <c r="DA23" i="10" s="1"/>
  <c r="DB47" i="5"/>
  <c r="DB28" i="6"/>
  <c r="DB25" i="6" s="1"/>
  <c r="DC45" i="5"/>
  <c r="DC44" i="5" s="1"/>
  <c r="DD46" i="5"/>
  <c r="CT16" i="6"/>
  <c r="CS13" i="6"/>
  <c r="U21" i="6"/>
  <c r="U19" i="6" s="1"/>
  <c r="U30" i="6" s="1"/>
  <c r="V29" i="6"/>
  <c r="S9" i="6"/>
  <c r="S7" i="6" s="1"/>
  <c r="S11" i="6" s="1"/>
  <c r="S32" i="6" s="1"/>
  <c r="T36" i="10"/>
  <c r="S39" i="10" l="1"/>
  <c r="S40" i="10" s="1"/>
  <c r="R43" i="10"/>
  <c r="R44" i="10" s="1"/>
  <c r="CY42" i="10"/>
  <c r="CZ37" i="10"/>
  <c r="CZ38" i="10"/>
  <c r="CZ45" i="10" s="1"/>
  <c r="DA11" i="10"/>
  <c r="DA38" i="10" s="1"/>
  <c r="DA45" i="10" s="1"/>
  <c r="DB21" i="10"/>
  <c r="DB16" i="10" s="1"/>
  <c r="DB23" i="10" s="1"/>
  <c r="DC47" i="5"/>
  <c r="DC28" i="6"/>
  <c r="DC25" i="6" s="1"/>
  <c r="DD45" i="5"/>
  <c r="DD44" i="5" s="1"/>
  <c r="DE46" i="5"/>
  <c r="CU16" i="6"/>
  <c r="CT13" i="6"/>
  <c r="T9" i="6"/>
  <c r="T7" i="6" s="1"/>
  <c r="T11" i="6" s="1"/>
  <c r="T32" i="6" s="1"/>
  <c r="U36" i="10"/>
  <c r="V21" i="6"/>
  <c r="V19" i="6" s="1"/>
  <c r="V30" i="6" s="1"/>
  <c r="W29" i="6"/>
  <c r="T39" i="10" l="1"/>
  <c r="T40" i="10" s="1"/>
  <c r="S43" i="10"/>
  <c r="S44" i="10" s="1"/>
  <c r="CZ42" i="10"/>
  <c r="DA42" i="10"/>
  <c r="DA35" i="10"/>
  <c r="DA37" i="10"/>
  <c r="DB11" i="10"/>
  <c r="DB37" i="10" s="1"/>
  <c r="DC21" i="10"/>
  <c r="DC16" i="10" s="1"/>
  <c r="DC23" i="10" s="1"/>
  <c r="DD47" i="5"/>
  <c r="DD28" i="6"/>
  <c r="DD25" i="6" s="1"/>
  <c r="DE45" i="5"/>
  <c r="DE44" i="5" s="1"/>
  <c r="DF46" i="5"/>
  <c r="CV16" i="6"/>
  <c r="CU13" i="6"/>
  <c r="W21" i="6"/>
  <c r="W19" i="6" s="1"/>
  <c r="W30" i="6" s="1"/>
  <c r="X29" i="6"/>
  <c r="V36" i="10"/>
  <c r="U9" i="6"/>
  <c r="U7" i="6" s="1"/>
  <c r="U11" i="6" s="1"/>
  <c r="U32" i="6" s="1"/>
  <c r="U39" i="10" l="1"/>
  <c r="U40" i="10" s="1"/>
  <c r="T43" i="10"/>
  <c r="T44" i="10" s="1"/>
  <c r="DB35" i="10"/>
  <c r="DB38" i="10"/>
  <c r="DB45" i="10" s="1"/>
  <c r="DC11" i="10"/>
  <c r="DC38" i="10" s="1"/>
  <c r="DC45" i="10" s="1"/>
  <c r="DD21" i="10"/>
  <c r="DD16" i="10" s="1"/>
  <c r="DD23" i="10" s="1"/>
  <c r="DE47" i="5"/>
  <c r="DE28" i="6"/>
  <c r="DE25" i="6" s="1"/>
  <c r="DF45" i="5"/>
  <c r="DF44" i="5" s="1"/>
  <c r="DG46" i="5"/>
  <c r="CW16" i="6"/>
  <c r="CV13" i="6"/>
  <c r="X21" i="6"/>
  <c r="X19" i="6" s="1"/>
  <c r="X30" i="6" s="1"/>
  <c r="Y29" i="6"/>
  <c r="V9" i="6"/>
  <c r="V7" i="6" s="1"/>
  <c r="V11" i="6" s="1"/>
  <c r="V32" i="6" s="1"/>
  <c r="W36" i="10"/>
  <c r="V39" i="10" l="1"/>
  <c r="V40" i="10" s="1"/>
  <c r="U43" i="10"/>
  <c r="U44" i="10" s="1"/>
  <c r="DB42" i="10"/>
  <c r="DC42" i="10"/>
  <c r="DC37" i="10"/>
  <c r="DC35" i="10"/>
  <c r="DD11" i="10"/>
  <c r="DD37" i="10" s="1"/>
  <c r="DE21" i="10"/>
  <c r="DE16" i="10" s="1"/>
  <c r="DE23" i="10" s="1"/>
  <c r="DF47" i="5"/>
  <c r="DF28" i="6"/>
  <c r="DF25" i="6" s="1"/>
  <c r="DG45" i="5"/>
  <c r="DG44" i="5" s="1"/>
  <c r="DH46" i="5"/>
  <c r="CX16" i="6"/>
  <c r="CW13" i="6"/>
  <c r="W9" i="6"/>
  <c r="W7" i="6" s="1"/>
  <c r="W11" i="6" s="1"/>
  <c r="W32" i="6" s="1"/>
  <c r="X36" i="10"/>
  <c r="Y21" i="6"/>
  <c r="Y19" i="6" s="1"/>
  <c r="Y30" i="6" s="1"/>
  <c r="Z29" i="6"/>
  <c r="W39" i="10" l="1"/>
  <c r="W40" i="10" s="1"/>
  <c r="V43" i="10"/>
  <c r="V44" i="10" s="1"/>
  <c r="DD38" i="10"/>
  <c r="DD45" i="10" s="1"/>
  <c r="DD35" i="10"/>
  <c r="DE11" i="10"/>
  <c r="DE35" i="10" s="1"/>
  <c r="DF21" i="10"/>
  <c r="DF16" i="10" s="1"/>
  <c r="DF23" i="10" s="1"/>
  <c r="DG47" i="5"/>
  <c r="DG28" i="6"/>
  <c r="DG25" i="6" s="1"/>
  <c r="DH45" i="5"/>
  <c r="DH44" i="5" s="1"/>
  <c r="DI46" i="5"/>
  <c r="CY16" i="6"/>
  <c r="CX13" i="6"/>
  <c r="Z21" i="6"/>
  <c r="Z19" i="6" s="1"/>
  <c r="Z30" i="6" s="1"/>
  <c r="AA29" i="6"/>
  <c r="Y36" i="10"/>
  <c r="X9" i="6"/>
  <c r="X7" i="6" s="1"/>
  <c r="X11" i="6" s="1"/>
  <c r="X32" i="6" s="1"/>
  <c r="X39" i="10" l="1"/>
  <c r="X40" i="10" s="1"/>
  <c r="W43" i="10"/>
  <c r="W44" i="10" s="1"/>
  <c r="DD42" i="10"/>
  <c r="DE37" i="10"/>
  <c r="DE38" i="10"/>
  <c r="DE45" i="10" s="1"/>
  <c r="DF11" i="10"/>
  <c r="DF35" i="10" s="1"/>
  <c r="DG21" i="10"/>
  <c r="DG16" i="10" s="1"/>
  <c r="DG23" i="10" s="1"/>
  <c r="DH47" i="5"/>
  <c r="DH28" i="6"/>
  <c r="DH25" i="6" s="1"/>
  <c r="DI45" i="5"/>
  <c r="DI44" i="5" s="1"/>
  <c r="CZ16" i="6"/>
  <c r="CY13" i="6"/>
  <c r="AA21" i="6"/>
  <c r="AA19" i="6" s="1"/>
  <c r="AA30" i="6" s="1"/>
  <c r="AB29" i="6"/>
  <c r="Z36" i="10"/>
  <c r="Y9" i="6"/>
  <c r="Y7" i="6" s="1"/>
  <c r="Y11" i="6" s="1"/>
  <c r="Y32" i="6" s="1"/>
  <c r="Y39" i="10" l="1"/>
  <c r="Y40" i="10" s="1"/>
  <c r="X43" i="10"/>
  <c r="X44" i="10" s="1"/>
  <c r="DE42" i="10"/>
  <c r="DF38" i="10"/>
  <c r="DF45" i="10" s="1"/>
  <c r="DF37" i="10"/>
  <c r="DG11" i="10"/>
  <c r="DG38" i="10" s="1"/>
  <c r="DG45" i="10" s="1"/>
  <c r="DH21" i="10"/>
  <c r="DH16" i="10" s="1"/>
  <c r="DH23" i="10" s="1"/>
  <c r="DI47" i="5"/>
  <c r="DI28" i="6"/>
  <c r="DI25" i="6" s="1"/>
  <c r="DA16" i="6"/>
  <c r="CZ13" i="6"/>
  <c r="AB21" i="6"/>
  <c r="AB19" i="6" s="1"/>
  <c r="AB30" i="6" s="1"/>
  <c r="AC29" i="6"/>
  <c r="AA36" i="10"/>
  <c r="Z9" i="6"/>
  <c r="Z7" i="6" s="1"/>
  <c r="Z11" i="6" s="1"/>
  <c r="Z32" i="6" s="1"/>
  <c r="Z39" i="10" l="1"/>
  <c r="Z40" i="10" s="1"/>
  <c r="Y43" i="10"/>
  <c r="Y44" i="10" s="1"/>
  <c r="DG42" i="10"/>
  <c r="DF42" i="10"/>
  <c r="DG37" i="10"/>
  <c r="DG35" i="10"/>
  <c r="DH11" i="10"/>
  <c r="DH37" i="10" s="1"/>
  <c r="DI21" i="10"/>
  <c r="DI16" i="10" s="1"/>
  <c r="DI23" i="10" s="1"/>
  <c r="D23" i="10" s="1"/>
  <c r="D50" i="10" s="1"/>
  <c r="DB16" i="6"/>
  <c r="DA13" i="6"/>
  <c r="AC21" i="6"/>
  <c r="AC19" i="6" s="1"/>
  <c r="AC30" i="6" s="1"/>
  <c r="AD29" i="6"/>
  <c r="AA9" i="6"/>
  <c r="AA7" i="6" s="1"/>
  <c r="AA11" i="6" s="1"/>
  <c r="AA32" i="6" s="1"/>
  <c r="AB36" i="10"/>
  <c r="AA39" i="10" l="1"/>
  <c r="AA40" i="10" s="1"/>
  <c r="Z43" i="10"/>
  <c r="Z44" i="10" s="1"/>
  <c r="DH38" i="10"/>
  <c r="DH45" i="10" s="1"/>
  <c r="DH35" i="10"/>
  <c r="D21" i="10"/>
  <c r="DI11" i="10"/>
  <c r="D16" i="10"/>
  <c r="DC16" i="6"/>
  <c r="DB13" i="6"/>
  <c r="AC36" i="10"/>
  <c r="AB9" i="6"/>
  <c r="AB7" i="6" s="1"/>
  <c r="AB11" i="6" s="1"/>
  <c r="AB32" i="6" s="1"/>
  <c r="AD21" i="6"/>
  <c r="AD19" i="6" s="1"/>
  <c r="AD30" i="6" s="1"/>
  <c r="AE29" i="6"/>
  <c r="D51" i="10" l="1"/>
  <c r="D53" i="10" s="1"/>
  <c r="AB39" i="10"/>
  <c r="AB40" i="10" s="1"/>
  <c r="AA43" i="10"/>
  <c r="AA44" i="10" s="1"/>
  <c r="DH42" i="10"/>
  <c r="D11" i="10"/>
  <c r="DI35" i="10"/>
  <c r="D35" i="10" s="1"/>
  <c r="O8" i="4" s="1"/>
  <c r="DI37" i="10"/>
  <c r="I2" i="10" s="1"/>
  <c r="DI38" i="10"/>
  <c r="DD16" i="6"/>
  <c r="DC13" i="6"/>
  <c r="AE21" i="6"/>
  <c r="AE19" i="6" s="1"/>
  <c r="AE30" i="6" s="1"/>
  <c r="AF29" i="6"/>
  <c r="AC9" i="6"/>
  <c r="AC7" i="6" s="1"/>
  <c r="AC11" i="6" s="1"/>
  <c r="AC32" i="6" s="1"/>
  <c r="AD36" i="10"/>
  <c r="DI45" i="10" l="1"/>
  <c r="D55" i="10" s="1"/>
  <c r="I4" i="10"/>
  <c r="D29" i="4" s="1"/>
  <c r="D37" i="10"/>
  <c r="O15" i="4"/>
  <c r="M4" i="10"/>
  <c r="AC39" i="10"/>
  <c r="AC40" i="10" s="1"/>
  <c r="AB43" i="10"/>
  <c r="AB44" i="10" s="1"/>
  <c r="DI42" i="10"/>
  <c r="D27" i="4"/>
  <c r="D28" i="4"/>
  <c r="D38" i="10"/>
  <c r="M2" i="10"/>
  <c r="DE16" i="6"/>
  <c r="DD13" i="6"/>
  <c r="AD9" i="6"/>
  <c r="AD7" i="6" s="1"/>
  <c r="AD11" i="6" s="1"/>
  <c r="AD32" i="6" s="1"/>
  <c r="AE36" i="10"/>
  <c r="AF21" i="6"/>
  <c r="AF19" i="6" s="1"/>
  <c r="AF30" i="6" s="1"/>
  <c r="AG29" i="6"/>
  <c r="D45" i="10" l="1"/>
  <c r="D57" i="10"/>
  <c r="AD39" i="10"/>
  <c r="AD40" i="10" s="1"/>
  <c r="AC43" i="10"/>
  <c r="AC44" i="10" s="1"/>
  <c r="D42" i="10"/>
  <c r="O13" i="4"/>
  <c r="O9" i="4"/>
  <c r="O10" i="4"/>
  <c r="DF16" i="6"/>
  <c r="DE13" i="6"/>
  <c r="AG21" i="6"/>
  <c r="AG19" i="6" s="1"/>
  <c r="AG30" i="6" s="1"/>
  <c r="AH29" i="6"/>
  <c r="AE9" i="6"/>
  <c r="AE7" i="6" s="1"/>
  <c r="AE11" i="6" s="1"/>
  <c r="AE32" i="6" s="1"/>
  <c r="AF36" i="10"/>
  <c r="AE39" i="10" l="1"/>
  <c r="AE40" i="10" s="1"/>
  <c r="AD43" i="10"/>
  <c r="AD44" i="10" s="1"/>
  <c r="DG16" i="6"/>
  <c r="DF13" i="6"/>
  <c r="AI29" i="6"/>
  <c r="AH21" i="6"/>
  <c r="AH19" i="6" s="1"/>
  <c r="AH30" i="6" s="1"/>
  <c r="AG36" i="10"/>
  <c r="AF9" i="6"/>
  <c r="AF7" i="6" s="1"/>
  <c r="AF11" i="6" s="1"/>
  <c r="AF32" i="6" s="1"/>
  <c r="AF39" i="10" l="1"/>
  <c r="AF40" i="10" s="1"/>
  <c r="AE43" i="10"/>
  <c r="AE44" i="10" s="1"/>
  <c r="DH16" i="6"/>
  <c r="DG13" i="6"/>
  <c r="AG9" i="6"/>
  <c r="AG7" i="6" s="1"/>
  <c r="AG11" i="6" s="1"/>
  <c r="AG32" i="6" s="1"/>
  <c r="AH36" i="10"/>
  <c r="AJ29" i="6"/>
  <c r="AI21" i="6"/>
  <c r="AI19" i="6" s="1"/>
  <c r="AI30" i="6" s="1"/>
  <c r="AG39" i="10" l="1"/>
  <c r="AG40" i="10" s="1"/>
  <c r="AF43" i="10"/>
  <c r="AF44" i="10" s="1"/>
  <c r="DI16" i="6"/>
  <c r="DH13" i="6"/>
  <c r="AJ21" i="6"/>
  <c r="AJ19" i="6" s="1"/>
  <c r="AJ30" i="6" s="1"/>
  <c r="AK29" i="6"/>
  <c r="AI36" i="10"/>
  <c r="AH9" i="6"/>
  <c r="AH7" i="6" s="1"/>
  <c r="AH11" i="6" s="1"/>
  <c r="AH32" i="6" s="1"/>
  <c r="AH39" i="10" l="1"/>
  <c r="AH40" i="10" s="1"/>
  <c r="AG43" i="10"/>
  <c r="AG44" i="10" s="1"/>
  <c r="DI13" i="6"/>
  <c r="AL29" i="6"/>
  <c r="AK21" i="6"/>
  <c r="AK19" i="6" s="1"/>
  <c r="AK30" i="6" s="1"/>
  <c r="AI9" i="6"/>
  <c r="AI7" i="6" s="1"/>
  <c r="AI11" i="6" s="1"/>
  <c r="AI32" i="6" s="1"/>
  <c r="AJ36" i="10"/>
  <c r="AI39" i="10" l="1"/>
  <c r="AI40" i="10" s="1"/>
  <c r="AH43" i="10"/>
  <c r="AH44" i="10" s="1"/>
  <c r="AJ9" i="6"/>
  <c r="AJ7" i="6" s="1"/>
  <c r="AJ11" i="6" s="1"/>
  <c r="AJ32" i="6" s="1"/>
  <c r="AK36" i="10"/>
  <c r="AM29" i="6"/>
  <c r="AL21" i="6"/>
  <c r="AL19" i="6" s="1"/>
  <c r="AL30" i="6" s="1"/>
  <c r="AJ39" i="10" l="1"/>
  <c r="AJ40" i="10" s="1"/>
  <c r="AI43" i="10"/>
  <c r="AI44" i="10" s="1"/>
  <c r="AK9" i="6"/>
  <c r="AK7" i="6" s="1"/>
  <c r="AK11" i="6" s="1"/>
  <c r="AK32" i="6" s="1"/>
  <c r="AL36" i="10"/>
  <c r="AM21" i="6"/>
  <c r="AM19" i="6" s="1"/>
  <c r="AM30" i="6" s="1"/>
  <c r="AN29" i="6"/>
  <c r="AK39" i="10" l="1"/>
  <c r="AK40" i="10" s="1"/>
  <c r="AJ43" i="10"/>
  <c r="AJ44" i="10" s="1"/>
  <c r="AN21" i="6"/>
  <c r="AN19" i="6" s="1"/>
  <c r="AN30" i="6" s="1"/>
  <c r="AO29" i="6"/>
  <c r="AL9" i="6"/>
  <c r="AL7" i="6" s="1"/>
  <c r="AL11" i="6" s="1"/>
  <c r="AL32" i="6" s="1"/>
  <c r="AM36" i="10"/>
  <c r="AL39" i="10" l="1"/>
  <c r="AL40" i="10" s="1"/>
  <c r="AK43" i="10"/>
  <c r="AK44" i="10" s="1"/>
  <c r="AM9" i="6"/>
  <c r="AM7" i="6" s="1"/>
  <c r="AM11" i="6" s="1"/>
  <c r="AM32" i="6" s="1"/>
  <c r="AN36" i="10"/>
  <c r="AO21" i="6"/>
  <c r="AO19" i="6" s="1"/>
  <c r="AO30" i="6" s="1"/>
  <c r="AP29" i="6"/>
  <c r="AM39" i="10" l="1"/>
  <c r="AM40" i="10" s="1"/>
  <c r="AL43" i="10"/>
  <c r="AL44" i="10" s="1"/>
  <c r="AP21" i="6"/>
  <c r="AP19" i="6" s="1"/>
  <c r="AP30" i="6" s="1"/>
  <c r="AQ29" i="6"/>
  <c r="AO36" i="10"/>
  <c r="AN9" i="6"/>
  <c r="AN7" i="6" s="1"/>
  <c r="AN11" i="6" s="1"/>
  <c r="AN32" i="6" s="1"/>
  <c r="AN39" i="10" l="1"/>
  <c r="AN40" i="10" s="1"/>
  <c r="AM43" i="10"/>
  <c r="AM44" i="10" s="1"/>
  <c r="AQ21" i="6"/>
  <c r="AQ19" i="6" s="1"/>
  <c r="AQ30" i="6" s="1"/>
  <c r="AR29" i="6"/>
  <c r="AO9" i="6"/>
  <c r="AO7" i="6" s="1"/>
  <c r="AO11" i="6" s="1"/>
  <c r="AO32" i="6" s="1"/>
  <c r="AP36" i="10"/>
  <c r="AO39" i="10" l="1"/>
  <c r="AO40" i="10" s="1"/>
  <c r="AN43" i="10"/>
  <c r="AN44" i="10" s="1"/>
  <c r="AQ36" i="10"/>
  <c r="AP9" i="6"/>
  <c r="AP7" i="6" s="1"/>
  <c r="AP11" i="6" s="1"/>
  <c r="AP32" i="6" s="1"/>
  <c r="AR21" i="6"/>
  <c r="AR19" i="6" s="1"/>
  <c r="AR30" i="6" s="1"/>
  <c r="AS29" i="6"/>
  <c r="AP39" i="10" l="1"/>
  <c r="AP40" i="10" s="1"/>
  <c r="AO43" i="10"/>
  <c r="AO44" i="10" s="1"/>
  <c r="AR36" i="10"/>
  <c r="AQ9" i="6"/>
  <c r="AQ7" i="6" s="1"/>
  <c r="AQ11" i="6" s="1"/>
  <c r="AQ32" i="6" s="1"/>
  <c r="AT29" i="6"/>
  <c r="AS21" i="6"/>
  <c r="AS19" i="6" s="1"/>
  <c r="AS30" i="6" s="1"/>
  <c r="AQ39" i="10" l="1"/>
  <c r="AQ40" i="10" s="1"/>
  <c r="AP43" i="10"/>
  <c r="AP44" i="10" s="1"/>
  <c r="AU29" i="6"/>
  <c r="AT21" i="6"/>
  <c r="AT19" i="6" s="1"/>
  <c r="AT30" i="6" s="1"/>
  <c r="AS36" i="10"/>
  <c r="AR9" i="6"/>
  <c r="AR7" i="6" s="1"/>
  <c r="AR11" i="6" s="1"/>
  <c r="AR32" i="6" s="1"/>
  <c r="AR39" i="10" l="1"/>
  <c r="AR40" i="10" s="1"/>
  <c r="AQ43" i="10"/>
  <c r="AQ44" i="10" s="1"/>
  <c r="AT36" i="10"/>
  <c r="AS9" i="6"/>
  <c r="AS7" i="6" s="1"/>
  <c r="AS11" i="6" s="1"/>
  <c r="AS32" i="6" s="1"/>
  <c r="AV29" i="6"/>
  <c r="AU21" i="6"/>
  <c r="AU19" i="6" s="1"/>
  <c r="AU30" i="6" s="1"/>
  <c r="AS39" i="10" l="1"/>
  <c r="AS40" i="10" s="1"/>
  <c r="AR43" i="10"/>
  <c r="AR44" i="10" s="1"/>
  <c r="AV21" i="6"/>
  <c r="AV19" i="6" s="1"/>
  <c r="AV30" i="6" s="1"/>
  <c r="AW29" i="6"/>
  <c r="AT9" i="6"/>
  <c r="AT7" i="6" s="1"/>
  <c r="AT11" i="6" s="1"/>
  <c r="AT32" i="6" s="1"/>
  <c r="AU36" i="10"/>
  <c r="AT39" i="10" l="1"/>
  <c r="AT40" i="10" s="1"/>
  <c r="AS43" i="10"/>
  <c r="AS44" i="10" s="1"/>
  <c r="AU9" i="6"/>
  <c r="AU7" i="6" s="1"/>
  <c r="AU11" i="6" s="1"/>
  <c r="AU32" i="6" s="1"/>
  <c r="AV36" i="10"/>
  <c r="AW21" i="6"/>
  <c r="AW19" i="6" s="1"/>
  <c r="AW30" i="6" s="1"/>
  <c r="AX29" i="6"/>
  <c r="AU39" i="10" l="1"/>
  <c r="AU40" i="10" s="1"/>
  <c r="AT43" i="10"/>
  <c r="AT44" i="10" s="1"/>
  <c r="AX21" i="6"/>
  <c r="AX19" i="6" s="1"/>
  <c r="AX30" i="6" s="1"/>
  <c r="AY29" i="6"/>
  <c r="AW36" i="10"/>
  <c r="AV9" i="6"/>
  <c r="AV7" i="6" s="1"/>
  <c r="AV11" i="6" s="1"/>
  <c r="AV32" i="6" s="1"/>
  <c r="AV39" i="10" l="1"/>
  <c r="AV40" i="10" s="1"/>
  <c r="AU43" i="10"/>
  <c r="AU44" i="10" s="1"/>
  <c r="AW9" i="6"/>
  <c r="AW7" i="6" s="1"/>
  <c r="AW11" i="6" s="1"/>
  <c r="AW32" i="6" s="1"/>
  <c r="AX36" i="10"/>
  <c r="AZ29" i="6"/>
  <c r="AY21" i="6"/>
  <c r="AY19" i="6" s="1"/>
  <c r="AY30" i="6" s="1"/>
  <c r="AW39" i="10" l="1"/>
  <c r="AW40" i="10" s="1"/>
  <c r="AV43" i="10"/>
  <c r="AV44" i="10" s="1"/>
  <c r="AY36" i="10"/>
  <c r="AX9" i="6"/>
  <c r="AX7" i="6" s="1"/>
  <c r="AX11" i="6" s="1"/>
  <c r="AX32" i="6" s="1"/>
  <c r="AZ21" i="6"/>
  <c r="AZ19" i="6" s="1"/>
  <c r="AZ30" i="6" s="1"/>
  <c r="BA29" i="6"/>
  <c r="AX39" i="10" l="1"/>
  <c r="AX40" i="10" s="1"/>
  <c r="AW43" i="10"/>
  <c r="AW44" i="10" s="1"/>
  <c r="BB29" i="6"/>
  <c r="BA21" i="6"/>
  <c r="BA19" i="6" s="1"/>
  <c r="BA30" i="6" s="1"/>
  <c r="AZ36" i="10"/>
  <c r="AY9" i="6"/>
  <c r="AY7" i="6" s="1"/>
  <c r="AY11" i="6" s="1"/>
  <c r="AY32" i="6" s="1"/>
  <c r="AY39" i="10" l="1"/>
  <c r="AY40" i="10" s="1"/>
  <c r="AX43" i="10"/>
  <c r="AX44" i="10" s="1"/>
  <c r="AZ9" i="6"/>
  <c r="AZ7" i="6" s="1"/>
  <c r="AZ11" i="6" s="1"/>
  <c r="AZ32" i="6" s="1"/>
  <c r="BA36" i="10"/>
  <c r="BC29" i="6"/>
  <c r="BB21" i="6"/>
  <c r="BB19" i="6" s="1"/>
  <c r="BB30" i="6" s="1"/>
  <c r="AZ39" i="10" l="1"/>
  <c r="AZ40" i="10" s="1"/>
  <c r="AY43" i="10"/>
  <c r="AY44" i="10" s="1"/>
  <c r="BD29" i="6"/>
  <c r="BC21" i="6"/>
  <c r="BC19" i="6" s="1"/>
  <c r="BC30" i="6" s="1"/>
  <c r="BA9" i="6"/>
  <c r="BA7" i="6" s="1"/>
  <c r="BA11" i="6" s="1"/>
  <c r="BA32" i="6" s="1"/>
  <c r="BB36" i="10"/>
  <c r="BA39" i="10" l="1"/>
  <c r="BA40" i="10" s="1"/>
  <c r="AZ43" i="10"/>
  <c r="AZ44" i="10" s="1"/>
  <c r="BB9" i="6"/>
  <c r="BB7" i="6" s="1"/>
  <c r="BB11" i="6" s="1"/>
  <c r="BB32" i="6" s="1"/>
  <c r="BC36" i="10"/>
  <c r="BD21" i="6"/>
  <c r="BD19" i="6" s="1"/>
  <c r="BD30" i="6" s="1"/>
  <c r="BE29" i="6"/>
  <c r="BB39" i="10" l="1"/>
  <c r="BB40" i="10" s="1"/>
  <c r="BA43" i="10"/>
  <c r="BA44" i="10" s="1"/>
  <c r="BE21" i="6"/>
  <c r="BE19" i="6" s="1"/>
  <c r="BE30" i="6" s="1"/>
  <c r="BF29" i="6"/>
  <c r="BC9" i="6"/>
  <c r="BC7" i="6" s="1"/>
  <c r="BC11" i="6" s="1"/>
  <c r="BC32" i="6" s="1"/>
  <c r="BD36" i="10"/>
  <c r="BC39" i="10" l="1"/>
  <c r="BC40" i="10" s="1"/>
  <c r="BB43" i="10"/>
  <c r="BB44" i="10" s="1"/>
  <c r="BE36" i="10"/>
  <c r="BD9" i="6"/>
  <c r="BD7" i="6" s="1"/>
  <c r="BD11" i="6" s="1"/>
  <c r="BD32" i="6" s="1"/>
  <c r="BF21" i="6"/>
  <c r="BF19" i="6" s="1"/>
  <c r="BF30" i="6" s="1"/>
  <c r="BG29" i="6"/>
  <c r="BD39" i="10" l="1"/>
  <c r="BD40" i="10" s="1"/>
  <c r="BC43" i="10"/>
  <c r="BC44" i="10" s="1"/>
  <c r="BH29" i="6"/>
  <c r="BG21" i="6"/>
  <c r="BG19" i="6" s="1"/>
  <c r="BG30" i="6" s="1"/>
  <c r="BE9" i="6"/>
  <c r="BE7" i="6" s="1"/>
  <c r="BE11" i="6" s="1"/>
  <c r="BE32" i="6" s="1"/>
  <c r="BF36" i="10"/>
  <c r="BE39" i="10" l="1"/>
  <c r="BE40" i="10" s="1"/>
  <c r="BD43" i="10"/>
  <c r="BD44" i="10" s="1"/>
  <c r="BG36" i="10"/>
  <c r="BF9" i="6"/>
  <c r="BF7" i="6" s="1"/>
  <c r="BF11" i="6" s="1"/>
  <c r="BF32" i="6" s="1"/>
  <c r="BH21" i="6"/>
  <c r="BH19" i="6" s="1"/>
  <c r="BH30" i="6" s="1"/>
  <c r="BI29" i="6"/>
  <c r="BF39" i="10" l="1"/>
  <c r="BF40" i="10" s="1"/>
  <c r="BE43" i="10"/>
  <c r="BE44" i="10" s="1"/>
  <c r="BJ29" i="6"/>
  <c r="BI21" i="6"/>
  <c r="BI19" i="6" s="1"/>
  <c r="BI30" i="6" s="1"/>
  <c r="BH36" i="10"/>
  <c r="BG9" i="6"/>
  <c r="BG7" i="6" s="1"/>
  <c r="BG11" i="6" s="1"/>
  <c r="BG32" i="6" s="1"/>
  <c r="BG39" i="10" l="1"/>
  <c r="BG40" i="10" s="1"/>
  <c r="BF43" i="10"/>
  <c r="BF44" i="10" s="1"/>
  <c r="BH9" i="6"/>
  <c r="BH7" i="6" s="1"/>
  <c r="BH11" i="6" s="1"/>
  <c r="BH32" i="6" s="1"/>
  <c r="BI36" i="10"/>
  <c r="BJ21" i="6"/>
  <c r="BJ19" i="6" s="1"/>
  <c r="BJ30" i="6" s="1"/>
  <c r="BK29" i="6"/>
  <c r="BH39" i="10" l="1"/>
  <c r="BH40" i="10" s="1"/>
  <c r="BG43" i="10"/>
  <c r="BG44" i="10" s="1"/>
  <c r="BL29" i="6"/>
  <c r="BK21" i="6"/>
  <c r="BK19" i="6" s="1"/>
  <c r="BK30" i="6" s="1"/>
  <c r="BI9" i="6"/>
  <c r="BI7" i="6" s="1"/>
  <c r="BI11" i="6" s="1"/>
  <c r="BI32" i="6" s="1"/>
  <c r="BJ36" i="10"/>
  <c r="BI39" i="10" l="1"/>
  <c r="BI40" i="10" s="1"/>
  <c r="BJ39" i="10"/>
  <c r="BJ40" i="10" s="1"/>
  <c r="BH43" i="10"/>
  <c r="BH44" i="10" s="1"/>
  <c r="BK36" i="10"/>
  <c r="BJ9" i="6"/>
  <c r="BJ7" i="6" s="1"/>
  <c r="BJ11" i="6" s="1"/>
  <c r="BJ32" i="6" s="1"/>
  <c r="BL21" i="6"/>
  <c r="BL19" i="6" s="1"/>
  <c r="BL30" i="6" s="1"/>
  <c r="BM29" i="6"/>
  <c r="BK39" i="10" l="1"/>
  <c r="BK40" i="10" s="1"/>
  <c r="BI43" i="10"/>
  <c r="BI44" i="10" s="1"/>
  <c r="BN29" i="6"/>
  <c r="BM21" i="6"/>
  <c r="BM19" i="6" s="1"/>
  <c r="BM30" i="6" s="1"/>
  <c r="BK9" i="6"/>
  <c r="BK7" i="6" s="1"/>
  <c r="BK11" i="6" s="1"/>
  <c r="BK32" i="6" s="1"/>
  <c r="BL36" i="10"/>
  <c r="BL39" i="10" l="1"/>
  <c r="BL40" i="10" s="1"/>
  <c r="BJ43" i="10"/>
  <c r="BJ44" i="10" s="1"/>
  <c r="BM36" i="10"/>
  <c r="BL9" i="6"/>
  <c r="BL7" i="6" s="1"/>
  <c r="BL11" i="6" s="1"/>
  <c r="BL32" i="6" s="1"/>
  <c r="BN21" i="6"/>
  <c r="BN19" i="6" s="1"/>
  <c r="BN30" i="6" s="1"/>
  <c r="BO29" i="6"/>
  <c r="BM39" i="10" l="1"/>
  <c r="BM40" i="10" s="1"/>
  <c r="BK43" i="10"/>
  <c r="BK44" i="10" s="1"/>
  <c r="BO21" i="6"/>
  <c r="BO19" i="6" s="1"/>
  <c r="BO30" i="6" s="1"/>
  <c r="BP29" i="6"/>
  <c r="BN36" i="10"/>
  <c r="BM9" i="6"/>
  <c r="BM7" i="6" s="1"/>
  <c r="BM11" i="6" s="1"/>
  <c r="BM32" i="6" s="1"/>
  <c r="BN39" i="10" l="1"/>
  <c r="BN40" i="10" s="1"/>
  <c r="BL43" i="10"/>
  <c r="BL44" i="10" s="1"/>
  <c r="BQ29" i="6"/>
  <c r="BP21" i="6"/>
  <c r="BP19" i="6" s="1"/>
  <c r="BP30" i="6" s="1"/>
  <c r="BO36" i="10"/>
  <c r="BN9" i="6"/>
  <c r="BN7" i="6" s="1"/>
  <c r="BN11" i="6" s="1"/>
  <c r="BN32" i="6" s="1"/>
  <c r="BO39" i="10" l="1"/>
  <c r="BO40" i="10" s="1"/>
  <c r="BM43" i="10"/>
  <c r="BM44" i="10" s="1"/>
  <c r="BP36" i="10"/>
  <c r="BO9" i="6"/>
  <c r="BO7" i="6" s="1"/>
  <c r="BO11" i="6" s="1"/>
  <c r="BO32" i="6" s="1"/>
  <c r="BQ21" i="6"/>
  <c r="BQ19" i="6" s="1"/>
  <c r="BQ30" i="6" s="1"/>
  <c r="BR29" i="6"/>
  <c r="BP39" i="10" l="1"/>
  <c r="BP40" i="10" s="1"/>
  <c r="BN43" i="10"/>
  <c r="BN44" i="10" s="1"/>
  <c r="BS29" i="6"/>
  <c r="BR21" i="6"/>
  <c r="BR19" i="6" s="1"/>
  <c r="BR30" i="6" s="1"/>
  <c r="BQ36" i="10"/>
  <c r="BP9" i="6"/>
  <c r="BP7" i="6" s="1"/>
  <c r="BP11" i="6" s="1"/>
  <c r="BP32" i="6" s="1"/>
  <c r="BQ39" i="10" l="1"/>
  <c r="BQ40" i="10" s="1"/>
  <c r="BO43" i="10"/>
  <c r="BO44" i="10" s="1"/>
  <c r="BR36" i="10"/>
  <c r="BQ9" i="6"/>
  <c r="BQ7" i="6" s="1"/>
  <c r="BQ11" i="6" s="1"/>
  <c r="BQ32" i="6" s="1"/>
  <c r="BS21" i="6"/>
  <c r="BS19" i="6" s="1"/>
  <c r="BS30" i="6" s="1"/>
  <c r="BT29" i="6"/>
  <c r="BR39" i="10" l="1"/>
  <c r="BR40" i="10" s="1"/>
  <c r="BP43" i="10"/>
  <c r="BP44" i="10" s="1"/>
  <c r="BU29" i="6"/>
  <c r="BT21" i="6"/>
  <c r="BT19" i="6" s="1"/>
  <c r="BT30" i="6" s="1"/>
  <c r="BR9" i="6"/>
  <c r="BR7" i="6" s="1"/>
  <c r="BR11" i="6" s="1"/>
  <c r="BR32" i="6" s="1"/>
  <c r="BS36" i="10"/>
  <c r="BS39" i="10" l="1"/>
  <c r="BS40" i="10" s="1"/>
  <c r="BQ43" i="10"/>
  <c r="BQ44" i="10" s="1"/>
  <c r="BT36" i="10"/>
  <c r="BS9" i="6"/>
  <c r="BS7" i="6" s="1"/>
  <c r="BS11" i="6" s="1"/>
  <c r="BS32" i="6" s="1"/>
  <c r="BU21" i="6"/>
  <c r="BU19" i="6" s="1"/>
  <c r="BU30" i="6" s="1"/>
  <c r="BV29" i="6"/>
  <c r="BT39" i="10" l="1"/>
  <c r="BT40" i="10" s="1"/>
  <c r="BR43" i="10"/>
  <c r="BR44" i="10" s="1"/>
  <c r="BV21" i="6"/>
  <c r="BV19" i="6" s="1"/>
  <c r="BV30" i="6" s="1"/>
  <c r="BW29" i="6"/>
  <c r="BT9" i="6"/>
  <c r="BT7" i="6" s="1"/>
  <c r="BT11" i="6" s="1"/>
  <c r="BT32" i="6" s="1"/>
  <c r="BU36" i="10"/>
  <c r="BU39" i="10" l="1"/>
  <c r="BU40" i="10" s="1"/>
  <c r="BS43" i="10"/>
  <c r="BS44" i="10" s="1"/>
  <c r="BU9" i="6"/>
  <c r="BU7" i="6" s="1"/>
  <c r="BU11" i="6" s="1"/>
  <c r="BU32" i="6" s="1"/>
  <c r="BV36" i="10"/>
  <c r="BW21" i="6"/>
  <c r="BW19" i="6" s="1"/>
  <c r="BW30" i="6" s="1"/>
  <c r="BX29" i="6"/>
  <c r="BV39" i="10" l="1"/>
  <c r="BV40" i="10" s="1"/>
  <c r="BT43" i="10"/>
  <c r="BT44" i="10" s="1"/>
  <c r="BY29" i="6"/>
  <c r="BX21" i="6"/>
  <c r="BX19" i="6" s="1"/>
  <c r="BX30" i="6" s="1"/>
  <c r="BV9" i="6"/>
  <c r="BV7" i="6" s="1"/>
  <c r="BV11" i="6" s="1"/>
  <c r="BV32" i="6" s="1"/>
  <c r="BW36" i="10"/>
  <c r="BW39" i="10" l="1"/>
  <c r="BW40" i="10" s="1"/>
  <c r="BU43" i="10"/>
  <c r="BU44" i="10" s="1"/>
  <c r="BY21" i="6"/>
  <c r="BY19" i="6" s="1"/>
  <c r="BZ29" i="6"/>
  <c r="BW9" i="6"/>
  <c r="BW7" i="6" s="1"/>
  <c r="BW11" i="6" s="1"/>
  <c r="BW32" i="6" s="1"/>
  <c r="BX36" i="10"/>
  <c r="BX39" i="10" l="1"/>
  <c r="BX40" i="10" s="1"/>
  <c r="BV43" i="10"/>
  <c r="BV44" i="10" s="1"/>
  <c r="BY30" i="6"/>
  <c r="CA29" i="6"/>
  <c r="BZ21" i="6"/>
  <c r="BZ19" i="6" s="1"/>
  <c r="BZ30" i="6" s="1"/>
  <c r="BX9" i="6"/>
  <c r="BX7" i="6" s="1"/>
  <c r="BX11" i="6" s="1"/>
  <c r="BX32" i="6" s="1"/>
  <c r="BY36" i="10"/>
  <c r="BZ36" i="10" s="1"/>
  <c r="BY39" i="10" l="1"/>
  <c r="BY40" i="10" s="1"/>
  <c r="BW43" i="10"/>
  <c r="BW44" i="10" s="1"/>
  <c r="CB29" i="6"/>
  <c r="CA21" i="6"/>
  <c r="CA19" i="6" s="1"/>
  <c r="CA30" i="6" s="1"/>
  <c r="CA36" i="10"/>
  <c r="BZ9" i="6"/>
  <c r="BZ7" i="6" s="1"/>
  <c r="BZ11" i="6" s="1"/>
  <c r="BZ32" i="6" s="1"/>
  <c r="BY9" i="6"/>
  <c r="BY7" i="6" s="1"/>
  <c r="BY11" i="6" s="1"/>
  <c r="BY32" i="6" s="1"/>
  <c r="BZ39" i="10" l="1"/>
  <c r="BZ40" i="10" s="1"/>
  <c r="BX43" i="10"/>
  <c r="BX44" i="10" s="1"/>
  <c r="CC29" i="6"/>
  <c r="CB21" i="6"/>
  <c r="CB19" i="6" s="1"/>
  <c r="CB30" i="6" s="1"/>
  <c r="CB36" i="10"/>
  <c r="CA9" i="6"/>
  <c r="CA7" i="6" s="1"/>
  <c r="CA11" i="6" s="1"/>
  <c r="CA32" i="6" s="1"/>
  <c r="CA39" i="10" l="1"/>
  <c r="CA40" i="10" s="1"/>
  <c r="BY43" i="10"/>
  <c r="BY44" i="10" s="1"/>
  <c r="CD29" i="6"/>
  <c r="CC21" i="6"/>
  <c r="CC19" i="6" s="1"/>
  <c r="CC30" i="6" s="1"/>
  <c r="CC36" i="10"/>
  <c r="CB9" i="6"/>
  <c r="CB7" i="6" s="1"/>
  <c r="CB11" i="6" s="1"/>
  <c r="CB32" i="6" s="1"/>
  <c r="CB39" i="10" l="1"/>
  <c r="CB40" i="10" s="1"/>
  <c r="BZ43" i="10"/>
  <c r="BZ44" i="10" s="1"/>
  <c r="CE29" i="6"/>
  <c r="CD21" i="6"/>
  <c r="CD19" i="6" s="1"/>
  <c r="CD30" i="6" s="1"/>
  <c r="CD36" i="10"/>
  <c r="CC9" i="6"/>
  <c r="CC7" i="6" s="1"/>
  <c r="CC11" i="6" s="1"/>
  <c r="CC32" i="6" s="1"/>
  <c r="CC39" i="10" l="1"/>
  <c r="CC40" i="10" s="1"/>
  <c r="CA43" i="10"/>
  <c r="CA44" i="10" s="1"/>
  <c r="CF29" i="6"/>
  <c r="CE21" i="6"/>
  <c r="CE19" i="6" s="1"/>
  <c r="CE30" i="6" s="1"/>
  <c r="CE36" i="10"/>
  <c r="CD9" i="6"/>
  <c r="CD7" i="6" s="1"/>
  <c r="CD11" i="6" s="1"/>
  <c r="CD32" i="6" s="1"/>
  <c r="CD39" i="10" l="1"/>
  <c r="CD40" i="10" s="1"/>
  <c r="CB43" i="10"/>
  <c r="CB44" i="10" s="1"/>
  <c r="CG29" i="6"/>
  <c r="CF21" i="6"/>
  <c r="CF19" i="6" s="1"/>
  <c r="CF30" i="6" s="1"/>
  <c r="CF36" i="10"/>
  <c r="CE9" i="6"/>
  <c r="CE7" i="6" s="1"/>
  <c r="CE11" i="6" s="1"/>
  <c r="CE32" i="6" s="1"/>
  <c r="CE39" i="10" l="1"/>
  <c r="CE40" i="10" s="1"/>
  <c r="CC43" i="10"/>
  <c r="CC44" i="10" s="1"/>
  <c r="CH29" i="6"/>
  <c r="CG21" i="6"/>
  <c r="CG19" i="6" s="1"/>
  <c r="CG30" i="6" s="1"/>
  <c r="CG36" i="10"/>
  <c r="CF9" i="6"/>
  <c r="CF7" i="6" s="1"/>
  <c r="CF11" i="6" s="1"/>
  <c r="CF32" i="6" s="1"/>
  <c r="CF39" i="10" l="1"/>
  <c r="CF40" i="10" s="1"/>
  <c r="CD43" i="10"/>
  <c r="CD44" i="10" s="1"/>
  <c r="CI29" i="6"/>
  <c r="CH21" i="6"/>
  <c r="CH19" i="6" s="1"/>
  <c r="CH30" i="6" s="1"/>
  <c r="CH36" i="10"/>
  <c r="CG9" i="6"/>
  <c r="CG7" i="6" s="1"/>
  <c r="CG11" i="6" s="1"/>
  <c r="CG32" i="6" s="1"/>
  <c r="CG39" i="10" l="1"/>
  <c r="CG40" i="10" s="1"/>
  <c r="CE43" i="10"/>
  <c r="CE44" i="10" s="1"/>
  <c r="CJ29" i="6"/>
  <c r="CI21" i="6"/>
  <c r="CI19" i="6" s="1"/>
  <c r="CI30" i="6" s="1"/>
  <c r="CI36" i="10"/>
  <c r="CH9" i="6"/>
  <c r="CH7" i="6" s="1"/>
  <c r="CH11" i="6" s="1"/>
  <c r="CH32" i="6" s="1"/>
  <c r="CH39" i="10" l="1"/>
  <c r="CH40" i="10" s="1"/>
  <c r="CF43" i="10"/>
  <c r="CF44" i="10" s="1"/>
  <c r="CK29" i="6"/>
  <c r="CJ21" i="6"/>
  <c r="CJ19" i="6" s="1"/>
  <c r="CJ30" i="6" s="1"/>
  <c r="CJ36" i="10"/>
  <c r="CI9" i="6"/>
  <c r="CI7" i="6" s="1"/>
  <c r="CI11" i="6" s="1"/>
  <c r="CI32" i="6" s="1"/>
  <c r="CI39" i="10" l="1"/>
  <c r="CI40" i="10" s="1"/>
  <c r="CG43" i="10"/>
  <c r="CG44" i="10" s="1"/>
  <c r="CL29" i="6"/>
  <c r="CK21" i="6"/>
  <c r="CK19" i="6" s="1"/>
  <c r="CK30" i="6" s="1"/>
  <c r="CK36" i="10"/>
  <c r="CJ9" i="6"/>
  <c r="CJ7" i="6" s="1"/>
  <c r="CJ11" i="6" s="1"/>
  <c r="CJ32" i="6" s="1"/>
  <c r="CJ39" i="10" l="1"/>
  <c r="CJ40" i="10" s="1"/>
  <c r="CH43" i="10"/>
  <c r="CH44" i="10" s="1"/>
  <c r="CM29" i="6"/>
  <c r="CL21" i="6"/>
  <c r="CL19" i="6" s="1"/>
  <c r="CL30" i="6" s="1"/>
  <c r="CL36" i="10"/>
  <c r="CK9" i="6"/>
  <c r="CK7" i="6" s="1"/>
  <c r="CK11" i="6" s="1"/>
  <c r="CK32" i="6" s="1"/>
  <c r="CK39" i="10" l="1"/>
  <c r="CK40" i="10" s="1"/>
  <c r="CI43" i="10"/>
  <c r="CI44" i="10" s="1"/>
  <c r="CN29" i="6"/>
  <c r="CM21" i="6"/>
  <c r="CM19" i="6" s="1"/>
  <c r="CM30" i="6" s="1"/>
  <c r="CM36" i="10"/>
  <c r="CL9" i="6"/>
  <c r="CL7" i="6" s="1"/>
  <c r="CL11" i="6" s="1"/>
  <c r="CL32" i="6" s="1"/>
  <c r="CL39" i="10" l="1"/>
  <c r="CL40" i="10" s="1"/>
  <c r="CJ43" i="10"/>
  <c r="CJ44" i="10" s="1"/>
  <c r="CO29" i="6"/>
  <c r="CN21" i="6"/>
  <c r="CN19" i="6" s="1"/>
  <c r="CN30" i="6" s="1"/>
  <c r="CN36" i="10"/>
  <c r="CM9" i="6"/>
  <c r="CM7" i="6" s="1"/>
  <c r="CM11" i="6" s="1"/>
  <c r="CM32" i="6" s="1"/>
  <c r="CM39" i="10" l="1"/>
  <c r="CM40" i="10" s="1"/>
  <c r="CK43" i="10"/>
  <c r="CK44" i="10" s="1"/>
  <c r="CP29" i="6"/>
  <c r="CO21" i="6"/>
  <c r="CO19" i="6" s="1"/>
  <c r="CO30" i="6" s="1"/>
  <c r="CO36" i="10"/>
  <c r="CN9" i="6"/>
  <c r="CN7" i="6" s="1"/>
  <c r="CN11" i="6" s="1"/>
  <c r="CN32" i="6" s="1"/>
  <c r="CN39" i="10" l="1"/>
  <c r="CN40" i="10" s="1"/>
  <c r="CL43" i="10"/>
  <c r="CL44" i="10" s="1"/>
  <c r="CQ29" i="6"/>
  <c r="CP21" i="6"/>
  <c r="CP19" i="6" s="1"/>
  <c r="CP30" i="6" s="1"/>
  <c r="CP36" i="10"/>
  <c r="CO9" i="6"/>
  <c r="CO7" i="6" s="1"/>
  <c r="CO11" i="6" s="1"/>
  <c r="CO32" i="6" s="1"/>
  <c r="CO39" i="10" l="1"/>
  <c r="CO40" i="10" s="1"/>
  <c r="CM43" i="10"/>
  <c r="CM44" i="10" s="1"/>
  <c r="CR29" i="6"/>
  <c r="CQ21" i="6"/>
  <c r="CQ19" i="6" s="1"/>
  <c r="CQ30" i="6" s="1"/>
  <c r="CQ36" i="10"/>
  <c r="CP9" i="6"/>
  <c r="CP7" i="6" s="1"/>
  <c r="CP11" i="6" s="1"/>
  <c r="CP32" i="6" s="1"/>
  <c r="CP39" i="10" l="1"/>
  <c r="CP40" i="10" s="1"/>
  <c r="CN43" i="10"/>
  <c r="CN44" i="10" s="1"/>
  <c r="CS29" i="6"/>
  <c r="CR21" i="6"/>
  <c r="CR19" i="6" s="1"/>
  <c r="CR30" i="6" s="1"/>
  <c r="CR36" i="10"/>
  <c r="CQ9" i="6"/>
  <c r="CQ7" i="6" s="1"/>
  <c r="CQ11" i="6" s="1"/>
  <c r="CQ32" i="6" s="1"/>
  <c r="CQ39" i="10" l="1"/>
  <c r="CQ40" i="10" s="1"/>
  <c r="CO43" i="10"/>
  <c r="CO44" i="10" s="1"/>
  <c r="CT29" i="6"/>
  <c r="CS21" i="6"/>
  <c r="CS19" i="6" s="1"/>
  <c r="CS30" i="6" s="1"/>
  <c r="CS36" i="10"/>
  <c r="CR9" i="6"/>
  <c r="CR7" i="6" s="1"/>
  <c r="CR11" i="6" s="1"/>
  <c r="CR32" i="6" s="1"/>
  <c r="CR39" i="10" l="1"/>
  <c r="CR40" i="10" s="1"/>
  <c r="CP43" i="10"/>
  <c r="CP44" i="10" s="1"/>
  <c r="CU29" i="6"/>
  <c r="CT21" i="6"/>
  <c r="CT19" i="6" s="1"/>
  <c r="CT30" i="6" s="1"/>
  <c r="CT36" i="10"/>
  <c r="CS9" i="6"/>
  <c r="CS7" i="6" s="1"/>
  <c r="CS11" i="6" s="1"/>
  <c r="CS32" i="6" s="1"/>
  <c r="CS39" i="10" l="1"/>
  <c r="CS40" i="10" s="1"/>
  <c r="CQ43" i="10"/>
  <c r="CQ44" i="10" s="1"/>
  <c r="CV29" i="6"/>
  <c r="CU21" i="6"/>
  <c r="CU19" i="6" s="1"/>
  <c r="CU30" i="6" s="1"/>
  <c r="CU36" i="10"/>
  <c r="CT9" i="6"/>
  <c r="CT7" i="6" s="1"/>
  <c r="CT11" i="6" s="1"/>
  <c r="CT32" i="6" s="1"/>
  <c r="CT39" i="10" l="1"/>
  <c r="CT40" i="10" s="1"/>
  <c r="CR43" i="10"/>
  <c r="CR44" i="10" s="1"/>
  <c r="CW29" i="6"/>
  <c r="CV21" i="6"/>
  <c r="CV19" i="6" s="1"/>
  <c r="CV30" i="6" s="1"/>
  <c r="CV36" i="10"/>
  <c r="CU9" i="6"/>
  <c r="CU7" i="6" s="1"/>
  <c r="CU11" i="6" s="1"/>
  <c r="CU32" i="6" s="1"/>
  <c r="CU39" i="10" l="1"/>
  <c r="CU40" i="10" s="1"/>
  <c r="CS43" i="10"/>
  <c r="CS44" i="10" s="1"/>
  <c r="CX29" i="6"/>
  <c r="CW21" i="6"/>
  <c r="CW19" i="6" s="1"/>
  <c r="CW30" i="6" s="1"/>
  <c r="CW36" i="10"/>
  <c r="CV9" i="6"/>
  <c r="CV7" i="6" s="1"/>
  <c r="CV11" i="6" s="1"/>
  <c r="CV32" i="6" s="1"/>
  <c r="CV39" i="10" l="1"/>
  <c r="CV40" i="10" s="1"/>
  <c r="CT43" i="10"/>
  <c r="CT44" i="10" s="1"/>
  <c r="CY29" i="6"/>
  <c r="CX21" i="6"/>
  <c r="CX19" i="6" s="1"/>
  <c r="CX30" i="6" s="1"/>
  <c r="CX36" i="10"/>
  <c r="CW9" i="6"/>
  <c r="CW7" i="6" s="1"/>
  <c r="CW11" i="6" s="1"/>
  <c r="CW32" i="6" s="1"/>
  <c r="CW39" i="10" l="1"/>
  <c r="CW40" i="10" s="1"/>
  <c r="CU43" i="10"/>
  <c r="CU44" i="10" s="1"/>
  <c r="CZ29" i="6"/>
  <c r="CY21" i="6"/>
  <c r="CY19" i="6" s="1"/>
  <c r="CY30" i="6" s="1"/>
  <c r="CY36" i="10"/>
  <c r="CX9" i="6"/>
  <c r="CX7" i="6" s="1"/>
  <c r="CX11" i="6" s="1"/>
  <c r="CX32" i="6" s="1"/>
  <c r="CX39" i="10" l="1"/>
  <c r="CX40" i="10" s="1"/>
  <c r="CV43" i="10"/>
  <c r="CV44" i="10" s="1"/>
  <c r="DA29" i="6"/>
  <c r="CZ21" i="6"/>
  <c r="CZ19" i="6" s="1"/>
  <c r="CZ30" i="6" s="1"/>
  <c r="CZ36" i="10"/>
  <c r="CY9" i="6"/>
  <c r="CY7" i="6" s="1"/>
  <c r="CY11" i="6" s="1"/>
  <c r="CY32" i="6" s="1"/>
  <c r="CY39" i="10" l="1"/>
  <c r="CY40" i="10" s="1"/>
  <c r="CW43" i="10"/>
  <c r="CW44" i="10" s="1"/>
  <c r="DB29" i="6"/>
  <c r="DA21" i="6"/>
  <c r="DA19" i="6" s="1"/>
  <c r="DA30" i="6" s="1"/>
  <c r="DA36" i="10"/>
  <c r="CZ9" i="6"/>
  <c r="CZ7" i="6" s="1"/>
  <c r="CZ11" i="6" s="1"/>
  <c r="CZ32" i="6" s="1"/>
  <c r="CZ39" i="10" l="1"/>
  <c r="CZ40" i="10" s="1"/>
  <c r="CX43" i="10"/>
  <c r="CX44" i="10" s="1"/>
  <c r="DC29" i="6"/>
  <c r="DB21" i="6"/>
  <c r="DB19" i="6" s="1"/>
  <c r="DB30" i="6" s="1"/>
  <c r="DB36" i="10"/>
  <c r="DA9" i="6"/>
  <c r="DA7" i="6" s="1"/>
  <c r="DA11" i="6" s="1"/>
  <c r="DA32" i="6" s="1"/>
  <c r="DA39" i="10" l="1"/>
  <c r="DA40" i="10" s="1"/>
  <c r="CY43" i="10"/>
  <c r="CY44" i="10" s="1"/>
  <c r="DD29" i="6"/>
  <c r="DC21" i="6"/>
  <c r="DC19" i="6" s="1"/>
  <c r="DC30" i="6" s="1"/>
  <c r="DC36" i="10"/>
  <c r="DB9" i="6"/>
  <c r="DB7" i="6" s="1"/>
  <c r="DB11" i="6" s="1"/>
  <c r="DB32" i="6" s="1"/>
  <c r="DB39" i="10" l="1"/>
  <c r="DB40" i="10" s="1"/>
  <c r="CZ43" i="10"/>
  <c r="CZ44" i="10" s="1"/>
  <c r="DE29" i="6"/>
  <c r="DD21" i="6"/>
  <c r="DD19" i="6" s="1"/>
  <c r="DD30" i="6" s="1"/>
  <c r="DD36" i="10"/>
  <c r="DC9" i="6"/>
  <c r="DC7" i="6" s="1"/>
  <c r="DC11" i="6" s="1"/>
  <c r="DC32" i="6" s="1"/>
  <c r="DC39" i="10" l="1"/>
  <c r="DC40" i="10" s="1"/>
  <c r="DA43" i="10"/>
  <c r="DA44" i="10" s="1"/>
  <c r="DF29" i="6"/>
  <c r="DE21" i="6"/>
  <c r="DE19" i="6" s="1"/>
  <c r="DE30" i="6" s="1"/>
  <c r="DE36" i="10"/>
  <c r="DD9" i="6"/>
  <c r="DD7" i="6" s="1"/>
  <c r="DD11" i="6" s="1"/>
  <c r="DD32" i="6" s="1"/>
  <c r="DD39" i="10" l="1"/>
  <c r="DD40" i="10" s="1"/>
  <c r="DB43" i="10"/>
  <c r="DB44" i="10" s="1"/>
  <c r="DG29" i="6"/>
  <c r="DF21" i="6"/>
  <c r="DF19" i="6" s="1"/>
  <c r="DF30" i="6" s="1"/>
  <c r="DF36" i="10"/>
  <c r="DE9" i="6"/>
  <c r="DE7" i="6" s="1"/>
  <c r="DE11" i="6" s="1"/>
  <c r="DE32" i="6" s="1"/>
  <c r="DE39" i="10" l="1"/>
  <c r="DE40" i="10" s="1"/>
  <c r="DC43" i="10"/>
  <c r="DC44" i="10" s="1"/>
  <c r="DH29" i="6"/>
  <c r="DG21" i="6"/>
  <c r="DG19" i="6" s="1"/>
  <c r="DG30" i="6" s="1"/>
  <c r="DG36" i="10"/>
  <c r="DF9" i="6"/>
  <c r="DF7" i="6" s="1"/>
  <c r="DF11" i="6" s="1"/>
  <c r="DF32" i="6" s="1"/>
  <c r="DF39" i="10" l="1"/>
  <c r="DF40" i="10" s="1"/>
  <c r="DD43" i="10"/>
  <c r="DD44" i="10" s="1"/>
  <c r="DI29" i="6"/>
  <c r="DI21" i="6" s="1"/>
  <c r="DI19" i="6" s="1"/>
  <c r="DI30" i="6" s="1"/>
  <c r="DH21" i="6"/>
  <c r="DH19" i="6" s="1"/>
  <c r="DH30" i="6" s="1"/>
  <c r="DH36" i="10"/>
  <c r="DI36" i="10" s="1"/>
  <c r="DG9" i="6"/>
  <c r="DG7" i="6" s="1"/>
  <c r="DG11" i="6" s="1"/>
  <c r="DG32" i="6" s="1"/>
  <c r="DG39" i="10" l="1"/>
  <c r="DG40" i="10" s="1"/>
  <c r="DE43" i="10"/>
  <c r="DE44" i="10" s="1"/>
  <c r="DH9" i="6"/>
  <c r="DH7" i="6" s="1"/>
  <c r="DH11" i="6" s="1"/>
  <c r="DH32" i="6" s="1"/>
  <c r="DH39" i="10" l="1"/>
  <c r="DH40" i="10" s="1"/>
  <c r="DF43" i="10"/>
  <c r="DF44" i="10" s="1"/>
  <c r="DI9" i="6"/>
  <c r="DI7" i="6" s="1"/>
  <c r="DI11" i="6" s="1"/>
  <c r="DI32" i="6" s="1"/>
  <c r="DI39" i="10" l="1"/>
  <c r="DG43" i="10"/>
  <c r="DG44" i="10" s="1"/>
  <c r="DI40" i="10" l="1"/>
  <c r="DH43" i="10"/>
  <c r="DH44" i="10" s="1"/>
  <c r="O17" i="4"/>
  <c r="O16" i="4"/>
  <c r="D40" i="10" l="1"/>
  <c r="S2" i="10" s="1"/>
  <c r="DI43" i="10"/>
  <c r="DI44" i="10" s="1"/>
  <c r="D44" i="10" l="1"/>
  <c r="S4" i="10" l="1"/>
  <c r="O14" i="4" s="1"/>
</calcChain>
</file>

<file path=xl/sharedStrings.xml><?xml version="1.0" encoding="utf-8"?>
<sst xmlns="http://schemas.openxmlformats.org/spreadsheetml/2006/main" count="416" uniqueCount="261">
  <si>
    <t>ИТОГО</t>
  </si>
  <si>
    <t>Площадь</t>
  </si>
  <si>
    <t>МАП</t>
  </si>
  <si>
    <t>1 этаж</t>
  </si>
  <si>
    <t>2 этаж</t>
  </si>
  <si>
    <t>3 этаж</t>
  </si>
  <si>
    <t>Основные средства</t>
  </si>
  <si>
    <t>Налог на добавленную стоимость по приобретенным ценностям</t>
  </si>
  <si>
    <t>Денежные средства</t>
  </si>
  <si>
    <t>Прочие оборотные активы</t>
  </si>
  <si>
    <t>Уставный капитал</t>
  </si>
  <si>
    <t>Резервы, образованные в соответствии с законодательством</t>
  </si>
  <si>
    <t>Нераспределенная прибыль (непокрытый убыток)</t>
  </si>
  <si>
    <t>Займы и кредиты</t>
  </si>
  <si>
    <t>Кредиторская задолженность всего, в том числе</t>
  </si>
  <si>
    <t>Поставщики и подрядчики</t>
  </si>
  <si>
    <t>Задолженность перед персоналом организации</t>
  </si>
  <si>
    <t>Задолженность перед государственными внебюджетными фондами</t>
  </si>
  <si>
    <t>Задолженность по налогам и сборам</t>
  </si>
  <si>
    <t>Первоначальная стоимость</t>
  </si>
  <si>
    <t>Накопленная амортизация</t>
  </si>
  <si>
    <t>Технико-экономические показатели</t>
  </si>
  <si>
    <t>Площадь земельного участка</t>
  </si>
  <si>
    <t>кв м</t>
  </si>
  <si>
    <t>Арендопригодная площадь (GLA)</t>
  </si>
  <si>
    <t xml:space="preserve">Класс ТРЦ </t>
  </si>
  <si>
    <t>Community center</t>
  </si>
  <si>
    <t>Общая площадь ТРЦ (GBA)</t>
  </si>
  <si>
    <t>Средневзвешенная ГАП</t>
  </si>
  <si>
    <t>руб/кв м</t>
  </si>
  <si>
    <t>га</t>
  </si>
  <si>
    <t>Количество юнитов</t>
  </si>
  <si>
    <t>ед.</t>
  </si>
  <si>
    <t>Средняя площадь юнита</t>
  </si>
  <si>
    <t>Да</t>
  </si>
  <si>
    <t>Наличие якорных арендаторов</t>
  </si>
  <si>
    <t>Средневзвешенная ГАП якорных арендаторов</t>
  </si>
  <si>
    <t>Средневзвешенная ГАП прочих арендаторов</t>
  </si>
  <si>
    <t>Финансовые показатели проекта</t>
  </si>
  <si>
    <t>НДС</t>
  </si>
  <si>
    <t>Всего</t>
  </si>
  <si>
    <t>Период реализации проекта</t>
  </si>
  <si>
    <t>Старт проекта</t>
  </si>
  <si>
    <t>Окончание проекта</t>
  </si>
  <si>
    <t>Затраты на реконцепцию</t>
  </si>
  <si>
    <t>Начало реконцепции</t>
  </si>
  <si>
    <t>Окончание реконцепции</t>
  </si>
  <si>
    <t>Цоколь</t>
  </si>
  <si>
    <t>+</t>
  </si>
  <si>
    <t>Итого 1 этаж</t>
  </si>
  <si>
    <t>Итого цоколь</t>
  </si>
  <si>
    <t>Итого 2 этаж</t>
  </si>
  <si>
    <t>Итого 3 этаж</t>
  </si>
  <si>
    <t>Этаж</t>
  </si>
  <si>
    <t>№</t>
  </si>
  <si>
    <t>Средневзвешенная ГАП на кв м</t>
  </si>
  <si>
    <t>Период реконцепции</t>
  </si>
  <si>
    <t>МАП на начало проекта</t>
  </si>
  <si>
    <t>МАП целевая</t>
  </si>
  <si>
    <t>руб.</t>
  </si>
  <si>
    <t>Площадь в аренде на начало проекта</t>
  </si>
  <si>
    <t>Эксплуатация</t>
  </si>
  <si>
    <t>Электричество</t>
  </si>
  <si>
    <t>Налог на имущество</t>
  </si>
  <si>
    <t>Охрана</t>
  </si>
  <si>
    <t>Водоснабжение</t>
  </si>
  <si>
    <t>Связь</t>
  </si>
  <si>
    <t>Страхование</t>
  </si>
  <si>
    <t>Административные</t>
  </si>
  <si>
    <t>Канцелярия</t>
  </si>
  <si>
    <t>IT</t>
  </si>
  <si>
    <t>Плата за выбросы заг. вещ-тв.</t>
  </si>
  <si>
    <t>Маркетинг</t>
  </si>
  <si>
    <t>Вывоз мусора</t>
  </si>
  <si>
    <t>Итого расходов:</t>
  </si>
  <si>
    <t>тыс. руб.</t>
  </si>
  <si>
    <t>Зарплата с отчислениями</t>
  </si>
  <si>
    <t>Ставка НДС</t>
  </si>
  <si>
    <t>Выручка с НДС</t>
  </si>
  <si>
    <t>Выручка без НДС</t>
  </si>
  <si>
    <t>EBITDA</t>
  </si>
  <si>
    <t>EBITDA Margin</t>
  </si>
  <si>
    <t>Амортизация</t>
  </si>
  <si>
    <t>Эксплуатация (Service costs)</t>
  </si>
  <si>
    <t>Электричество (Electricity costs)</t>
  </si>
  <si>
    <t>Налог на имущество (Property tax)</t>
  </si>
  <si>
    <t>Зарплата с отчислениями (Labor costs)</t>
  </si>
  <si>
    <t>Аренда ЗУ (Land rent)</t>
  </si>
  <si>
    <t>Охрана (Security costs)</t>
  </si>
  <si>
    <t>Водоснабжение (Water supply costs)</t>
  </si>
  <si>
    <t>Связь (Telecommunication costs)</t>
  </si>
  <si>
    <t>Страхование (Insurance premiums)</t>
  </si>
  <si>
    <t>Административные (Administrative expences)</t>
  </si>
  <si>
    <t>Канцелярия (Office supplies expences)</t>
  </si>
  <si>
    <t>IT (IT expences)</t>
  </si>
  <si>
    <t>Плата за выбросы заг. вещ-тв. (Payment for environmental pollution)</t>
  </si>
  <si>
    <t>Маркетинг (Marketing costs)</t>
  </si>
  <si>
    <t>Вывоз мусора (Fee for garbage collection)</t>
  </si>
  <si>
    <t>в т.ч.</t>
  </si>
  <si>
    <t>здания и сооружения</t>
  </si>
  <si>
    <t>машины и оборудование</t>
  </si>
  <si>
    <t>АКТИВ</t>
  </si>
  <si>
    <t>ПАССИВ</t>
  </si>
  <si>
    <t>Операционные расходы в год, тыс. руб.</t>
  </si>
  <si>
    <t>Передаточный баланс 30.06.2016, тыс.руб.</t>
  </si>
  <si>
    <t>Ставка амортизации для оборудования</t>
  </si>
  <si>
    <t>Ставка амортизации для оф.мебели</t>
  </si>
  <si>
    <t>Ставка амортизации для здания</t>
  </si>
  <si>
    <t>Начало</t>
  </si>
  <si>
    <t>Основные средства (Fixed assets)</t>
  </si>
  <si>
    <t>машины и оборудование (Equipment)</t>
  </si>
  <si>
    <t>офисное оборудование (Furniture)</t>
  </si>
  <si>
    <t>НДС по приобретенным ценностям (Income VAT)</t>
  </si>
  <si>
    <t>Прочие оборотные активы (Other assets)</t>
  </si>
  <si>
    <t>Уставный капитал (Equity)</t>
  </si>
  <si>
    <t>Нераспределенная прибыль/непокрытый убыток 
(Retainet profit/Uncovered loss)</t>
  </si>
  <si>
    <t>Кредиторская задолженность (Creditor debt)</t>
  </si>
  <si>
    <t>задолженность по налогам и сборам (Tax debt)</t>
  </si>
  <si>
    <t>задолженность перед персоналом (Wage arrears)</t>
  </si>
  <si>
    <t>поставщики и подрядчики (Debt to suppliers)</t>
  </si>
  <si>
    <t>авансы полученные от арендаторов (Advances payments)</t>
  </si>
  <si>
    <t>мебель</t>
  </si>
  <si>
    <t>EBIT</t>
  </si>
  <si>
    <t>Прибыль до налогообложения</t>
  </si>
  <si>
    <t>Чистая прибыль</t>
  </si>
  <si>
    <t>Проценты по кредиту Сбербанка</t>
  </si>
  <si>
    <t>Расходы на реконцепцию</t>
  </si>
  <si>
    <t>Остаток основного долга</t>
  </si>
  <si>
    <t>Сумма погашения основного долга</t>
  </si>
  <si>
    <t>Налог на прибыль</t>
  </si>
  <si>
    <t>Направление прибыли на погашение убытков прошлых лет</t>
  </si>
  <si>
    <t>Прибыль до НО нарастающим итогом</t>
  </si>
  <si>
    <t>Profit &amp; Loss</t>
  </si>
  <si>
    <t>Рост цен в год</t>
  </si>
  <si>
    <t>Рост цен</t>
  </si>
  <si>
    <t>Ставка налога на имущество</t>
  </si>
  <si>
    <t>Кадастровая стоимость недвижимости</t>
  </si>
  <si>
    <t>I. Внеоборотные активы</t>
  </si>
  <si>
    <t>II. Оборотные активы</t>
  </si>
  <si>
    <t>III. Капитал и резервы</t>
  </si>
  <si>
    <t>IV. Долгосрочные обязательства</t>
  </si>
  <si>
    <t>V. Краткосрочные обязательства</t>
  </si>
  <si>
    <t>Balance Sheet</t>
  </si>
  <si>
    <t>График</t>
  </si>
  <si>
    <t>Cash Flow</t>
  </si>
  <si>
    <t>Платежи поставщикам и подрядчикам</t>
  </si>
  <si>
    <t>Операционный денежный поток (CFO)</t>
  </si>
  <si>
    <t>Платежи по зарплате</t>
  </si>
  <si>
    <t>Поступления по операционной деятельности</t>
  </si>
  <si>
    <t>Платежи по операционной деятельности</t>
  </si>
  <si>
    <t>Платежи во внебюджетные фонды</t>
  </si>
  <si>
    <t>Другие налоги</t>
  </si>
  <si>
    <t>Инвестиционный денежный поток (CFI)</t>
  </si>
  <si>
    <t>Поступления по инвестиционной деятельности</t>
  </si>
  <si>
    <t>Поступления</t>
  </si>
  <si>
    <t>Платежи по инвестиционной деятельности</t>
  </si>
  <si>
    <t>Денежный поток от финансовых операций (CFF)</t>
  </si>
  <si>
    <t>Поступления от финансовых операций</t>
  </si>
  <si>
    <t>Платежи по финансовым операциям</t>
  </si>
  <si>
    <t>Чистый денежный поток (Net Cash Flow)</t>
  </si>
  <si>
    <t>Остаток денежных средств на конец периода</t>
  </si>
  <si>
    <t>NPV</t>
  </si>
  <si>
    <t>IRR</t>
  </si>
  <si>
    <t>Свободный денежный поток (FCF)</t>
  </si>
  <si>
    <t>Свободный денежный поток для капитала (FCFE)</t>
  </si>
  <si>
    <t>Ставка дисконтирования</t>
  </si>
  <si>
    <t>Операционные расходы без НДС</t>
  </si>
  <si>
    <t>Темп прироста платежа в погашение тела кредита, предусмотренный графиком платежей</t>
  </si>
  <si>
    <t>Выручка с НДС по PL</t>
  </si>
  <si>
    <t>Процент предоплаты от арендаторов</t>
  </si>
  <si>
    <t>тыс.руб.</t>
  </si>
  <si>
    <t>Прогнозируемый период</t>
  </si>
  <si>
    <t>лет</t>
  </si>
  <si>
    <t>EBITDA margin</t>
  </si>
  <si>
    <t>Дата начала проекта</t>
  </si>
  <si>
    <t>Доля свободных площадей из-за смены арендаторов</t>
  </si>
  <si>
    <t>Ставки</t>
  </si>
  <si>
    <t>Условия кредита</t>
  </si>
  <si>
    <t>Оборачиваемость задолженности</t>
  </si>
  <si>
    <t>Кредит</t>
  </si>
  <si>
    <t>Погашение кредита</t>
  </si>
  <si>
    <t>Сумма кредита</t>
  </si>
  <si>
    <t>Вклад собственников</t>
  </si>
  <si>
    <t>Дисконтированный срок окупаемости</t>
  </si>
  <si>
    <t>Выручка за последний год прогнозирования</t>
  </si>
  <si>
    <t>Платежи за последний год прогнозирования</t>
  </si>
  <si>
    <t>Средневзвешенная МАП/кв м для якорных арендаторов</t>
  </si>
  <si>
    <t>Средневзвешенная МАП/кв м для прочих арендаторов</t>
  </si>
  <si>
    <t>Средняя площадь</t>
  </si>
  <si>
    <t>Средняя площадь без учета якорных арендаторов</t>
  </si>
  <si>
    <t>Торгово-развлекательный центр Encanto Plaza</t>
  </si>
  <si>
    <t xml:space="preserve"> center</t>
  </si>
  <si>
    <t>Community</t>
  </si>
  <si>
    <t>Операционная деятельность</t>
  </si>
  <si>
    <t>Средняя площадь юнита без якорных аренд.</t>
  </si>
  <si>
    <t>Финансирование проекта</t>
  </si>
  <si>
    <t>Ставка по кредиту</t>
  </si>
  <si>
    <t>Equity NPV</t>
  </si>
  <si>
    <t xml:space="preserve"> </t>
  </si>
  <si>
    <t>Анализ чувствительности</t>
  </si>
  <si>
    <t>Изменение арендной ставки</t>
  </si>
  <si>
    <t>NCF</t>
  </si>
  <si>
    <t>Покупка акций ТРЦ</t>
  </si>
  <si>
    <t>Коэффициент дисконтирования</t>
  </si>
  <si>
    <t>Аренда земельного участка</t>
  </si>
  <si>
    <t>В процентах от GLA</t>
  </si>
  <si>
    <t>Площади в аренде, кв м</t>
  </si>
  <si>
    <t>Завершение</t>
  </si>
  <si>
    <t>NPV проекта</t>
  </si>
  <si>
    <t>NPV для капитала</t>
  </si>
  <si>
    <t>IRR проекта</t>
  </si>
  <si>
    <t>IRR для капитала</t>
  </si>
  <si>
    <t>Авансы, полученные от арендаторов</t>
  </si>
  <si>
    <t>Дата окупаемости</t>
  </si>
  <si>
    <t>FCFE нарастающим итогом</t>
  </si>
  <si>
    <t>Equity NPV нарастающим итогом</t>
  </si>
  <si>
    <t>Цена сделки по покупке ТРЦ</t>
  </si>
  <si>
    <t>Оборачиваемость расчетов с поставщиками, дн.</t>
  </si>
  <si>
    <t>Оборачиваемость расчетов с персоналом, дн.</t>
  </si>
  <si>
    <t>Оборачиваемость расчетов по налогам и сборам, дн.</t>
  </si>
  <si>
    <t>МАП якорных арендаторов</t>
  </si>
  <si>
    <t>Якорный 
арендатор</t>
  </si>
  <si>
    <t>в т.ч. МАП якорных арендаторов</t>
  </si>
  <si>
    <t xml:space="preserve">         МАП прочих арендаторов</t>
  </si>
  <si>
    <t>в т.ч. 
здания и сооружения (Building)</t>
  </si>
  <si>
    <t>Дата получения кредита</t>
  </si>
  <si>
    <t>Ежемесячный платеж в погашение кредита, тыс. руб.</t>
  </si>
  <si>
    <t>Процентная ставка по кредиту</t>
  </si>
  <si>
    <t>Средневзвешенная
МАП</t>
  </si>
  <si>
    <t>МАП 
на кв м</t>
  </si>
  <si>
    <t>Целевая годовая арендная плата</t>
  </si>
  <si>
    <t>Ставка налога на прибыль</t>
  </si>
  <si>
    <t>RiskA - риск, связанный с небольшим размером компании</t>
  </si>
  <si>
    <t>RiskB - страновой риск</t>
  </si>
  <si>
    <t>RiskC -специфицеские риски</t>
  </si>
  <si>
    <t>CAPM в $</t>
  </si>
  <si>
    <t>CAPM в руб.</t>
  </si>
  <si>
    <t>Доходность российских облигаций в рублях</t>
  </si>
  <si>
    <t>Доходность российских облигаций в $</t>
  </si>
  <si>
    <t xml:space="preserve">Rm-Rf </t>
  </si>
  <si>
    <t>Rm - рыночная премия за риск (Equity risk premium)</t>
  </si>
  <si>
    <t>WACC</t>
  </si>
  <si>
    <t>WACC (ставка дисконтирования)</t>
  </si>
  <si>
    <t>Rf - Безрисковая ставка (доходность 10-летних облигаций США)</t>
  </si>
  <si>
    <t>FCF последнего года периода прогнозирования</t>
  </si>
  <si>
    <t>Темп роста FCF</t>
  </si>
  <si>
    <t>Терминальная стоимость бизнеса</t>
  </si>
  <si>
    <t>Коэффициент β (R.E.I.T.)</t>
  </si>
  <si>
    <t>Чистые активы</t>
  </si>
  <si>
    <t>FCFE + терминальная стоимость бизнеса</t>
  </si>
  <si>
    <t>Показатели сделки</t>
  </si>
  <si>
    <t>Срок окупаемости для капитала</t>
  </si>
  <si>
    <t>Стоимость заемных средств</t>
  </si>
  <si>
    <t>Терминальная стоимость бизнеса
по модели Гордона</t>
  </si>
  <si>
    <t>Equity NPV с учетом 
терминальной стоимости бизнеса</t>
  </si>
  <si>
    <t>IRR on Equity с учетом 
терминальной стоимости бизнеса</t>
  </si>
  <si>
    <t>TV на конец прогнозного периода</t>
  </si>
  <si>
    <t>Для капитала</t>
  </si>
  <si>
    <t>DPP</t>
  </si>
  <si>
    <t>Equity NPV с учетом TV</t>
  </si>
  <si>
    <t>IRR on equity с учетом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</si>
</sst>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6">
    <numFmt numFmtId="43" formatCode="_ * #,##0.00_)_ ;_ * \(#,##0.00\)_ ;_ * &quot;-&quot;??_)_ ;_ @_ "/>
    <numFmt numFmtId="164" formatCode="0.0"/>
    <numFmt numFmtId="165" formatCode="#,##0;\(#,##0\);&quot;&quot;"/>
    <numFmt numFmtId="166" formatCode="#,##0.0;\(#,##0.0\);&quot;&quot;"/>
    <numFmt numFmtId="167" formatCode="dd/mm/yy"/>
    <numFmt numFmtId="168" formatCode="[$-419]mmmm;@"/>
    <numFmt numFmtId="169" formatCode="#,##0.0"/>
    <numFmt numFmtId="170" formatCode="0.0%;\(0.0%\);&quot;&quot;"/>
    <numFmt numFmtId="171" formatCode="_ * #,##0.0000_)_ ;_ * \(#,##0.0000\)_ ;_ * &quot;-&quot;??_)_ ;_ @_ "/>
    <numFmt numFmtId="172" formatCode="0.0%"/>
    <numFmt numFmtId="173" formatCode="[$-419]mmmm\ yy;@"/>
    <numFmt numFmtId="174" formatCode="dd/mm/yy;;&quot;&quot;"/>
    <numFmt numFmtId="175" formatCode="#,##0.0_Х\л\е\т_)"/>
    <numFmt numFmtId="176" formatCode="#,##0,;\(#,##0,\);&quot;&quot;"/>
    <numFmt numFmtId="177" formatCode="0.00000000000000%"/>
    <numFmt numFmtId="178" formatCode="#,##0.00;\(#,##0.00\);&quot;&quot;"/>
  </numFmts>
  <fonts count="19" x14ac:knownFonts="1">
    <font>
      <sz val="10"/>
      <name val="Arial Cyr"/>
      <charset val="204"/>
    </font>
    <font>
      <sz val="10"/>
      <name val="Arial Cyr"/>
      <charset val="204"/>
    </font>
    <font>
      <sz val="10"/>
      <name val="Calibri Light"/>
      <family val="2"/>
      <charset val="204"/>
    </font>
    <font>
      <sz val="11"/>
      <name val="Calibri Light"/>
      <family val="2"/>
      <charset val="204"/>
    </font>
    <font>
      <b/>
      <sz val="10"/>
      <name val="Calibri Light"/>
      <family val="2"/>
      <charset val="204"/>
    </font>
    <font>
      <b/>
      <sz val="11"/>
      <name val="Calibri Light"/>
      <family val="2"/>
      <charset val="204"/>
    </font>
    <font>
      <sz val="10"/>
      <color theme="0" tint="-0.499984740745262"/>
      <name val="Calibri Light"/>
      <family val="2"/>
      <charset val="204"/>
    </font>
    <font>
      <b/>
      <sz val="12"/>
      <color theme="1" tint="0.34998626667073579"/>
      <name val="Calibri Light"/>
      <family val="2"/>
      <charset val="204"/>
    </font>
    <font>
      <b/>
      <sz val="11"/>
      <color theme="1" tint="0.34998626667073579"/>
      <name val="Calibri Light"/>
      <family val="2"/>
      <charset val="204"/>
    </font>
    <font>
      <b/>
      <sz val="10"/>
      <color theme="1" tint="0.34998626667073579"/>
      <name val="Calibri Light"/>
      <family val="2"/>
      <charset val="204"/>
    </font>
    <font>
      <sz val="10"/>
      <color theme="0"/>
      <name val="Calibri Light"/>
      <family val="2"/>
      <charset val="204"/>
    </font>
    <font>
      <b/>
      <sz val="10"/>
      <color theme="0"/>
      <name val="Calibri Light"/>
      <family val="2"/>
      <charset val="204"/>
    </font>
    <font>
      <sz val="10"/>
      <color theme="0" tint="-0.34998626667073579"/>
      <name val="Calibri Light"/>
      <family val="2"/>
      <charset val="204"/>
    </font>
    <font>
      <sz val="9"/>
      <color theme="0" tint="-0.34998626667073579"/>
      <name val="Calibri Light"/>
      <family val="2"/>
      <charset val="204"/>
    </font>
    <font>
      <sz val="10"/>
      <color theme="0" tint="-4.9989318521683403E-2"/>
      <name val="Calibri Light"/>
      <family val="2"/>
      <charset val="204"/>
    </font>
    <font>
      <sz val="10"/>
      <color theme="1" tint="0.34998626667073579"/>
      <name val="Calibri Light"/>
      <family val="2"/>
      <charset val="204"/>
    </font>
    <font>
      <b/>
      <sz val="10"/>
      <color theme="1" tint="0.249977111117893"/>
      <name val="Calibri Light"/>
      <family val="2"/>
      <charset val="204"/>
    </font>
    <font>
      <sz val="9"/>
      <name val="Calibri Light"/>
      <family val="2"/>
      <charset val="204"/>
    </font>
    <font>
      <b/>
      <sz val="14"/>
      <color rgb="FFFF0000"/>
      <name val="Calibri Light"/>
      <family val="2"/>
      <charset val="204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gradientFill degree="180">
        <stop position="0">
          <color theme="0"/>
        </stop>
        <stop position="1">
          <color rgb="FFFF0000"/>
        </stop>
      </gradientFill>
    </fill>
    <fill>
      <patternFill patternType="solid">
        <fgColor rgb="FFE6E6E6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n">
        <color theme="0" tint="-0.34998626667073579"/>
      </bottom>
      <diagonal/>
    </border>
    <border>
      <left/>
      <right/>
      <top/>
      <bottom style="thin">
        <color theme="0" tint="-0.499984740745262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 tint="-0.499984740745262"/>
      </left>
      <right/>
      <top/>
      <bottom style="thin">
        <color theme="0" tint="-0.34998626667073579"/>
      </bottom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theme="0" tint="-0.499984740745262"/>
      </right>
      <top/>
      <bottom style="thin">
        <color theme="0" tint="-0.34998626667073579"/>
      </bottom>
      <diagonal/>
    </border>
    <border>
      <left/>
      <right style="thin">
        <color theme="0" tint="-0.499984740745262"/>
      </right>
      <top/>
      <bottom/>
      <diagonal/>
    </border>
    <border>
      <left style="thin">
        <color theme="0" tint="-0.499984740745262"/>
      </left>
      <right/>
      <top/>
      <bottom style="thin">
        <color theme="0" tint="-0.499984740745262"/>
      </bottom>
      <diagonal/>
    </border>
    <border>
      <left/>
      <right style="thin">
        <color theme="0" tint="-0.499984740745262"/>
      </right>
      <top/>
      <bottom style="thin">
        <color theme="0" tint="-0.499984740745262"/>
      </bottom>
      <diagonal/>
    </border>
    <border>
      <left/>
      <right/>
      <top style="thin">
        <color rgb="FFFF0000"/>
      </top>
      <bottom/>
      <diagonal/>
    </border>
    <border>
      <left style="thin">
        <color rgb="FFFF0000"/>
      </left>
      <right/>
      <top style="thin">
        <color rgb="FFFF000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 style="thin">
        <color rgb="FFFF000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</cellStyleXfs>
  <cellXfs count="233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indent="1"/>
    </xf>
    <xf numFmtId="167" fontId="2" fillId="0" borderId="0" xfId="0" applyNumberFormat="1" applyFont="1"/>
    <xf numFmtId="0" fontId="2" fillId="0" borderId="0" xfId="0" applyFont="1" applyAlignment="1">
      <alignment horizontal="right"/>
    </xf>
    <xf numFmtId="166" fontId="2" fillId="0" borderId="0" xfId="0" applyNumberFormat="1" applyFont="1" applyAlignment="1">
      <alignment horizontal="right" indent="1"/>
    </xf>
    <xf numFmtId="166" fontId="2" fillId="0" borderId="0" xfId="0" applyNumberFormat="1" applyFont="1" applyAlignment="1">
      <alignment horizontal="center"/>
    </xf>
    <xf numFmtId="165" fontId="2" fillId="0" borderId="0" xfId="0" applyNumberFormat="1" applyFont="1" applyAlignment="1">
      <alignment horizontal="right" indent="1"/>
    </xf>
    <xf numFmtId="0" fontId="2" fillId="0" borderId="0" xfId="0" applyFont="1" applyBorder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2" fillId="0" borderId="0" xfId="0" applyFont="1" applyAlignment="1">
      <alignment horizontal="left" indent="1"/>
    </xf>
    <xf numFmtId="0" fontId="2" fillId="0" borderId="0" xfId="0" applyFont="1" applyAlignment="1">
      <alignment horizontal="center"/>
    </xf>
    <xf numFmtId="169" fontId="2" fillId="0" borderId="0" xfId="0" applyNumberFormat="1" applyFont="1"/>
    <xf numFmtId="3" fontId="2" fillId="0" borderId="0" xfId="0" applyNumberFormat="1" applyFont="1"/>
    <xf numFmtId="0" fontId="2" fillId="0" borderId="0" xfId="0" applyFont="1" applyAlignment="1">
      <alignment horizontal="center" vertical="center"/>
    </xf>
    <xf numFmtId="0" fontId="4" fillId="0" borderId="0" xfId="0" applyFont="1"/>
    <xf numFmtId="9" fontId="2" fillId="0" borderId="0" xfId="1" applyFont="1" applyAlignment="1">
      <alignment horizontal="right" indent="1"/>
    </xf>
    <xf numFmtId="0" fontId="2" fillId="0" borderId="0" xfId="0" applyNumberFormat="1" applyFont="1"/>
    <xf numFmtId="168" fontId="2" fillId="0" borderId="0" xfId="0" applyNumberFormat="1" applyFont="1" applyAlignment="1">
      <alignment horizontal="center" vertical="center"/>
    </xf>
    <xf numFmtId="0" fontId="2" fillId="2" borderId="1" xfId="0" applyFont="1" applyFill="1" applyBorder="1" applyAlignment="1">
      <alignment horizontal="right"/>
    </xf>
    <xf numFmtId="0" fontId="2" fillId="2" borderId="1" xfId="0" applyFont="1" applyFill="1" applyBorder="1" applyAlignment="1">
      <alignment horizontal="center"/>
    </xf>
    <xf numFmtId="3" fontId="2" fillId="2" borderId="1" xfId="0" applyNumberFormat="1" applyFont="1" applyFill="1" applyBorder="1"/>
    <xf numFmtId="0" fontId="2" fillId="0" borderId="0" xfId="0" applyFont="1" applyFill="1" applyBorder="1"/>
    <xf numFmtId="9" fontId="2" fillId="0" borderId="0" xfId="1" applyFont="1"/>
    <xf numFmtId="165" fontId="2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center"/>
    </xf>
    <xf numFmtId="3" fontId="6" fillId="0" borderId="0" xfId="0" applyNumberFormat="1" applyFont="1"/>
    <xf numFmtId="165" fontId="6" fillId="0" borderId="0" xfId="0" applyNumberFormat="1" applyFont="1"/>
    <xf numFmtId="0" fontId="6" fillId="0" borderId="0" xfId="0" applyFont="1" applyFill="1" applyBorder="1" applyAlignment="1">
      <alignment horizontal="right"/>
    </xf>
    <xf numFmtId="0" fontId="6" fillId="0" borderId="0" xfId="0" applyFont="1" applyFill="1" applyBorder="1" applyAlignment="1">
      <alignment horizontal="center"/>
    </xf>
    <xf numFmtId="3" fontId="6" fillId="0" borderId="0" xfId="0" applyNumberFormat="1" applyFont="1" applyFill="1" applyBorder="1"/>
    <xf numFmtId="0" fontId="6" fillId="0" borderId="0" xfId="0" applyFont="1" applyFill="1" applyBorder="1"/>
    <xf numFmtId="0" fontId="6" fillId="0" borderId="0" xfId="0" applyFont="1" applyAlignment="1">
      <alignment horizontal="right"/>
    </xf>
    <xf numFmtId="0" fontId="6" fillId="0" borderId="0" xfId="0" applyFont="1" applyAlignment="1">
      <alignment horizontal="right" indent="1"/>
    </xf>
    <xf numFmtId="0" fontId="6" fillId="0" borderId="0" xfId="0" applyFont="1" applyAlignment="1">
      <alignment horizontal="right" wrapText="1"/>
    </xf>
    <xf numFmtId="9" fontId="2" fillId="0" borderId="0" xfId="0" applyNumberFormat="1" applyFont="1"/>
    <xf numFmtId="170" fontId="6" fillId="0" borderId="0" xfId="1" applyNumberFormat="1" applyFont="1"/>
    <xf numFmtId="165" fontId="2" fillId="0" borderId="0" xfId="0" applyNumberFormat="1" applyFont="1" applyBorder="1"/>
    <xf numFmtId="0" fontId="2" fillId="2" borderId="2" xfId="0" applyFont="1" applyFill="1" applyBorder="1"/>
    <xf numFmtId="165" fontId="2" fillId="2" borderId="2" xfId="0" applyNumberFormat="1" applyFont="1" applyFill="1" applyBorder="1"/>
    <xf numFmtId="167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right" wrapText="1"/>
    </xf>
    <xf numFmtId="0" fontId="2" fillId="2" borderId="2" xfId="0" applyFont="1" applyFill="1" applyBorder="1" applyAlignment="1">
      <alignment horizontal="right"/>
    </xf>
    <xf numFmtId="0" fontId="2" fillId="0" borderId="0" xfId="0" applyFont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0" fontId="2" fillId="0" borderId="0" xfId="0" applyFont="1" applyBorder="1" applyAlignment="1">
      <alignment horizontal="right" wrapText="1"/>
    </xf>
    <xf numFmtId="165" fontId="2" fillId="0" borderId="0" xfId="0" applyNumberFormat="1" applyFont="1" applyBorder="1" applyAlignment="1">
      <alignment horizontal="right" wrapText="1"/>
    </xf>
    <xf numFmtId="0" fontId="4" fillId="0" borderId="0" xfId="0" applyFont="1" applyAlignment="1">
      <alignment horizontal="right"/>
    </xf>
    <xf numFmtId="165" fontId="4" fillId="0" borderId="0" xfId="0" applyNumberFormat="1" applyFont="1"/>
    <xf numFmtId="165" fontId="2" fillId="0" borderId="0" xfId="0" applyNumberFormat="1" applyFont="1" applyFill="1"/>
    <xf numFmtId="0" fontId="9" fillId="0" borderId="0" xfId="0" applyFont="1" applyAlignment="1">
      <alignment horizontal="right" wrapText="1"/>
    </xf>
    <xf numFmtId="165" fontId="2" fillId="2" borderId="3" xfId="0" applyNumberFormat="1" applyFont="1" applyFill="1" applyBorder="1" applyAlignment="1">
      <alignment horizontal="center" vertical="center"/>
    </xf>
    <xf numFmtId="9" fontId="2" fillId="0" borderId="0" xfId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10" fillId="0" borderId="0" xfId="0" applyFont="1"/>
    <xf numFmtId="0" fontId="2" fillId="0" borderId="0" xfId="0" applyFont="1" applyFill="1" applyBorder="1" applyAlignment="1">
      <alignment horizontal="right" wrapText="1"/>
    </xf>
    <xf numFmtId="165" fontId="2" fillId="0" borderId="0" xfId="0" applyNumberFormat="1" applyFont="1" applyFill="1" applyBorder="1"/>
    <xf numFmtId="0" fontId="12" fillId="0" borderId="0" xfId="0" applyFont="1" applyAlignment="1">
      <alignment horizontal="right"/>
    </xf>
    <xf numFmtId="0" fontId="12" fillId="0" borderId="0" xfId="0" applyFont="1"/>
    <xf numFmtId="165" fontId="12" fillId="0" borderId="0" xfId="0" applyNumberFormat="1" applyFont="1" applyBorder="1"/>
    <xf numFmtId="171" fontId="2" fillId="0" borderId="0" xfId="2" applyNumberFormat="1" applyFont="1"/>
    <xf numFmtId="4" fontId="0" fillId="0" borderId="0" xfId="0" applyNumberFormat="1"/>
    <xf numFmtId="4" fontId="2" fillId="0" borderId="0" xfId="0" applyNumberFormat="1" applyFont="1"/>
    <xf numFmtId="165" fontId="2" fillId="2" borderId="2" xfId="0" applyNumberFormat="1" applyFont="1" applyFill="1" applyBorder="1" applyAlignment="1">
      <alignment horizontal="right" indent="1"/>
    </xf>
    <xf numFmtId="0" fontId="4" fillId="0" borderId="0" xfId="0" applyFont="1" applyFill="1"/>
    <xf numFmtId="0" fontId="2" fillId="2" borderId="4" xfId="0" applyFont="1" applyFill="1" applyBorder="1" applyAlignment="1">
      <alignment horizontal="left"/>
    </xf>
    <xf numFmtId="0" fontId="2" fillId="0" borderId="5" xfId="0" applyFont="1" applyBorder="1"/>
    <xf numFmtId="165" fontId="2" fillId="0" borderId="0" xfId="0" applyNumberFormat="1" applyFont="1" applyBorder="1" applyAlignment="1">
      <alignment horizontal="right" indent="1"/>
    </xf>
    <xf numFmtId="0" fontId="2" fillId="0" borderId="5" xfId="0" applyFont="1" applyBorder="1" applyAlignment="1">
      <alignment horizontal="left" indent="1"/>
    </xf>
    <xf numFmtId="0" fontId="2" fillId="2" borderId="4" xfId="0" applyFont="1" applyFill="1" applyBorder="1"/>
    <xf numFmtId="0" fontId="2" fillId="0" borderId="5" xfId="0" applyFont="1" applyBorder="1" applyAlignment="1">
      <alignment wrapText="1"/>
    </xf>
    <xf numFmtId="165" fontId="2" fillId="0" borderId="7" xfId="0" applyNumberFormat="1" applyFont="1" applyBorder="1" applyAlignment="1">
      <alignment horizontal="right" indent="1"/>
    </xf>
    <xf numFmtId="165" fontId="2" fillId="2" borderId="6" xfId="0" applyNumberFormat="1" applyFont="1" applyFill="1" applyBorder="1" applyAlignment="1">
      <alignment horizontal="right" indent="1"/>
    </xf>
    <xf numFmtId="0" fontId="2" fillId="0" borderId="7" xfId="0" applyFont="1" applyBorder="1"/>
    <xf numFmtId="0" fontId="2" fillId="0" borderId="5" xfId="0" applyFont="1" applyBorder="1" applyAlignment="1">
      <alignment horizontal="left"/>
    </xf>
    <xf numFmtId="166" fontId="2" fillId="0" borderId="0" xfId="0" applyNumberFormat="1" applyFont="1" applyBorder="1" applyAlignment="1">
      <alignment horizontal="right" indent="1"/>
    </xf>
    <xf numFmtId="0" fontId="2" fillId="0" borderId="0" xfId="0" applyFont="1" applyBorder="1" applyAlignment="1">
      <alignment horizontal="center" vertical="center" wrapText="1"/>
    </xf>
    <xf numFmtId="167" fontId="2" fillId="0" borderId="0" xfId="0" applyNumberFormat="1" applyFont="1" applyBorder="1" applyAlignment="1">
      <alignment horizontal="right" indent="1"/>
    </xf>
    <xf numFmtId="0" fontId="2" fillId="0" borderId="5" xfId="0" applyFont="1" applyBorder="1" applyAlignment="1">
      <alignment horizontal="left" wrapText="1"/>
    </xf>
    <xf numFmtId="9" fontId="2" fillId="0" borderId="0" xfId="1" applyFont="1" applyBorder="1" applyAlignment="1">
      <alignment horizontal="right" indent="1"/>
    </xf>
    <xf numFmtId="0" fontId="2" fillId="0" borderId="7" xfId="0" applyFont="1" applyBorder="1" applyAlignment="1">
      <alignment horizontal="left"/>
    </xf>
    <xf numFmtId="0" fontId="2" fillId="0" borderId="9" xfId="0" applyFont="1" applyBorder="1" applyAlignment="1">
      <alignment horizontal="left"/>
    </xf>
    <xf numFmtId="0" fontId="4" fillId="0" borderId="5" xfId="0" applyFont="1" applyFill="1" applyBorder="1" applyAlignment="1">
      <alignment horizontal="left"/>
    </xf>
    <xf numFmtId="10" fontId="2" fillId="0" borderId="0" xfId="1" applyNumberFormat="1" applyFont="1" applyBorder="1" applyAlignment="1">
      <alignment horizontal="right" indent="1"/>
    </xf>
    <xf numFmtId="0" fontId="4" fillId="0" borderId="7" xfId="0" applyFont="1" applyFill="1" applyBorder="1" applyAlignment="1">
      <alignment horizontal="left"/>
    </xf>
    <xf numFmtId="0" fontId="2" fillId="0" borderId="8" xfId="0" applyFont="1" applyBorder="1" applyAlignment="1">
      <alignment horizontal="left"/>
    </xf>
    <xf numFmtId="10" fontId="2" fillId="0" borderId="2" xfId="1" applyNumberFormat="1" applyFont="1" applyBorder="1" applyAlignment="1">
      <alignment horizontal="right" indent="1"/>
    </xf>
    <xf numFmtId="0" fontId="2" fillId="0" borderId="2" xfId="0" applyFont="1" applyBorder="1"/>
    <xf numFmtId="0" fontId="2" fillId="0" borderId="8" xfId="0" applyFont="1" applyBorder="1"/>
    <xf numFmtId="10" fontId="2" fillId="0" borderId="7" xfId="1" applyNumberFormat="1" applyFont="1" applyBorder="1" applyAlignment="1">
      <alignment horizontal="right" indent="1"/>
    </xf>
    <xf numFmtId="0" fontId="2" fillId="0" borderId="9" xfId="0" applyFont="1" applyBorder="1"/>
    <xf numFmtId="0" fontId="2" fillId="2" borderId="9" xfId="0" applyFont="1" applyFill="1" applyBorder="1" applyAlignment="1">
      <alignment horizontal="left"/>
    </xf>
    <xf numFmtId="0" fontId="12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3" fontId="13" fillId="0" borderId="0" xfId="0" applyNumberFormat="1" applyFont="1"/>
    <xf numFmtId="0" fontId="13" fillId="0" borderId="0" xfId="0" applyFont="1" applyAlignment="1">
      <alignment horizontal="right" wrapText="1"/>
    </xf>
    <xf numFmtId="3" fontId="13" fillId="0" borderId="0" xfId="0" applyNumberFormat="1" applyFont="1" applyAlignment="1">
      <alignment horizontal="center"/>
    </xf>
    <xf numFmtId="0" fontId="2" fillId="0" borderId="5" xfId="0" applyFont="1" applyFill="1" applyBorder="1" applyAlignment="1">
      <alignment horizontal="left"/>
    </xf>
    <xf numFmtId="0" fontId="2" fillId="2" borderId="0" xfId="0" applyFont="1" applyFill="1" applyBorder="1"/>
    <xf numFmtId="165" fontId="2" fillId="2" borderId="0" xfId="0" applyNumberFormat="1" applyFont="1" applyFill="1" applyBorder="1"/>
    <xf numFmtId="166" fontId="2" fillId="0" borderId="0" xfId="0" applyNumberFormat="1" applyFont="1" applyAlignment="1">
      <alignment horizontal="center" vertical="center"/>
    </xf>
    <xf numFmtId="170" fontId="2" fillId="0" borderId="0" xfId="0" applyNumberFormat="1" applyFont="1"/>
    <xf numFmtId="10" fontId="2" fillId="0" borderId="0" xfId="1" applyNumberFormat="1" applyFont="1" applyAlignment="1">
      <alignment horizontal="right"/>
    </xf>
    <xf numFmtId="0" fontId="3" fillId="0" borderId="0" xfId="0" applyFont="1" applyBorder="1"/>
    <xf numFmtId="0" fontId="3" fillId="0" borderId="0" xfId="0" applyFont="1" applyBorder="1" applyAlignment="1">
      <alignment horizontal="left" indent="1"/>
    </xf>
    <xf numFmtId="0" fontId="3" fillId="0" borderId="10" xfId="0" applyFont="1" applyBorder="1"/>
    <xf numFmtId="0" fontId="5" fillId="0" borderId="11" xfId="0" applyFont="1" applyBorder="1"/>
    <xf numFmtId="0" fontId="4" fillId="0" borderId="12" xfId="0" applyFont="1" applyBorder="1"/>
    <xf numFmtId="0" fontId="4" fillId="0" borderId="15" xfId="0" applyFont="1" applyBorder="1"/>
    <xf numFmtId="0" fontId="2" fillId="0" borderId="16" xfId="0" applyFont="1" applyBorder="1" applyAlignment="1">
      <alignment horizontal="right" wrapText="1"/>
    </xf>
    <xf numFmtId="165" fontId="2" fillId="0" borderId="16" xfId="0" applyNumberFormat="1" applyFont="1" applyBorder="1" applyAlignment="1">
      <alignment horizontal="right" indent="1"/>
    </xf>
    <xf numFmtId="0" fontId="2" fillId="0" borderId="17" xfId="0" applyFont="1" applyBorder="1" applyAlignment="1">
      <alignment horizontal="left" indent="1"/>
    </xf>
    <xf numFmtId="0" fontId="3" fillId="0" borderId="11" xfId="0" applyFont="1" applyBorder="1"/>
    <xf numFmtId="0" fontId="2" fillId="0" borderId="12" xfId="0" applyFont="1" applyBorder="1"/>
    <xf numFmtId="0" fontId="2" fillId="0" borderId="0" xfId="0" applyFont="1" applyBorder="1" applyAlignment="1">
      <alignment horizontal="right"/>
    </xf>
    <xf numFmtId="0" fontId="4" fillId="0" borderId="12" xfId="0" applyFont="1" applyBorder="1" applyAlignment="1">
      <alignment horizontal="center"/>
    </xf>
    <xf numFmtId="0" fontId="4" fillId="0" borderId="12" xfId="0" applyFont="1" applyBorder="1" applyAlignment="1"/>
    <xf numFmtId="172" fontId="2" fillId="0" borderId="0" xfId="1" applyNumberFormat="1" applyFont="1" applyBorder="1" applyAlignment="1">
      <alignment horizontal="right" indent="1"/>
    </xf>
    <xf numFmtId="0" fontId="2" fillId="0" borderId="15" xfId="0" applyFont="1" applyBorder="1"/>
    <xf numFmtId="0" fontId="2" fillId="0" borderId="14" xfId="0" applyFont="1" applyBorder="1"/>
    <xf numFmtId="0" fontId="2" fillId="0" borderId="14" xfId="0" applyFont="1" applyBorder="1" applyAlignment="1"/>
    <xf numFmtId="0" fontId="2" fillId="0" borderId="14" xfId="0" applyFont="1" applyBorder="1" applyAlignment="1">
      <alignment horizontal="left"/>
    </xf>
    <xf numFmtId="0" fontId="3" fillId="0" borderId="13" xfId="0" applyFont="1" applyBorder="1"/>
    <xf numFmtId="0" fontId="15" fillId="0" borderId="0" xfId="0" applyFont="1"/>
    <xf numFmtId="0" fontId="4" fillId="0" borderId="0" xfId="0" applyFont="1" applyBorder="1"/>
    <xf numFmtId="0" fontId="4" fillId="0" borderId="16" xfId="0" applyFont="1" applyBorder="1"/>
    <xf numFmtId="165" fontId="10" fillId="0" borderId="0" xfId="0" applyNumberFormat="1" applyFont="1" applyAlignment="1">
      <alignment horizontal="right" indent="1"/>
    </xf>
    <xf numFmtId="0" fontId="9" fillId="0" borderId="0" xfId="0" applyFont="1"/>
    <xf numFmtId="0" fontId="3" fillId="0" borderId="0" xfId="0" applyFont="1" applyAlignment="1">
      <alignment horizontal="center"/>
    </xf>
    <xf numFmtId="0" fontId="16" fillId="0" borderId="12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3" fillId="0" borderId="13" xfId="0" applyFont="1" applyBorder="1" applyAlignment="1">
      <alignment horizontal="left"/>
    </xf>
    <xf numFmtId="165" fontId="2" fillId="2" borderId="0" xfId="0" applyNumberFormat="1" applyFont="1" applyFill="1" applyAlignment="1">
      <alignment horizontal="right" indent="1"/>
    </xf>
    <xf numFmtId="0" fontId="2" fillId="0" borderId="11" xfId="0" applyFont="1" applyBorder="1"/>
    <xf numFmtId="0" fontId="2" fillId="0" borderId="10" xfId="0" applyFont="1" applyBorder="1"/>
    <xf numFmtId="165" fontId="2" fillId="0" borderId="12" xfId="0" applyNumberFormat="1" applyFont="1" applyBorder="1" applyAlignment="1">
      <alignment horizontal="right" indent="1"/>
    </xf>
    <xf numFmtId="9" fontId="2" fillId="0" borderId="12" xfId="1" applyFont="1" applyBorder="1" applyAlignment="1">
      <alignment horizontal="right" indent="1"/>
    </xf>
    <xf numFmtId="9" fontId="2" fillId="0" borderId="16" xfId="0" applyNumberFormat="1" applyFont="1" applyBorder="1"/>
    <xf numFmtId="0" fontId="2" fillId="0" borderId="16" xfId="0" applyFont="1" applyBorder="1"/>
    <xf numFmtId="0" fontId="2" fillId="0" borderId="16" xfId="0" applyFont="1" applyBorder="1" applyAlignment="1">
      <alignment horizontal="left" indent="1"/>
    </xf>
    <xf numFmtId="165" fontId="2" fillId="0" borderId="0" xfId="0" applyNumberFormat="1" applyFont="1" applyFill="1" applyAlignment="1">
      <alignment horizontal="right" indent="1"/>
    </xf>
    <xf numFmtId="0" fontId="2" fillId="0" borderId="10" xfId="0" applyFont="1" applyBorder="1" applyAlignment="1">
      <alignment horizontal="left" indent="1"/>
    </xf>
    <xf numFmtId="0" fontId="2" fillId="0" borderId="13" xfId="0" applyFont="1" applyBorder="1"/>
    <xf numFmtId="165" fontId="2" fillId="0" borderId="14" xfId="0" applyNumberFormat="1" applyFont="1" applyBorder="1" applyAlignment="1">
      <alignment horizontal="right" indent="1"/>
    </xf>
    <xf numFmtId="9" fontId="2" fillId="0" borderId="14" xfId="1" applyFont="1" applyBorder="1" applyAlignment="1">
      <alignment horizontal="right" indent="1"/>
    </xf>
    <xf numFmtId="0" fontId="2" fillId="0" borderId="17" xfId="0" applyFont="1" applyBorder="1"/>
    <xf numFmtId="9" fontId="2" fillId="0" borderId="0" xfId="0" applyNumberFormat="1" applyFont="1" applyAlignment="1">
      <alignment horizontal="center"/>
    </xf>
    <xf numFmtId="9" fontId="2" fillId="0" borderId="14" xfId="0" applyNumberFormat="1" applyFont="1" applyBorder="1" applyAlignment="1">
      <alignment horizontal="center"/>
    </xf>
    <xf numFmtId="9" fontId="10" fillId="0" borderId="0" xfId="1" applyFont="1" applyAlignment="1">
      <alignment horizontal="right" indent="1"/>
    </xf>
    <xf numFmtId="0" fontId="18" fillId="0" borderId="0" xfId="0" applyFont="1" applyBorder="1"/>
    <xf numFmtId="0" fontId="2" fillId="0" borderId="0" xfId="0" applyFont="1" applyFill="1" applyBorder="1" applyAlignment="1">
      <alignment horizontal="left"/>
    </xf>
    <xf numFmtId="164" fontId="2" fillId="0" borderId="0" xfId="0" applyNumberFormat="1" applyFont="1" applyFill="1" applyBorder="1" applyAlignment="1">
      <alignment horizontal="left"/>
    </xf>
    <xf numFmtId="0" fontId="2" fillId="0" borderId="0" xfId="0" applyFont="1" applyFill="1" applyAlignment="1">
      <alignment horizontal="left"/>
    </xf>
    <xf numFmtId="0" fontId="2" fillId="2" borderId="2" xfId="0" applyFont="1" applyFill="1" applyBorder="1" applyAlignment="1">
      <alignment horizontal="left"/>
    </xf>
    <xf numFmtId="164" fontId="2" fillId="2" borderId="2" xfId="0" applyNumberFormat="1" applyFont="1" applyFill="1" applyBorder="1" applyAlignment="1">
      <alignment horizontal="left"/>
    </xf>
    <xf numFmtId="0" fontId="18" fillId="0" borderId="0" xfId="0" applyFont="1" applyAlignment="1">
      <alignment horizontal="center" vertical="center"/>
    </xf>
    <xf numFmtId="0" fontId="11" fillId="4" borderId="0" xfId="0" applyFont="1" applyFill="1" applyBorder="1" applyAlignment="1">
      <alignment horizontal="left"/>
    </xf>
    <xf numFmtId="0" fontId="11" fillId="0" borderId="0" xfId="0" applyFont="1" applyBorder="1" applyAlignment="1">
      <alignment horizontal="left"/>
    </xf>
    <xf numFmtId="9" fontId="11" fillId="0" borderId="0" xfId="1" applyFont="1" applyBorder="1" applyAlignment="1">
      <alignment horizontal="left"/>
    </xf>
    <xf numFmtId="0" fontId="9" fillId="2" borderId="4" xfId="0" applyFont="1" applyFill="1" applyBorder="1" applyAlignment="1">
      <alignment horizontal="left"/>
    </xf>
    <xf numFmtId="0" fontId="15" fillId="2" borderId="1" xfId="0" applyFont="1" applyFill="1" applyBorder="1"/>
    <xf numFmtId="0" fontId="15" fillId="2" borderId="6" xfId="0" applyFont="1" applyFill="1" applyBorder="1" applyAlignment="1">
      <alignment horizontal="left"/>
    </xf>
    <xf numFmtId="0" fontId="15" fillId="2" borderId="6" xfId="0" applyFont="1" applyFill="1" applyBorder="1"/>
    <xf numFmtId="0" fontId="9" fillId="2" borderId="8" xfId="0" applyFont="1" applyFill="1" applyBorder="1" applyAlignment="1">
      <alignment horizontal="left"/>
    </xf>
    <xf numFmtId="0" fontId="9" fillId="2" borderId="2" xfId="0" applyFont="1" applyFill="1" applyBorder="1" applyAlignment="1">
      <alignment horizontal="left"/>
    </xf>
    <xf numFmtId="0" fontId="9" fillId="2" borderId="9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165" fontId="2" fillId="2" borderId="0" xfId="0" applyNumberFormat="1" applyFont="1" applyFill="1" applyBorder="1" applyAlignment="1">
      <alignment horizontal="right"/>
    </xf>
    <xf numFmtId="165" fontId="14" fillId="2" borderId="0" xfId="0" applyNumberFormat="1" applyFont="1" applyFill="1" applyBorder="1"/>
    <xf numFmtId="0" fontId="14" fillId="2" borderId="0" xfId="0" applyFont="1" applyFill="1" applyBorder="1"/>
    <xf numFmtId="0" fontId="14" fillId="2" borderId="0" xfId="0" applyFont="1" applyFill="1" applyBorder="1" applyAlignment="1">
      <alignment horizontal="right"/>
    </xf>
    <xf numFmtId="165" fontId="2" fillId="2" borderId="0" xfId="0" applyNumberFormat="1" applyFont="1" applyFill="1" applyBorder="1" applyAlignment="1">
      <alignment horizontal="right" indent="1"/>
    </xf>
    <xf numFmtId="165" fontId="4" fillId="2" borderId="0" xfId="0" applyNumberFormat="1" applyFont="1" applyFill="1" applyBorder="1" applyAlignment="1">
      <alignment horizontal="right" indent="1"/>
    </xf>
    <xf numFmtId="165" fontId="4" fillId="3" borderId="3" xfId="0" applyNumberFormat="1" applyFont="1" applyFill="1" applyBorder="1" applyAlignment="1">
      <alignment horizontal="center" vertical="center"/>
    </xf>
    <xf numFmtId="9" fontId="4" fillId="3" borderId="3" xfId="1" applyFont="1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9" fontId="2" fillId="2" borderId="0" xfId="1" applyFont="1" applyFill="1" applyBorder="1" applyAlignment="1">
      <alignment horizontal="center"/>
    </xf>
    <xf numFmtId="167" fontId="2" fillId="0" borderId="0" xfId="0" applyNumberFormat="1" applyFont="1" applyAlignment="1">
      <alignment horizontal="right"/>
    </xf>
    <xf numFmtId="0" fontId="2" fillId="0" borderId="0" xfId="0" applyFont="1" applyFill="1"/>
    <xf numFmtId="0" fontId="2" fillId="0" borderId="0" xfId="0" applyFont="1" applyFill="1" applyBorder="1" applyAlignment="1">
      <alignment horizontal="right"/>
    </xf>
    <xf numFmtId="10" fontId="6" fillId="0" borderId="0" xfId="1" applyNumberFormat="1" applyFont="1" applyAlignment="1">
      <alignment horizontal="right"/>
    </xf>
    <xf numFmtId="10" fontId="6" fillId="0" borderId="0" xfId="1" applyNumberFormat="1" applyFont="1"/>
    <xf numFmtId="174" fontId="2" fillId="0" borderId="0" xfId="0" applyNumberFormat="1" applyFont="1" applyAlignment="1">
      <alignment horizontal="right"/>
    </xf>
    <xf numFmtId="175" fontId="4" fillId="3" borderId="3" xfId="0" applyNumberFormat="1" applyFont="1" applyFill="1" applyBorder="1" applyAlignment="1">
      <alignment horizontal="center" vertical="center"/>
    </xf>
    <xf numFmtId="175" fontId="2" fillId="0" borderId="0" xfId="0" applyNumberFormat="1" applyFont="1" applyBorder="1" applyAlignment="1">
      <alignment horizontal="right"/>
    </xf>
    <xf numFmtId="9" fontId="2" fillId="2" borderId="0" xfId="0" applyNumberFormat="1" applyFont="1" applyFill="1" applyAlignment="1">
      <alignment horizontal="center"/>
    </xf>
    <xf numFmtId="9" fontId="2" fillId="2" borderId="0" xfId="1" applyFont="1" applyFill="1" applyAlignment="1">
      <alignment horizontal="right" indent="1"/>
    </xf>
    <xf numFmtId="169" fontId="2" fillId="2" borderId="0" xfId="0" applyNumberFormat="1" applyFont="1" applyFill="1" applyBorder="1"/>
    <xf numFmtId="0" fontId="2" fillId="2" borderId="0" xfId="0" applyFont="1" applyFill="1" applyBorder="1" applyAlignment="1">
      <alignment horizontal="center" vertical="center"/>
    </xf>
    <xf numFmtId="0" fontId="4" fillId="0" borderId="0" xfId="0" applyFont="1" applyAlignment="1">
      <alignment horizontal="center" wrapText="1"/>
    </xf>
    <xf numFmtId="0" fontId="2" fillId="0" borderId="5" xfId="0" applyFont="1" applyBorder="1" applyAlignment="1">
      <alignment horizontal="left" wrapText="1" indent="1"/>
    </xf>
    <xf numFmtId="0" fontId="4" fillId="5" borderId="2" xfId="0" applyFont="1" applyFill="1" applyBorder="1" applyAlignment="1">
      <alignment horizontal="center" wrapText="1"/>
    </xf>
    <xf numFmtId="169" fontId="4" fillId="5" borderId="2" xfId="0" applyNumberFormat="1" applyFont="1" applyFill="1" applyBorder="1" applyAlignment="1">
      <alignment horizontal="center" wrapText="1"/>
    </xf>
    <xf numFmtId="3" fontId="4" fillId="5" borderId="2" xfId="0" applyNumberFormat="1" applyFont="1" applyFill="1" applyBorder="1" applyAlignment="1">
      <alignment horizontal="center" wrapText="1"/>
    </xf>
    <xf numFmtId="176" fontId="2" fillId="0" borderId="0" xfId="0" applyNumberFormat="1" applyFont="1" applyAlignment="1">
      <alignment horizontal="right" indent="1"/>
    </xf>
    <xf numFmtId="177" fontId="2" fillId="0" borderId="0" xfId="0" applyNumberFormat="1" applyFont="1"/>
    <xf numFmtId="178" fontId="2" fillId="0" borderId="0" xfId="0" applyNumberFormat="1" applyFont="1" applyBorder="1" applyAlignment="1">
      <alignment horizontal="right" indent="1"/>
    </xf>
    <xf numFmtId="10" fontId="9" fillId="0" borderId="0" xfId="1" applyNumberFormat="1" applyFont="1" applyBorder="1" applyAlignment="1">
      <alignment horizontal="right" indent="1"/>
    </xf>
    <xf numFmtId="0" fontId="9" fillId="0" borderId="0" xfId="0" applyFont="1" applyBorder="1" applyAlignment="1">
      <alignment horizontal="left"/>
    </xf>
    <xf numFmtId="169" fontId="2" fillId="0" borderId="0" xfId="0" applyNumberFormat="1" applyFont="1" applyFill="1" applyBorder="1"/>
    <xf numFmtId="0" fontId="2" fillId="0" borderId="0" xfId="0" applyFont="1" applyFill="1" applyBorder="1" applyAlignment="1">
      <alignment horizontal="center" vertical="center"/>
    </xf>
    <xf numFmtId="0" fontId="9" fillId="0" borderId="0" xfId="0" applyFont="1" applyFill="1" applyBorder="1"/>
    <xf numFmtId="169" fontId="9" fillId="0" borderId="0" xfId="0" applyNumberFormat="1" applyFont="1" applyFill="1" applyBorder="1"/>
    <xf numFmtId="165" fontId="9" fillId="0" borderId="0" xfId="0" applyNumberFormat="1" applyFont="1" applyFill="1" applyBorder="1"/>
    <xf numFmtId="3" fontId="2" fillId="0" borderId="0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0" borderId="2" xfId="0" applyFont="1" applyFill="1" applyBorder="1"/>
    <xf numFmtId="169" fontId="2" fillId="0" borderId="2" xfId="0" applyNumberFormat="1" applyFont="1" applyFill="1" applyBorder="1"/>
    <xf numFmtId="3" fontId="2" fillId="0" borderId="2" xfId="0" applyNumberFormat="1" applyFont="1" applyFill="1" applyBorder="1"/>
    <xf numFmtId="0" fontId="2" fillId="0" borderId="2" xfId="0" applyFont="1" applyFill="1" applyBorder="1" applyAlignment="1">
      <alignment horizontal="center"/>
    </xf>
    <xf numFmtId="172" fontId="2" fillId="0" borderId="0" xfId="1" applyNumberFormat="1" applyFont="1" applyAlignment="1">
      <alignment horizontal="right" indent="1"/>
    </xf>
    <xf numFmtId="173" fontId="2" fillId="0" borderId="0" xfId="0" applyNumberFormat="1" applyFont="1" applyAlignment="1">
      <alignment horizontal="center" vertical="center"/>
    </xf>
    <xf numFmtId="0" fontId="2" fillId="0" borderId="0" xfId="0" applyFont="1" applyBorder="1" applyAlignment="1">
      <alignment vertical="center"/>
    </xf>
    <xf numFmtId="0" fontId="17" fillId="0" borderId="0" xfId="0" applyFont="1" applyBorder="1" applyAlignment="1">
      <alignment horizontal="right"/>
    </xf>
    <xf numFmtId="0" fontId="17" fillId="0" borderId="0" xfId="0" applyFont="1" applyBorder="1"/>
    <xf numFmtId="165" fontId="17" fillId="0" borderId="0" xfId="0" applyNumberFormat="1" applyFont="1" applyBorder="1"/>
    <xf numFmtId="9" fontId="2" fillId="2" borderId="3" xfId="1" applyFont="1" applyFill="1" applyBorder="1" applyAlignment="1">
      <alignment horizontal="center" vertical="center"/>
    </xf>
    <xf numFmtId="3" fontId="2" fillId="0" borderId="0" xfId="0" applyNumberFormat="1" applyFont="1" applyBorder="1" applyAlignment="1">
      <alignment horizontal="right" wrapText="1"/>
    </xf>
    <xf numFmtId="3" fontId="2" fillId="0" borderId="0" xfId="0" applyNumberFormat="1" applyFont="1" applyBorder="1"/>
    <xf numFmtId="0" fontId="2" fillId="0" borderId="0" xfId="0" applyFont="1" applyBorder="1" applyAlignment="1">
      <alignment horizontal="center"/>
    </xf>
    <xf numFmtId="0" fontId="10" fillId="0" borderId="0" xfId="0" applyFont="1" applyBorder="1"/>
    <xf numFmtId="0" fontId="8" fillId="0" borderId="0" xfId="0" applyFont="1" applyAlignment="1">
      <alignment horizontal="center" vertical="center"/>
    </xf>
    <xf numFmtId="0" fontId="16" fillId="0" borderId="12" xfId="0" applyFont="1" applyBorder="1" applyAlignment="1">
      <alignment horizontal="center"/>
    </xf>
    <xf numFmtId="0" fontId="16" fillId="0" borderId="0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0" fontId="18" fillId="0" borderId="0" xfId="0" applyFont="1" applyAlignment="1">
      <alignment horizontal="center" vertical="center"/>
    </xf>
    <xf numFmtId="0" fontId="18" fillId="0" borderId="0" xfId="0" applyFont="1" applyBorder="1" applyAlignment="1">
      <alignment horizontal="center" vertical="center" wrapText="1"/>
    </xf>
    <xf numFmtId="0" fontId="7" fillId="0" borderId="0" xfId="0" applyFont="1" applyAlignment="1">
      <alignment horizontal="center" vertical="center"/>
    </xf>
  </cellXfs>
  <cellStyles count="3">
    <cellStyle name="Обычный" xfId="0" builtinId="0"/>
    <cellStyle name="Процентный" xfId="1" builtinId="5"/>
    <cellStyle name="Финансовый" xfId="2" builtinId="3"/>
  </cellStyles>
  <dxfs count="1">
    <dxf>
      <fill>
        <patternFill>
          <bgColor theme="0" tint="-4.9989318521683403E-2"/>
        </patternFill>
      </fill>
      <border diagonalUp="0" diagonalDown="0">
        <left/>
        <right/>
        <top/>
        <bottom/>
        <vertical/>
        <horizontal/>
      </border>
    </dxf>
  </dxfs>
  <tableStyles count="1" defaultTableStyle="TableStyleMedium2" defaultPivotStyle="PivotStyleLight16">
    <tableStyle name="Стиль таблицы 1" pivot="0" count="1">
      <tableStyleElement type="firstRowStripe" dxfId="0"/>
    </tableStyle>
  </tableStyles>
  <colors>
    <mruColors>
      <color rgb="FFFFFF66"/>
      <color rgb="FF3333FF"/>
      <color rgb="FFFFFFDC"/>
      <color rgb="FFFF2929"/>
      <color rgb="FFE6E6E6"/>
      <color rgb="FF1003BD"/>
      <color rgb="FFFFA7A7"/>
      <color rgb="FFFFD2B7"/>
      <color rgb="FFFFAA75"/>
      <color rgb="FFFFBF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activeX1.xml><?xml version="1.0" encoding="utf-8"?>
<ax:ocx xmlns:ax="http://schemas.microsoft.com/office/2006/activeX" xmlns:r="http://schemas.openxmlformats.org/officeDocument/2006/relationships" ax:classid="{DFD181E0-5E2F-11CE-A449-00AA004A803D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activeX/activeX3.xml><?xml version="1.0" encoding="utf-8"?>
<ax:ocx xmlns:ax="http://schemas.microsoft.com/office/2006/activeX" xmlns:r="http://schemas.openxmlformats.org/officeDocument/2006/relationships" ax:classid="{8BD21D40-EC42-11CE-9E0D-00AA006002F3}" ax:persistence="persistStreamInit" r:id="rId1"/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jpg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jpg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ln w="3175">
                  <a:noFill/>
                </a:ln>
                <a:solidFill>
                  <a:srgbClr val="FF2929"/>
                </a:solidFill>
                <a:effectLst>
                  <a:glow rad="38100">
                    <a:schemeClr val="bg1">
                      <a:alpha val="40000"/>
                    </a:schemeClr>
                  </a:glow>
                </a:effectLst>
                <a:latin typeface="+mn-lt"/>
                <a:ea typeface="+mn-ea"/>
                <a:cs typeface="Calibri Light" panose="020F0302020204030204" pitchFamily="34" charset="0"/>
              </a:defRPr>
            </a:pPr>
            <a:r>
              <a:rPr lang="en-US" sz="1600" b="1">
                <a:ln w="3175">
                  <a:noFill/>
                </a:ln>
                <a:solidFill>
                  <a:srgbClr val="FF2929"/>
                </a:solidFill>
                <a:effectLst>
                  <a:glow rad="38100">
                    <a:schemeClr val="bg1">
                      <a:alpha val="40000"/>
                    </a:schemeClr>
                  </a:glow>
                </a:effectLst>
                <a:latin typeface="+mn-lt"/>
                <a:cs typeface="Calibri Light" panose="020F0302020204030204" pitchFamily="34" charset="0"/>
              </a:rPr>
              <a:t>Equity NPV</a:t>
            </a:r>
            <a:endParaRPr lang="ru-RU" sz="1600" b="1">
              <a:ln w="3175">
                <a:noFill/>
              </a:ln>
              <a:solidFill>
                <a:srgbClr val="FF2929"/>
              </a:solidFill>
              <a:effectLst>
                <a:glow rad="38100">
                  <a:schemeClr val="bg1">
                    <a:alpha val="40000"/>
                  </a:schemeClr>
                </a:glow>
              </a:effectLst>
              <a:latin typeface="+mn-lt"/>
              <a:cs typeface="Calibri Light" panose="020F0302020204030204" pitchFamily="34" charset="0"/>
            </a:endParaRPr>
          </a:p>
        </c:rich>
      </c:tx>
      <c:layout>
        <c:manualLayout>
          <c:xMode val="edge"/>
          <c:yMode val="edge"/>
          <c:x val="0.39966924040197571"/>
          <c:y val="4.576907805561514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ln w="3175">
                <a:noFill/>
              </a:ln>
              <a:solidFill>
                <a:srgbClr val="FF2929"/>
              </a:solidFill>
              <a:effectLst>
                <a:glow rad="38100">
                  <a:schemeClr val="bg1">
                    <a:alpha val="40000"/>
                  </a:schemeClr>
                </a:glow>
              </a:effectLst>
              <a:latin typeface="+mn-lt"/>
              <a:ea typeface="+mn-ea"/>
              <a:cs typeface="Calibri Light" panose="020F0302020204030204" pitchFamily="34" charset="0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5400" cap="rnd">
              <a:solidFill>
                <a:srgbClr val="FF0000"/>
              </a:solidFill>
              <a:round/>
            </a:ln>
            <a:effectLst>
              <a:outerShdw blurRad="38100" dist="25400" dir="2700000" algn="tl" rotWithShape="0">
                <a:schemeClr val="tx1">
                  <a:alpha val="40000"/>
                </a:schemeClr>
              </a:outerShdw>
            </a:effectLst>
          </c:spPr>
          <c:marker>
            <c:symbol val="none"/>
          </c:marker>
          <c:dLbls>
            <c:delete val="1"/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CF!$F$7:$DI$7</c15:sqref>
                  </c15:fullRef>
                </c:ext>
              </c:extLst>
              <c:f>(CF!$F$7,CF!$I$7,CF!$L$7,CF!$O$7,CF!$R$7,CF!$U$7,CF!$X$7,CF!$AA$7,CF!$AD$7,CF!$AG$7,CF!$AJ$7,CF!$AM$7,CF!$AP$7,CF!$AS$7,CF!$AV$7,CF!$AY$7,CF!$BB$7,CF!$BE$7,CF!$BH$7,CF!$BK$7,CF!$BN$7,CF!$BQ$7,CF!$BT$7,CF!$BW$7,CF!$BZ$7,CF!$CC$7,CF!$CF$7,CF!$CI$7,CF!$CL$7,CF!$CO$7,CF!$CR$7,CF!$CU$7,CF!$CX$7,CF!$DA$7,CF!$DD$7,CF!$DG$7,CF!$DI$7)</c:f>
              <c:numCache>
                <c:formatCode>[$-419]mmmm\ yy;@</c:formatCode>
                <c:ptCount val="37"/>
                <c:pt idx="0">
                  <c:v>44378</c:v>
                </c:pt>
                <c:pt idx="1">
                  <c:v>44470</c:v>
                </c:pt>
                <c:pt idx="2">
                  <c:v>44562</c:v>
                </c:pt>
                <c:pt idx="3">
                  <c:v>44652</c:v>
                </c:pt>
                <c:pt idx="4">
                  <c:v>44743</c:v>
                </c:pt>
                <c:pt idx="5">
                  <c:v>44835</c:v>
                </c:pt>
                <c:pt idx="6">
                  <c:v>44927</c:v>
                </c:pt>
                <c:pt idx="7">
                  <c:v>45017</c:v>
                </c:pt>
                <c:pt idx="8">
                  <c:v>45108</c:v>
                </c:pt>
                <c:pt idx="9">
                  <c:v>45200</c:v>
                </c:pt>
                <c:pt idx="10">
                  <c:v>45292</c:v>
                </c:pt>
                <c:pt idx="11">
                  <c:v>45383</c:v>
                </c:pt>
                <c:pt idx="12">
                  <c:v>45474</c:v>
                </c:pt>
                <c:pt idx="13">
                  <c:v>45566</c:v>
                </c:pt>
                <c:pt idx="14">
                  <c:v>45658</c:v>
                </c:pt>
                <c:pt idx="15">
                  <c:v>45748</c:v>
                </c:pt>
                <c:pt idx="16">
                  <c:v>45839</c:v>
                </c:pt>
                <c:pt idx="17">
                  <c:v>45931</c:v>
                </c:pt>
                <c:pt idx="18">
                  <c:v>46023</c:v>
                </c:pt>
                <c:pt idx="19">
                  <c:v>46113</c:v>
                </c:pt>
                <c:pt idx="20">
                  <c:v>46204</c:v>
                </c:pt>
                <c:pt idx="21">
                  <c:v>46296</c:v>
                </c:pt>
                <c:pt idx="22">
                  <c:v>46388</c:v>
                </c:pt>
                <c:pt idx="23">
                  <c:v>46478</c:v>
                </c:pt>
                <c:pt idx="24">
                  <c:v>46569</c:v>
                </c:pt>
                <c:pt idx="25">
                  <c:v>46661</c:v>
                </c:pt>
                <c:pt idx="26">
                  <c:v>46753</c:v>
                </c:pt>
                <c:pt idx="27">
                  <c:v>46844</c:v>
                </c:pt>
                <c:pt idx="28">
                  <c:v>46935</c:v>
                </c:pt>
                <c:pt idx="29">
                  <c:v>47027</c:v>
                </c:pt>
                <c:pt idx="30">
                  <c:v>47119</c:v>
                </c:pt>
                <c:pt idx="31">
                  <c:v>47209</c:v>
                </c:pt>
                <c:pt idx="32">
                  <c:v>47300</c:v>
                </c:pt>
                <c:pt idx="33">
                  <c:v>47392</c:v>
                </c:pt>
                <c:pt idx="34">
                  <c:v>47484</c:v>
                </c:pt>
                <c:pt idx="35">
                  <c:v>47574</c:v>
                </c:pt>
                <c:pt idx="36">
                  <c:v>47635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CF!$F$43:$DI$43</c15:sqref>
                  </c15:fullRef>
                </c:ext>
              </c:extLst>
              <c:f>(CF!$F$43,CF!$I$43,CF!$L$43,CF!$O$43,CF!$R$43,CF!$U$43,CF!$X$43,CF!$AA$43,CF!$AD$43,CF!$AG$43,CF!$AJ$43,CF!$AM$43,CF!$AP$43,CF!$AS$43,CF!$AV$43,CF!$AY$43,CF!$BB$43,CF!$BE$43,CF!$BH$43,CF!$BK$43,CF!$BN$43,CF!$BQ$43,CF!$BT$43,CF!$BW$43,CF!$BZ$43,CF!$CC$43,CF!$CF$43,CF!$CI$43,CF!$CL$43,CF!$CO$43,CF!$CR$43,CF!$CU$43,CF!$CX$43,CF!$DA$43,CF!$DD$43,CF!$DG$43,CF!$DI$43)</c:f>
              <c:numCache>
                <c:formatCode>#\ ##0;\(#\ ##0\);""</c:formatCode>
                <c:ptCount val="37"/>
                <c:pt idx="0">
                  <c:v>-39325.026379959483</c:v>
                </c:pt>
                <c:pt idx="1">
                  <c:v>-53494.992195951025</c:v>
                </c:pt>
                <c:pt idx="2">
                  <c:v>-63306.46721023717</c:v>
                </c:pt>
                <c:pt idx="3">
                  <c:v>-69271.033369656827</c:v>
                </c:pt>
                <c:pt idx="4">
                  <c:v>-71011.232760116429</c:v>
                </c:pt>
                <c:pt idx="5">
                  <c:v>-71028.6352157363</c:v>
                </c:pt>
                <c:pt idx="6">
                  <c:v>-71550.365783513218</c:v>
                </c:pt>
                <c:pt idx="7">
                  <c:v>-71768.665334656645</c:v>
                </c:pt>
                <c:pt idx="8">
                  <c:v>-71698.707507839572</c:v>
                </c:pt>
                <c:pt idx="9">
                  <c:v>-71355.081558292237</c:v>
                </c:pt>
                <c:pt idx="10">
                  <c:v>-70751.812671077249</c:v>
                </c:pt>
                <c:pt idx="11">
                  <c:v>-69902.381604080816</c:v>
                </c:pt>
                <c:pt idx="12">
                  <c:v>-68819.743682189888</c:v>
                </c:pt>
                <c:pt idx="13">
                  <c:v>-67516.347163449507</c:v>
                </c:pt>
                <c:pt idx="14">
                  <c:v>-66004.150997340621</c:v>
                </c:pt>
                <c:pt idx="15">
                  <c:v>-64294.641994684178</c:v>
                </c:pt>
                <c:pt idx="16">
                  <c:v>-62398.851428063565</c:v>
                </c:pt>
                <c:pt idx="17">
                  <c:v>-60327.371081061792</c:v>
                </c:pt>
                <c:pt idx="18">
                  <c:v>-58090.368764033694</c:v>
                </c:pt>
                <c:pt idx="19">
                  <c:v>-55697.603313574233</c:v>
                </c:pt>
                <c:pt idx="20">
                  <c:v>-53158.439092303161</c:v>
                </c:pt>
                <c:pt idx="21">
                  <c:v>-44815.916232458592</c:v>
                </c:pt>
                <c:pt idx="22">
                  <c:v>-34580.119951896464</c:v>
                </c:pt>
                <c:pt idx="23">
                  <c:v>-24546.378173913967</c:v>
                </c:pt>
                <c:pt idx="24">
                  <c:v>-14710.804984154598</c:v>
                </c:pt>
                <c:pt idx="25">
                  <c:v>-5069.5859325205811</c:v>
                </c:pt>
                <c:pt idx="26">
                  <c:v>4381.0231741862926</c:v>
                </c:pt>
                <c:pt idx="27">
                  <c:v>13644.697462881612</c:v>
                </c:pt>
                <c:pt idx="28">
                  <c:v>22725.044168169283</c:v>
                </c:pt>
                <c:pt idx="29">
                  <c:v>31625.603789768</c:v>
                </c:pt>
                <c:pt idx="30">
                  <c:v>40349.851233500376</c:v>
                </c:pt>
                <c:pt idx="31">
                  <c:v>48901.196935956621</c:v>
                </c:pt>
                <c:pt idx="32">
                  <c:v>57282.98797294921</c:v>
                </c:pt>
                <c:pt idx="33">
                  <c:v>65498.509151879538</c:v>
                </c:pt>
                <c:pt idx="34">
                  <c:v>73550.984088141355</c:v>
                </c:pt>
                <c:pt idx="35">
                  <c:v>81443.576265689553</c:v>
                </c:pt>
                <c:pt idx="36">
                  <c:v>87124.619797776031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DFBF-40EF-B8F9-3AEFE60896B4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smooth val="0"/>
        <c:axId val="210898880"/>
        <c:axId val="210901832"/>
      </c:lineChart>
      <c:dateAx>
        <c:axId val="210898880"/>
        <c:scaling>
          <c:orientation val="minMax"/>
        </c:scaling>
        <c:delete val="0"/>
        <c:axPos val="b"/>
        <c:numFmt formatCode="[$-419]mmmm\ yy;@" sourceLinked="1"/>
        <c:majorTickMark val="out"/>
        <c:minorTickMark val="none"/>
        <c:tickLblPos val="nextTo"/>
        <c:spPr>
          <a:noFill/>
          <a:ln w="9525" cap="flat" cmpd="sng" algn="ctr">
            <a:solidFill>
              <a:srgbClr val="FF0000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effectLst>
                  <a:glow rad="25400">
                    <a:schemeClr val="bg1">
                      <a:alpha val="40000"/>
                    </a:schemeClr>
                  </a:glow>
                  <a:outerShdw blurRad="50800" dist="38100" dir="2700000" algn="tl" rotWithShape="0">
                    <a:schemeClr val="bg1">
                      <a:alpha val="40000"/>
                    </a:schemeClr>
                  </a:outerShdw>
                </a:effectLst>
                <a:latin typeface="Calibri Light" panose="020F0302020204030204" pitchFamily="34" charset="0"/>
                <a:ea typeface="+mn-ea"/>
                <a:cs typeface="Calibri Light" panose="020F0302020204030204" pitchFamily="34" charset="0"/>
              </a:defRPr>
            </a:pPr>
            <a:endParaRPr lang="ru-RU"/>
          </a:p>
        </c:txPr>
        <c:crossAx val="210901832"/>
        <c:crosses val="autoZero"/>
        <c:auto val="1"/>
        <c:lblOffset val="100"/>
        <c:baseTimeUnit val="months"/>
      </c:dateAx>
      <c:valAx>
        <c:axId val="2109018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bg1">
                  <a:lumMod val="65000"/>
                  <a:alpha val="18000"/>
                </a:schemeClr>
              </a:solidFill>
              <a:round/>
            </a:ln>
            <a:effectLst/>
          </c:spPr>
        </c:majorGridlines>
        <c:numFmt formatCode="#\ ##0;\(#\ ##0\);&quot;&quot;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effectLst>
                  <a:glow rad="25400">
                    <a:schemeClr val="bg1">
                      <a:alpha val="40000"/>
                    </a:schemeClr>
                  </a:glow>
                </a:effectLst>
                <a:latin typeface="Calibri Light" panose="020F0302020204030204" pitchFamily="34" charset="0"/>
                <a:ea typeface="+mn-ea"/>
                <a:cs typeface="Calibri Light" panose="020F0302020204030204" pitchFamily="34" charset="0"/>
              </a:defRPr>
            </a:pPr>
            <a:endParaRPr lang="ru-RU"/>
          </a:p>
        </c:txPr>
        <c:crossAx val="2108988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blipFill dpi="0" rotWithShape="1">
      <a:blip xmlns:r="http://schemas.openxmlformats.org/officeDocument/2006/relationships" r:embed="rId3">
        <a:alphaModFix amt="25000"/>
      </a:blip>
      <a:srcRect/>
      <a:stretch>
        <a:fillRect/>
      </a:stretch>
    </a:blipFill>
    <a:ln w="3175">
      <a:solidFill>
        <a:srgbClr val="FF0000"/>
      </a:solidFill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rgbClr val="FF0000"/>
                </a:solidFill>
                <a:latin typeface="+mn-lt"/>
                <a:ea typeface="+mn-ea"/>
                <a:cs typeface="Calibri Light" panose="020F0302020204030204" pitchFamily="34" charset="0"/>
              </a:defRPr>
            </a:pPr>
            <a:r>
              <a:rPr lang="ru-RU" sz="1600" b="0">
                <a:solidFill>
                  <a:srgbClr val="FF0000"/>
                </a:solidFill>
                <a:latin typeface="+mn-lt"/>
                <a:cs typeface="Calibri Light" panose="020F0302020204030204" pitchFamily="34" charset="0"/>
              </a:rPr>
              <a:t>Операционные</a:t>
            </a:r>
            <a:r>
              <a:rPr lang="ru-RU" sz="1600" b="0" baseline="0">
                <a:solidFill>
                  <a:srgbClr val="FF0000"/>
                </a:solidFill>
                <a:latin typeface="+mn-lt"/>
                <a:cs typeface="Calibri Light" panose="020F0302020204030204" pitchFamily="34" charset="0"/>
              </a:rPr>
              <a:t> д</a:t>
            </a:r>
            <a:r>
              <a:rPr lang="ru-RU" sz="1600" b="0">
                <a:solidFill>
                  <a:srgbClr val="FF0000"/>
                </a:solidFill>
                <a:latin typeface="+mn-lt"/>
                <a:cs typeface="Calibri Light" panose="020F0302020204030204" pitchFamily="34" charset="0"/>
              </a:rPr>
              <a:t>оходы и расходы</a:t>
            </a:r>
          </a:p>
        </c:rich>
      </c:tx>
      <c:layout>
        <c:manualLayout>
          <c:xMode val="edge"/>
          <c:yMode val="edge"/>
          <c:x val="0.19525868821371148"/>
          <c:y val="4.169439594109313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rgbClr val="FF0000"/>
              </a:solidFill>
              <a:latin typeface="+mn-lt"/>
              <a:ea typeface="+mn-ea"/>
              <a:cs typeface="Calibri Light" panose="020F0302020204030204" pitchFamily="34" charset="0"/>
            </a:defRPr>
          </a:pPr>
          <a:endParaRPr lang="ru-RU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Доходы</c:v>
          </c:tx>
          <c:spPr>
            <a:ln w="22225" cap="rnd">
              <a:solidFill>
                <a:srgbClr val="3333FF"/>
              </a:solidFill>
              <a:round/>
            </a:ln>
            <a:effectLst>
              <a:outerShdw blurRad="38100" dist="25400" dir="2700000" algn="tl" rotWithShape="0">
                <a:schemeClr val="bg1">
                  <a:alpha val="40000"/>
                </a:schemeClr>
              </a:outerShdw>
            </a:effectLst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PL!$F$2:$DI$2</c15:sqref>
                  </c15:fullRef>
                </c:ext>
              </c:extLst>
              <c:f>(PL!$F$2,PL!$K$2,PL!$Q$2,PL!$W$2,PL!$AC$2,PL!$AI$2,PL!$AO$2,PL!$AU$2,PL!$BA$2,PL!$BG$2,PL!$BM$2,PL!$BS$2,PL!$BY$2,PL!$CE$2,PL!$CK$2,PL!$CQ$2,PL!$CW$2,PL!$DC$2,PL!$DI$2)</c:f>
              <c:numCache>
                <c:formatCode>[$-419]mmmm\ yy;@</c:formatCode>
                <c:ptCount val="19"/>
                <c:pt idx="0">
                  <c:v>44378</c:v>
                </c:pt>
                <c:pt idx="1">
                  <c:v>44531</c:v>
                </c:pt>
                <c:pt idx="2">
                  <c:v>44713</c:v>
                </c:pt>
                <c:pt idx="3">
                  <c:v>44896</c:v>
                </c:pt>
                <c:pt idx="4">
                  <c:v>45078</c:v>
                </c:pt>
                <c:pt idx="5">
                  <c:v>45261</c:v>
                </c:pt>
                <c:pt idx="6">
                  <c:v>45444</c:v>
                </c:pt>
                <c:pt idx="7">
                  <c:v>45627</c:v>
                </c:pt>
                <c:pt idx="8">
                  <c:v>45809</c:v>
                </c:pt>
                <c:pt idx="9">
                  <c:v>45992</c:v>
                </c:pt>
                <c:pt idx="10">
                  <c:v>46174</c:v>
                </c:pt>
                <c:pt idx="11">
                  <c:v>46357</c:v>
                </c:pt>
                <c:pt idx="12">
                  <c:v>46539</c:v>
                </c:pt>
                <c:pt idx="13">
                  <c:v>46722</c:v>
                </c:pt>
                <c:pt idx="14">
                  <c:v>46905</c:v>
                </c:pt>
                <c:pt idx="15">
                  <c:v>47088</c:v>
                </c:pt>
                <c:pt idx="16">
                  <c:v>47270</c:v>
                </c:pt>
                <c:pt idx="17">
                  <c:v>47453</c:v>
                </c:pt>
                <c:pt idx="18">
                  <c:v>47635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PL!$F$6:$DI$6</c15:sqref>
                  </c15:fullRef>
                </c:ext>
              </c:extLst>
              <c:f>(PL!$F$6,PL!$K$6,PL!$Q$6,PL!$W$6,PL!$AC$6,PL!$AI$6,PL!$AO$6,PL!$AU$6,PL!$BA$6,PL!$BG$6,PL!$BM$6,PL!$BS$6,PL!$BY$6,PL!$CE$6,PL!$CK$6,PL!$CQ$6,PL!$CW$6,PL!$DC$6,PL!$DI$6)</c:f>
              <c:numCache>
                <c:formatCode>#,##0</c:formatCode>
                <c:ptCount val="19"/>
                <c:pt idx="0">
                  <c:v>5635.7728000000006</c:v>
                </c:pt>
                <c:pt idx="1">
                  <c:v>7844.224282897133</c:v>
                </c:pt>
                <c:pt idx="2">
                  <c:v>10567.70055282296</c:v>
                </c:pt>
                <c:pt idx="3">
                  <c:v>11212.199564877028</c:v>
                </c:pt>
                <c:pt idx="4">
                  <c:v>11438.320582226095</c:v>
                </c:pt>
                <c:pt idx="5">
                  <c:v>11669.001874674719</c:v>
                </c:pt>
                <c:pt idx="6">
                  <c:v>11904.335411157186</c:v>
                </c:pt>
                <c:pt idx="7">
                  <c:v>12144.4150153829</c:v>
                </c:pt>
                <c:pt idx="8">
                  <c:v>12389.336403242425</c:v>
                </c:pt>
                <c:pt idx="9">
                  <c:v>12639.197220967868</c:v>
                </c:pt>
                <c:pt idx="10">
                  <c:v>12894.097084062847</c:v>
                </c:pt>
                <c:pt idx="11">
                  <c:v>13154.137617017626</c:v>
                </c:pt>
                <c:pt idx="12">
                  <c:v>13419.422493825139</c:v>
                </c:pt>
                <c:pt idx="13">
                  <c:v>13690.057479314182</c:v>
                </c:pt>
                <c:pt idx="14">
                  <c:v>13966.150471316121</c:v>
                </c:pt>
                <c:pt idx="15">
                  <c:v>14247.811543682061</c:v>
                </c:pt>
                <c:pt idx="16">
                  <c:v>14535.1529901675</c:v>
                </c:pt>
                <c:pt idx="17">
                  <c:v>14828.28936920207</c:v>
                </c:pt>
                <c:pt idx="18">
                  <c:v>15127.337549562133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0-AD02-4454-8B90-EB010DF72C4D}"/>
            </c:ext>
          </c:extLst>
        </c:ser>
        <c:ser>
          <c:idx val="1"/>
          <c:order val="1"/>
          <c:tx>
            <c:v>Расходы</c:v>
          </c:tx>
          <c:spPr>
            <a:ln w="28575" cap="rnd">
              <a:solidFill>
                <a:srgbClr val="FF0000"/>
              </a:solidFill>
              <a:round/>
            </a:ln>
            <a:effectLst>
              <a:outerShdw blurRad="50800" dist="38100" dir="2700000" algn="tl" rotWithShape="0">
                <a:schemeClr val="bg1">
                  <a:alpha val="40000"/>
                </a:schemeClr>
              </a:outerShdw>
            </a:effectLst>
          </c:spPr>
          <c:marker>
            <c:symbol val="none"/>
          </c:marker>
          <c:cat>
            <c:numRef>
              <c:extLst>
                <c:ext xmlns:c15="http://schemas.microsoft.com/office/drawing/2012/chart" uri="{02D57815-91ED-43cb-92C2-25804820EDAC}">
                  <c15:fullRef>
                    <c15:sqref>PL!$F$2:$DI$2</c15:sqref>
                  </c15:fullRef>
                </c:ext>
              </c:extLst>
              <c:f>(PL!$F$2,PL!$K$2,PL!$Q$2,PL!$W$2,PL!$AC$2,PL!$AI$2,PL!$AO$2,PL!$AU$2,PL!$BA$2,PL!$BG$2,PL!$BM$2,PL!$BS$2,PL!$BY$2,PL!$CE$2,PL!$CK$2,PL!$CQ$2,PL!$CW$2,PL!$DC$2,PL!$DI$2)</c:f>
              <c:numCache>
                <c:formatCode>[$-419]mmmm\ yy;@</c:formatCode>
                <c:ptCount val="19"/>
                <c:pt idx="0">
                  <c:v>44378</c:v>
                </c:pt>
                <c:pt idx="1">
                  <c:v>44531</c:v>
                </c:pt>
                <c:pt idx="2">
                  <c:v>44713</c:v>
                </c:pt>
                <c:pt idx="3">
                  <c:v>44896</c:v>
                </c:pt>
                <c:pt idx="4">
                  <c:v>45078</c:v>
                </c:pt>
                <c:pt idx="5">
                  <c:v>45261</c:v>
                </c:pt>
                <c:pt idx="6">
                  <c:v>45444</c:v>
                </c:pt>
                <c:pt idx="7">
                  <c:v>45627</c:v>
                </c:pt>
                <c:pt idx="8">
                  <c:v>45809</c:v>
                </c:pt>
                <c:pt idx="9">
                  <c:v>45992</c:v>
                </c:pt>
                <c:pt idx="10">
                  <c:v>46174</c:v>
                </c:pt>
                <c:pt idx="11">
                  <c:v>46357</c:v>
                </c:pt>
                <c:pt idx="12">
                  <c:v>46539</c:v>
                </c:pt>
                <c:pt idx="13">
                  <c:v>46722</c:v>
                </c:pt>
                <c:pt idx="14">
                  <c:v>46905</c:v>
                </c:pt>
                <c:pt idx="15">
                  <c:v>47088</c:v>
                </c:pt>
                <c:pt idx="16">
                  <c:v>47270</c:v>
                </c:pt>
                <c:pt idx="17">
                  <c:v>47453</c:v>
                </c:pt>
                <c:pt idx="18">
                  <c:v>47635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PL!$F$10:$DI$10</c15:sqref>
                  </c15:fullRef>
                </c:ext>
              </c:extLst>
              <c:f>(PL!$F$10,PL!$K$10,PL!$Q$10,PL!$W$10,PL!$AC$10,PL!$AI$10,PL!$AO$10,PL!$AU$10,PL!$BA$10,PL!$BG$10,PL!$BM$10,PL!$BS$10,PL!$BY$10,PL!$CE$10,PL!$CK$10,PL!$CQ$10,PL!$CW$10,PL!$DC$10,PL!$DI$10)</c:f>
              <c:numCache>
                <c:formatCode>#,##0</c:formatCode>
                <c:ptCount val="19"/>
                <c:pt idx="0">
                  <c:v>4358.1166666666668</c:v>
                </c:pt>
                <c:pt idx="1">
                  <c:v>7422.3841022389051</c:v>
                </c:pt>
                <c:pt idx="2">
                  <c:v>7511.7506884157347</c:v>
                </c:pt>
                <c:pt idx="3">
                  <c:v>6490.5363008777158</c:v>
                </c:pt>
                <c:pt idx="4">
                  <c:v>6561.1099310748523</c:v>
                </c:pt>
                <c:pt idx="5">
                  <c:v>6633.1068485552605</c:v>
                </c:pt>
                <c:pt idx="6">
                  <c:v>6706.5557573360793</c:v>
                </c:pt>
                <c:pt idx="7">
                  <c:v>6781.4859403201062</c:v>
                </c:pt>
                <c:pt idx="8">
                  <c:v>6857.9272709704319</c:v>
                </c:pt>
                <c:pt idx="9">
                  <c:v>6935.9102252204902</c:v>
                </c:pt>
                <c:pt idx="10">
                  <c:v>7015.4658936243513</c:v>
                </c:pt>
                <c:pt idx="11">
                  <c:v>7096.6259937520044</c:v>
                </c:pt>
                <c:pt idx="12">
                  <c:v>7179.4228828346504</c:v>
                </c:pt>
                <c:pt idx="13">
                  <c:v>7263.8895706650273</c:v>
                </c:pt>
                <c:pt idx="14">
                  <c:v>7350.0597327578616</c:v>
                </c:pt>
                <c:pt idx="15">
                  <c:v>7437.9677237757724</c:v>
                </c:pt>
                <c:pt idx="16">
                  <c:v>7527.6485912259177</c:v>
                </c:pt>
                <c:pt idx="17">
                  <c:v>7619.138089432874</c:v>
                </c:pt>
                <c:pt idx="18">
                  <c:v>7712.4726937933256</c:v>
                </c:pt>
              </c:numCache>
            </c:numRef>
          </c:val>
          <c:smooth val="1"/>
          <c:extLst>
            <c:ext xmlns:c16="http://schemas.microsoft.com/office/drawing/2014/chart" uri="{C3380CC4-5D6E-409C-BE32-E72D297353CC}">
              <c16:uniqueId val="{00000001-D6AE-4141-BD5A-07C137DA84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46638168"/>
        <c:axId val="646635216"/>
      </c:lineChart>
      <c:dateAx>
        <c:axId val="646638168"/>
        <c:scaling>
          <c:orientation val="minMax"/>
        </c:scaling>
        <c:delete val="0"/>
        <c:axPos val="b"/>
        <c:numFmt formatCode="[$-419]mmmm\ yy;@" sourceLinked="0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50000"/>
                <a:lumOff val="50000"/>
              </a:schemeClr>
            </a:solidFill>
            <a:round/>
          </a:ln>
          <a:effectLst/>
        </c:spPr>
        <c:txPr>
          <a:bodyPr rot="-270000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effectLst/>
                <a:latin typeface="Calibri Light" panose="020F0302020204030204" pitchFamily="34" charset="0"/>
                <a:ea typeface="+mn-ea"/>
                <a:cs typeface="Calibri Light" panose="020F0302020204030204" pitchFamily="34" charset="0"/>
              </a:defRPr>
            </a:pPr>
            <a:endParaRPr lang="ru-RU"/>
          </a:p>
        </c:txPr>
        <c:crossAx val="646635216"/>
        <c:crosses val="autoZero"/>
        <c:auto val="1"/>
        <c:lblOffset val="100"/>
        <c:baseTimeUnit val="months"/>
      </c:dateAx>
      <c:valAx>
        <c:axId val="646635216"/>
        <c:scaling>
          <c:orientation val="minMax"/>
        </c:scaling>
        <c:delete val="0"/>
        <c:axPos val="l"/>
        <c:majorGridlines>
          <c:spPr>
            <a:ln w="6350" cap="flat" cmpd="sng" algn="ctr">
              <a:solidFill>
                <a:schemeClr val="bg1">
                  <a:lumMod val="9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Calibri Light" panose="020F0302020204030204" pitchFamily="34" charset="0"/>
                <a:ea typeface="+mn-ea"/>
                <a:cs typeface="Calibri Light" panose="020F0302020204030204" pitchFamily="34" charset="0"/>
              </a:defRPr>
            </a:pPr>
            <a:endParaRPr lang="ru-RU"/>
          </a:p>
        </c:txPr>
        <c:crossAx val="6466381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spPr>
    <a:blipFill dpi="0" rotWithShape="1">
      <a:blip xmlns:r="http://schemas.openxmlformats.org/officeDocument/2006/relationships" r:embed="rId3">
        <a:alphaModFix amt="25000"/>
      </a:blip>
      <a:srcRect/>
      <a:stretch>
        <a:fillRect/>
      </a:stretch>
    </a:blipFill>
    <a:ln w="6350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00" normalizeH="0" baseline="0">
                <a:ln w="3175">
                  <a:gradFill>
                    <a:gsLst>
                      <a:gs pos="0">
                        <a:schemeClr val="accent1">
                          <a:lumMod val="5000"/>
                          <a:lumOff val="95000"/>
                        </a:schemeClr>
                      </a:gs>
                      <a:gs pos="74000">
                        <a:srgbClr val="FF0000"/>
                      </a:gs>
                      <a:gs pos="100000">
                        <a:schemeClr val="bg1"/>
                      </a:gs>
                    </a:gsLst>
                    <a:lin ang="5400000" scaled="1"/>
                  </a:gradFill>
                </a:ln>
                <a:solidFill>
                  <a:schemeClr val="lt1"/>
                </a:solidFill>
                <a:effectLst>
                  <a:outerShdw blurRad="76200" dist="635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Calibri Light" panose="020F0302020204030204" pitchFamily="34" charset="0"/>
              </a:defRPr>
            </a:pPr>
            <a:r>
              <a:rPr lang="ru-RU" sz="1600">
                <a:ln w="3175">
                  <a:gradFill>
                    <a:gsLst>
                      <a:gs pos="0">
                        <a:schemeClr val="accent1">
                          <a:lumMod val="5000"/>
                          <a:lumOff val="95000"/>
                        </a:schemeClr>
                      </a:gs>
                      <a:gs pos="74000">
                        <a:srgbClr val="FF0000"/>
                      </a:gs>
                      <a:gs pos="100000">
                        <a:schemeClr val="bg1"/>
                      </a:gs>
                    </a:gsLst>
                    <a:lin ang="5400000" scaled="1"/>
                  </a:gradFill>
                </a:ln>
                <a:effectLst>
                  <a:outerShdw blurRad="76200" dist="635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cs typeface="Calibri Light" panose="020F0302020204030204" pitchFamily="34" charset="0"/>
              </a:rPr>
              <a:t>ЧИСТЫЕ АКТИВЫ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00" normalizeH="0" baseline="0">
              <a:ln w="3175">
                <a:gradFill>
                  <a:gsLst>
                    <a:gs pos="0">
                      <a:schemeClr val="accent1">
                        <a:lumMod val="5000"/>
                        <a:lumOff val="95000"/>
                      </a:schemeClr>
                    </a:gs>
                    <a:gs pos="74000">
                      <a:srgbClr val="FF0000"/>
                    </a:gs>
                    <a:gs pos="100000">
                      <a:schemeClr val="bg1"/>
                    </a:gs>
                  </a:gsLst>
                  <a:lin ang="5400000" scaled="1"/>
                </a:gradFill>
              </a:ln>
              <a:solidFill>
                <a:schemeClr val="lt1"/>
              </a:solidFill>
              <a:effectLst>
                <a:outerShdw blurRad="76200" dist="635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Calibri Light" panose="020F0302020204030204" pitchFamily="34" charset="0"/>
            </a:defRPr>
          </a:pPr>
          <a:endParaRPr lang="ru-RU"/>
        </a:p>
      </c:txPr>
    </c:title>
    <c:autoTitleDeleted val="0"/>
    <c:plotArea>
      <c:layout/>
      <c:areaChart>
        <c:grouping val="stacked"/>
        <c:varyColors val="0"/>
        <c:ser>
          <c:idx val="0"/>
          <c:order val="0"/>
          <c:spPr>
            <a:gradFill>
              <a:gsLst>
                <a:gs pos="0">
                  <a:srgbClr val="FF0000"/>
                </a:gs>
                <a:gs pos="88000">
                  <a:srgbClr val="FF8D8D">
                    <a:alpha val="84000"/>
                  </a:srgbClr>
                </a:gs>
                <a:gs pos="78000">
                  <a:srgbClr val="FF6868">
                    <a:alpha val="77000"/>
                  </a:srgbClr>
                </a:gs>
                <a:gs pos="45000">
                  <a:srgbClr val="FF0D0D"/>
                </a:gs>
                <a:gs pos="100000">
                  <a:schemeClr val="bg1">
                    <a:alpha val="0"/>
                  </a:schemeClr>
                </a:gs>
              </a:gsLst>
              <a:lin ang="5400000" scaled="1"/>
            </a:gradFill>
            <a:ln w="3175">
              <a:solidFill>
                <a:srgbClr val="FF0000"/>
              </a:solidFill>
            </a:ln>
            <a:effectLst/>
          </c:spPr>
          <c:dLbls>
            <c:numFmt formatCode="#\ ##0\ ;\(#\ ##0\ \)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Calibri Light" panose="020F0302020204030204" pitchFamily="34" charset="0"/>
                    <a:ea typeface="+mn-ea"/>
                    <a:cs typeface="Calibri Light" panose="020F0302020204030204" pitchFamily="34" charset="0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accent1">
                          <a:lumMod val="60000"/>
                          <a:lumOff val="40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extLst>
                <c:ext xmlns:c15="http://schemas.microsoft.com/office/drawing/2012/chart" uri="{02D57815-91ED-43cb-92C2-25804820EDAC}">
                  <c15:fullRef>
                    <c15:sqref>BS!$E$3:$DI$3</c15:sqref>
                  </c15:fullRef>
                </c:ext>
              </c:extLst>
              <c:f>(BS!$E$3,BS!$Q$3,BS!$AC$3,BS!$AO$3,BS!$BA$3,BS!$BM$3,BS!$BY$3,BS!$CK$3,BS!$CW$3,BS!$DI$3)</c:f>
              <c:numCache>
                <c:formatCode>dd/mm/yy</c:formatCode>
                <c:ptCount val="10"/>
                <c:pt idx="0">
                  <c:v>44377</c:v>
                </c:pt>
                <c:pt idx="1">
                  <c:v>44742</c:v>
                </c:pt>
                <c:pt idx="2">
                  <c:v>45107</c:v>
                </c:pt>
                <c:pt idx="3">
                  <c:v>45473</c:v>
                </c:pt>
                <c:pt idx="4">
                  <c:v>45838</c:v>
                </c:pt>
                <c:pt idx="5">
                  <c:v>46203</c:v>
                </c:pt>
                <c:pt idx="6">
                  <c:v>46568</c:v>
                </c:pt>
                <c:pt idx="7">
                  <c:v>46934</c:v>
                </c:pt>
                <c:pt idx="8">
                  <c:v>47299</c:v>
                </c:pt>
                <c:pt idx="9">
                  <c:v>47664</c:v>
                </c:pt>
              </c:numCache>
            </c:numRef>
          </c:cat>
          <c:val>
            <c:numRef>
              <c:extLst>
                <c:ext xmlns:c15="http://schemas.microsoft.com/office/drawing/2012/chart" uri="{02D57815-91ED-43cb-92C2-25804820EDAC}">
                  <c15:fullRef>
                    <c15:sqref>BS!$E$32:$DI$32</c15:sqref>
                  </c15:fullRef>
                </c:ext>
              </c:extLst>
              <c:f>(BS!$E$32,BS!$Q$32,BS!$AC$32,BS!$AO$32,BS!$BA$32,BS!$BM$32,BS!$BY$32,BS!$CK$32,BS!$CW$32,BS!$DI$32)</c:f>
              <c:numCache>
                <c:formatCode>#,##0</c:formatCode>
                <c:ptCount val="10"/>
                <c:pt idx="0">
                  <c:v>68153</c:v>
                </c:pt>
                <c:pt idx="1">
                  <c:v>107146.12053088026</c:v>
                </c:pt>
                <c:pt idx="2">
                  <c:v>147111.86041715229</c:v>
                </c:pt>
                <c:pt idx="3">
                  <c:v>193921.01447191092</c:v>
                </c:pt>
                <c:pt idx="4">
                  <c:v>248837.28016824683</c:v>
                </c:pt>
                <c:pt idx="5">
                  <c:v>312190.95374306076</c:v>
                </c:pt>
                <c:pt idx="6">
                  <c:v>382539.24912416801</c:v>
                </c:pt>
                <c:pt idx="7">
                  <c:v>456530.3244639248</c:v>
                </c:pt>
                <c:pt idx="8">
                  <c:v>534211.06570566713</c:v>
                </c:pt>
                <c:pt idx="9">
                  <c:v>615731.79553110024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FF2-45C6-A08E-79F17FBF33A8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dropLines>
          <c:spPr>
            <a:ln w="9525" cap="flat" cmpd="sng" algn="ctr">
              <a:gradFill>
                <a:gsLst>
                  <a:gs pos="0">
                    <a:schemeClr val="lt1"/>
                  </a:gs>
                  <a:gs pos="50000">
                    <a:schemeClr val="lt1">
                      <a:alpha val="0"/>
                    </a:schemeClr>
                  </a:gs>
                </a:gsLst>
                <a:lin ang="5400000" scaled="0"/>
              </a:gradFill>
              <a:round/>
            </a:ln>
            <a:effectLst/>
          </c:spPr>
        </c:dropLines>
        <c:axId val="554527184"/>
        <c:axId val="554517016"/>
      </c:areaChart>
      <c:dateAx>
        <c:axId val="554527184"/>
        <c:scaling>
          <c:orientation val="minMax"/>
        </c:scaling>
        <c:delete val="0"/>
        <c:axPos val="b"/>
        <c:numFmt formatCode="dd/mm/yy" sourceLinked="1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rgbClr val="FF0000"/>
                </a:solidFill>
                <a:effectLst>
                  <a:outerShdw blurRad="50800" dist="38100" dir="5400000" algn="t" rotWithShape="0">
                    <a:schemeClr val="bg1">
                      <a:alpha val="40000"/>
                    </a:schemeClr>
                  </a:outerShdw>
                </a:effectLst>
                <a:latin typeface="+mn-lt"/>
                <a:ea typeface="+mn-ea"/>
                <a:cs typeface="+mn-cs"/>
              </a:defRPr>
            </a:pPr>
            <a:endParaRPr lang="ru-RU"/>
          </a:p>
        </c:txPr>
        <c:crossAx val="554517016"/>
        <c:crosses val="autoZero"/>
        <c:auto val="1"/>
        <c:lblOffset val="100"/>
        <c:baseTimeUnit val="years"/>
      </c:dateAx>
      <c:valAx>
        <c:axId val="554517016"/>
        <c:scaling>
          <c:orientation val="minMax"/>
        </c:scaling>
        <c:delete val="1"/>
        <c:axPos val="l"/>
        <c:numFmt formatCode="#,##0" sourceLinked="1"/>
        <c:majorTickMark val="out"/>
        <c:minorTickMark val="none"/>
        <c:tickLblPos val="nextTo"/>
        <c:crossAx val="5545271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blipFill dpi="0" rotWithShape="1">
      <a:blip xmlns:r="http://schemas.openxmlformats.org/officeDocument/2006/relationships" r:embed="rId3">
        <a:alphaModFix amt="84000"/>
      </a:blip>
      <a:srcRect/>
      <a:stretch>
        <a:fillRect/>
      </a:stretch>
    </a:blipFill>
    <a:ln w="9525" cap="flat" cmpd="sng" algn="ctr">
      <a:noFill/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5">
  <cs:axisTitle>
    <cs:lnRef idx="0"/>
    <cs:fillRef idx="0"/>
    <cs:effectRef idx="0"/>
    <cs:fontRef idx="minor">
      <a:schemeClr val="lt1"/>
    </cs:fontRef>
    <cs:defRPr sz="900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9525" cap="flat" cmpd="sng" algn="ctr">
        <a:solidFill>
          <a:schemeClr val="phClr">
            <a:lumMod val="40000"/>
            <a:lumOff val="60000"/>
            <a:alpha val="25000"/>
          </a:schemeClr>
        </a:solidFill>
        <a:round/>
      </a:ln>
    </cs:spPr>
    <cs:defRPr sz="900" kern="1200"/>
  </cs:categoryAxis>
  <cs:chartArea>
    <cs:lnRef idx="0">
      <cs:styleClr val="0"/>
    </cs:lnRef>
    <cs:fillRef idx="0">
      <cs:styleClr val="0"/>
    </cs:fillRef>
    <cs:effectRef idx="0"/>
    <cs:fontRef idx="minor">
      <a:schemeClr val="lt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/>
    <cs:fontRef idx="minor">
      <a:schemeClr val="tx1"/>
    </cs:fontRef>
    <cs:spPr>
      <a:gradFill>
        <a:gsLst>
          <a:gs pos="0">
            <a:schemeClr val="lt1">
              <a:alpha val="50000"/>
            </a:schemeClr>
          </a:gs>
          <a:gs pos="100000">
            <a:schemeClr val="lt1">
              <a:alpha val="0"/>
            </a:schemeClr>
          </a:gs>
        </a:gsLst>
        <a:lin ang="5400000" scaled="0"/>
      </a:gradFill>
      <a:ln>
        <a:solidFill>
          <a:schemeClr val="phClr"/>
        </a:solidFill>
      </a:ln>
      <a:effectLst>
        <a:innerShdw dist="38100" dir="16200000">
          <a:schemeClr val="lt1"/>
        </a:innerShdw>
      </a:effectLst>
    </cs:spPr>
  </cs:dataPoint>
  <cs:dataPoint3D>
    <cs:lnRef idx="0">
      <cs:styleClr val="auto"/>
    </cs:lnRef>
    <cs:fillRef idx="0"/>
    <cs:effectRef idx="0"/>
    <cs:fontRef idx="minor">
      <a:schemeClr val="lt1"/>
    </cs:fontRef>
    <cs:spPr>
      <a:gradFill>
        <a:gsLst>
          <a:gs pos="0">
            <a:schemeClr val="lt1">
              <a:alpha val="50000"/>
            </a:schemeClr>
          </a:gs>
          <a:gs pos="100000">
            <a:schemeClr val="lt1">
              <a:alpha val="0"/>
            </a:schemeClr>
          </a:gs>
        </a:gsLst>
        <a:lin ang="5400000" scaled="0"/>
      </a:gradFill>
      <a:ln>
        <a:solidFill>
          <a:schemeClr val="phClr"/>
        </a:solidFill>
      </a:ln>
      <a:effectLst>
        <a:innerShdw dist="38100" dir="16200000">
          <a:schemeClr val="lt1"/>
        </a:innerShdw>
      </a:effectLst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lt1"/>
    </cs:fontRef>
    <cs:spPr>
      <a:ln w="34925" cap="rnd">
        <a:solidFill>
          <a:schemeClr val="lt1"/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lt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40000"/>
            <a:lumOff val="60000"/>
            <a:alpha val="25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lt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 cap="flat" cmpd="sng" algn="ctr">
        <a:gradFill>
          <a:gsLst>
            <a:gs pos="0">
              <a:schemeClr val="lt1"/>
            </a:gs>
            <a:gs pos="50000">
              <a:schemeClr val="lt1">
                <a:alpha val="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lt1"/>
    </cs:fontRef>
  </cs:floor>
  <cs:gridlineMajor>
    <cs:lnRef idx="0">
      <cs:styleClr val="0"/>
    </cs:lnRef>
    <cs:fillRef idx="0"/>
    <cs:effectRef idx="0"/>
    <cs:fontRef idx="minor">
      <a:schemeClr val="lt1"/>
    </cs:fontRef>
    <cs:spPr>
      <a:ln>
        <a:solidFill>
          <a:schemeClr val="phClr">
            <a:lumMod val="40000"/>
            <a:lumOff val="60000"/>
            <a:alpha val="25000"/>
          </a:schemeClr>
        </a:solidFill>
      </a:ln>
    </cs:spPr>
  </cs:gridlineMajor>
  <cs:gridlineMinor>
    <cs:lnRef idx="0">
      <cs:styleClr val="0"/>
    </cs:lnRef>
    <cs:fillRef idx="0"/>
    <cs:effectRef idx="0"/>
    <cs:fontRef idx="minor">
      <a:schemeClr val="lt1"/>
    </cs:fontRef>
    <cs:spPr>
      <a:ln>
        <a:solidFill>
          <a:schemeClr val="phClr">
            <a:lumMod val="40000"/>
            <a:lumOff val="60000"/>
            <a:alpha val="25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</cs:hiLoLine>
  <cs:leaderLin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9525" cap="flat" cmpd="sng" algn="ctr">
        <a:solidFill>
          <a:schemeClr val="phClr">
            <a:lumMod val="40000"/>
            <a:lumOff val="60000"/>
            <a:alpha val="25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lt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lt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  <cs:bodyPr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3.emf"/><Relationship Id="rId2" Type="http://schemas.openxmlformats.org/officeDocument/2006/relationships/image" Target="../media/image4.emf"/><Relationship Id="rId1" Type="http://schemas.openxmlformats.org/officeDocument/2006/relationships/image" Target="../media/image5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absolute">
    <xdr:from>
      <xdr:col>16</xdr:col>
      <xdr:colOff>601458</xdr:colOff>
      <xdr:row>3</xdr:row>
      <xdr:rowOff>0</xdr:rowOff>
    </xdr:from>
    <xdr:to>
      <xdr:col>25</xdr:col>
      <xdr:colOff>0</xdr:colOff>
      <xdr:row>22</xdr:row>
      <xdr:rowOff>162</xdr:rowOff>
    </xdr:to>
    <xdr:graphicFrame macro="">
      <xdr:nvGraphicFramePr>
        <xdr:cNvPr id="3" name="Диаграмма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absolute">
    <xdr:from>
      <xdr:col>5</xdr:col>
      <xdr:colOff>395165</xdr:colOff>
      <xdr:row>61</xdr:row>
      <xdr:rowOff>15468</xdr:rowOff>
    </xdr:from>
    <xdr:to>
      <xdr:col>12</xdr:col>
      <xdr:colOff>223715</xdr:colOff>
      <xdr:row>79</xdr:row>
      <xdr:rowOff>101763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18481</xdr:colOff>
      <xdr:row>40</xdr:row>
      <xdr:rowOff>0</xdr:rowOff>
    </xdr:from>
    <xdr:to>
      <xdr:col>12</xdr:col>
      <xdr:colOff>0</xdr:colOff>
      <xdr:row>58</xdr:row>
      <xdr:rowOff>64396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927100</xdr:colOff>
          <xdr:row>2</xdr:row>
          <xdr:rowOff>114300</xdr:rowOff>
        </xdr:from>
        <xdr:to>
          <xdr:col>1</xdr:col>
          <xdr:colOff>2413000</xdr:colOff>
          <xdr:row>3</xdr:row>
          <xdr:rowOff>139700</xdr:rowOff>
        </xdr:to>
        <xdr:sp macro="" textlink="">
          <xdr:nvSpPr>
            <xdr:cNvPr id="14352" name="CheckBox2" hidden="1">
              <a:extLst>
                <a:ext uri="{63B3BB69-23CF-44E3-9099-C40C66FF867C}">
                  <a14:compatExt spid="_x0000_s1435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920750</xdr:colOff>
          <xdr:row>1</xdr:row>
          <xdr:rowOff>95250</xdr:rowOff>
        </xdr:from>
        <xdr:to>
          <xdr:col>1</xdr:col>
          <xdr:colOff>2406650</xdr:colOff>
          <xdr:row>2</xdr:row>
          <xdr:rowOff>127000</xdr:rowOff>
        </xdr:to>
        <xdr:sp macro="" textlink="">
          <xdr:nvSpPr>
            <xdr:cNvPr id="14353" name="CheckBox1" hidden="1">
              <a:extLst>
                <a:ext uri="{63B3BB69-23CF-44E3-9099-C40C66FF867C}">
                  <a14:compatExt spid="_x0000_s14353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2</xdr:col>
          <xdr:colOff>44450</xdr:colOff>
          <xdr:row>3</xdr:row>
          <xdr:rowOff>6350</xdr:rowOff>
        </xdr:from>
        <xdr:to>
          <xdr:col>4</xdr:col>
          <xdr:colOff>285750</xdr:colOff>
          <xdr:row>4</xdr:row>
          <xdr:rowOff>44450</xdr:rowOff>
        </xdr:to>
        <xdr:sp macro="" textlink="">
          <xdr:nvSpPr>
            <xdr:cNvPr id="14354" name="ScrollBar1" hidden="1">
              <a:extLst>
                <a:ext uri="{63B3BB69-23CF-44E3-9099-C40C66FF867C}">
                  <a14:compatExt spid="_x0000_s14354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1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000000"/>
                    </a:outerShdw>
                  </a:effectLst>
                </a14:hiddenEffects>
              </a:ext>
              <a:ext uri="{53640926-AAD7-44D8-BBD7-CCE9431645EC}">
                <a14:shadowObscured val="1"/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image" Target="../media/image5.emf"/><Relationship Id="rId3" Type="http://schemas.openxmlformats.org/officeDocument/2006/relationships/control" Target="../activeX/activeX1.xml"/><Relationship Id="rId7" Type="http://schemas.openxmlformats.org/officeDocument/2006/relationships/control" Target="../activeX/activeX3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4.xml"/><Relationship Id="rId6" Type="http://schemas.openxmlformats.org/officeDocument/2006/relationships/image" Target="../media/image4.emf"/><Relationship Id="rId5" Type="http://schemas.openxmlformats.org/officeDocument/2006/relationships/control" Target="../activeX/activeX2.xml"/><Relationship Id="rId4" Type="http://schemas.openxmlformats.org/officeDocument/2006/relationships/image" Target="../media/image3.emf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"/>
  <dimension ref="A2:Y53"/>
  <sheetViews>
    <sheetView showGridLines="0" zoomScaleNormal="100" workbookViewId="0">
      <selection activeCell="O56" sqref="O56"/>
    </sheetView>
  </sheetViews>
  <sheetFormatPr defaultRowHeight="14.5" x14ac:dyDescent="0.35"/>
  <cols>
    <col min="1" max="1" width="3.6328125" style="2" customWidth="1"/>
    <col min="2" max="3" width="8.6328125" style="2" customWidth="1"/>
    <col min="4" max="4" width="8.7265625" style="2" customWidth="1"/>
    <col min="5" max="5" width="8.90625" style="2" customWidth="1"/>
    <col min="6" max="6" width="9.1796875" style="2" customWidth="1"/>
    <col min="7" max="7" width="8.6328125" style="4" customWidth="1"/>
    <col min="8" max="14" width="8.6328125" style="2" customWidth="1"/>
    <col min="15" max="15" width="9.1796875" style="2" customWidth="1"/>
    <col min="16" max="22" width="8.6328125" style="2" customWidth="1"/>
    <col min="23" max="16384" width="8.7265625" style="2"/>
  </cols>
  <sheetData>
    <row r="2" spans="1:16" ht="18.5" x14ac:dyDescent="0.45">
      <c r="C2" s="154" t="s">
        <v>190</v>
      </c>
    </row>
    <row r="3" spans="1:16" x14ac:dyDescent="0.35">
      <c r="B3" s="108"/>
      <c r="C3" s="226" t="s">
        <v>21</v>
      </c>
      <c r="D3" s="226"/>
      <c r="E3" s="226"/>
      <c r="F3" s="226"/>
      <c r="G3" s="109"/>
      <c r="I3" s="108"/>
      <c r="K3" s="226" t="s">
        <v>38</v>
      </c>
      <c r="L3" s="226"/>
      <c r="M3" s="226"/>
      <c r="N3" s="226"/>
    </row>
    <row r="4" spans="1:16" x14ac:dyDescent="0.35">
      <c r="A4" s="108"/>
      <c r="B4" s="111"/>
      <c r="C4" s="226"/>
      <c r="D4" s="226"/>
      <c r="E4" s="226"/>
      <c r="F4" s="226"/>
      <c r="G4" s="110"/>
      <c r="H4" s="136"/>
      <c r="J4" s="117"/>
      <c r="K4" s="226"/>
      <c r="L4" s="226"/>
      <c r="M4" s="226"/>
      <c r="N4" s="226"/>
      <c r="O4" s="110"/>
      <c r="P4" s="127"/>
    </row>
    <row r="5" spans="1:16" s="1" customFormat="1" ht="13" x14ac:dyDescent="0.3">
      <c r="A5" s="10"/>
      <c r="B5" s="112"/>
      <c r="C5" s="129"/>
      <c r="D5" s="129"/>
      <c r="F5" s="6" t="s">
        <v>22</v>
      </c>
      <c r="G5" s="7">
        <v>1.6014999999999999</v>
      </c>
      <c r="H5" s="126" t="s">
        <v>30</v>
      </c>
      <c r="J5" s="118"/>
      <c r="N5" s="6" t="s">
        <v>171</v>
      </c>
      <c r="O5" s="9">
        <f>(Finish-Start)/365</f>
        <v>9.0027397260273965</v>
      </c>
      <c r="P5" s="124" t="s">
        <v>172</v>
      </c>
    </row>
    <row r="6" spans="1:16" s="1" customFormat="1" ht="13" x14ac:dyDescent="0.3">
      <c r="A6" s="10"/>
      <c r="B6" s="112"/>
      <c r="C6" s="129"/>
      <c r="D6" s="129"/>
      <c r="F6" s="6" t="s">
        <v>27</v>
      </c>
      <c r="G6" s="9">
        <f>GBA</f>
        <v>12614.4</v>
      </c>
      <c r="H6" s="126" t="s">
        <v>23</v>
      </c>
      <c r="J6" s="118"/>
      <c r="N6" s="6" t="s">
        <v>165</v>
      </c>
      <c r="O6" s="215">
        <f>WACC</f>
        <v>0.12415840028456641</v>
      </c>
      <c r="P6" s="124"/>
    </row>
    <row r="7" spans="1:16" s="1" customFormat="1" ht="13" x14ac:dyDescent="0.3">
      <c r="A7" s="10"/>
      <c r="B7" s="112"/>
      <c r="C7" s="129"/>
      <c r="D7" s="129"/>
      <c r="F7" s="6" t="s">
        <v>24</v>
      </c>
      <c r="G7" s="9">
        <f>GLA</f>
        <v>10096.6</v>
      </c>
      <c r="H7" s="126" t="s">
        <v>23</v>
      </c>
      <c r="J7" s="227" t="s">
        <v>193</v>
      </c>
      <c r="K7" s="228"/>
      <c r="L7" s="228"/>
      <c r="M7" s="228"/>
      <c r="N7" s="228"/>
      <c r="O7" s="228"/>
      <c r="P7" s="229"/>
    </row>
    <row r="8" spans="1:16" s="1" customFormat="1" ht="13" x14ac:dyDescent="0.3">
      <c r="A8" s="10"/>
      <c r="B8" s="112"/>
      <c r="C8" s="129"/>
      <c r="D8" s="129"/>
      <c r="H8" s="126"/>
      <c r="J8" s="134"/>
      <c r="K8" s="135"/>
      <c r="L8" s="135"/>
      <c r="M8" s="135"/>
      <c r="N8" s="119" t="s">
        <v>201</v>
      </c>
      <c r="O8" s="71">
        <f>NCF</f>
        <v>369489.04491774953</v>
      </c>
      <c r="P8" s="124" t="s">
        <v>170</v>
      </c>
    </row>
    <row r="9" spans="1:16" s="1" customFormat="1" ht="13" x14ac:dyDescent="0.3">
      <c r="A9" s="10"/>
      <c r="B9" s="112"/>
      <c r="C9" s="129"/>
      <c r="D9" s="129"/>
      <c r="F9" s="6"/>
      <c r="G9" s="105" t="s">
        <v>192</v>
      </c>
      <c r="H9" s="126"/>
      <c r="J9" s="118"/>
      <c r="N9" s="119" t="s">
        <v>161</v>
      </c>
      <c r="O9" s="71">
        <f>NPV</f>
        <v>84369.508194199298</v>
      </c>
      <c r="P9" s="124" t="s">
        <v>170</v>
      </c>
    </row>
    <row r="10" spans="1:16" s="1" customFormat="1" ht="13" x14ac:dyDescent="0.3">
      <c r="A10" s="10"/>
      <c r="B10" s="112"/>
      <c r="C10" s="129"/>
      <c r="D10" s="129"/>
      <c r="F10" s="6" t="s">
        <v>25</v>
      </c>
      <c r="G10" s="3" t="s">
        <v>191</v>
      </c>
      <c r="H10" s="126"/>
      <c r="J10" s="118"/>
      <c r="N10" s="119" t="s">
        <v>162</v>
      </c>
      <c r="O10" s="83">
        <f>IRR</f>
        <v>0.20350289940834046</v>
      </c>
      <c r="P10" s="124"/>
    </row>
    <row r="11" spans="1:16" s="1" customFormat="1" ht="13" x14ac:dyDescent="0.3">
      <c r="A11" s="10"/>
      <c r="B11" s="112"/>
      <c r="C11" s="129"/>
      <c r="D11" s="129"/>
      <c r="F11" s="6" t="s">
        <v>174</v>
      </c>
      <c r="G11" s="182">
        <f>Start</f>
        <v>44378</v>
      </c>
      <c r="H11" s="126"/>
      <c r="J11" s="118"/>
      <c r="N11" s="119" t="s">
        <v>173</v>
      </c>
      <c r="O11" s="83">
        <f>EbitdaMargin</f>
        <v>0.57343043634348589</v>
      </c>
      <c r="P11" s="124"/>
    </row>
    <row r="12" spans="1:16" s="1" customFormat="1" ht="13" x14ac:dyDescent="0.3">
      <c r="A12" s="10"/>
      <c r="B12" s="112"/>
      <c r="C12" s="129"/>
      <c r="D12" s="129"/>
      <c r="H12" s="126"/>
      <c r="J12" s="227" t="s">
        <v>257</v>
      </c>
      <c r="K12" s="228"/>
      <c r="L12" s="228"/>
      <c r="M12" s="228"/>
      <c r="N12" s="228"/>
      <c r="O12" s="228"/>
      <c r="P12" s="229"/>
    </row>
    <row r="13" spans="1:16" s="1" customFormat="1" ht="13" x14ac:dyDescent="0.3">
      <c r="A13" s="10"/>
      <c r="B13" s="112"/>
      <c r="C13" s="129"/>
      <c r="D13" s="129"/>
      <c r="F13" s="6" t="s">
        <v>35</v>
      </c>
      <c r="G13" s="8" t="s">
        <v>34</v>
      </c>
      <c r="H13" s="126"/>
      <c r="J13" s="120"/>
      <c r="N13" s="119" t="s">
        <v>197</v>
      </c>
      <c r="O13" s="71">
        <f>NPV_FCFE</f>
        <v>87124.619797775958</v>
      </c>
      <c r="P13" s="125" t="s">
        <v>170</v>
      </c>
    </row>
    <row r="14" spans="1:16" s="1" customFormat="1" ht="13" customHeight="1" x14ac:dyDescent="0.3">
      <c r="A14" s="10"/>
      <c r="B14" s="112"/>
      <c r="C14" s="129"/>
      <c r="D14" s="129"/>
      <c r="F14" s="6" t="s">
        <v>31</v>
      </c>
      <c r="G14" s="9">
        <f>UnitsN</f>
        <v>90</v>
      </c>
      <c r="H14" s="126" t="s">
        <v>32</v>
      </c>
      <c r="J14" s="118"/>
      <c r="N14" s="119" t="s">
        <v>258</v>
      </c>
      <c r="O14" s="189">
        <f>DPP</f>
        <v>6.5041095890410956</v>
      </c>
      <c r="P14" s="124"/>
    </row>
    <row r="15" spans="1:16" s="1" customFormat="1" ht="13" x14ac:dyDescent="0.3">
      <c r="A15" s="10"/>
      <c r="B15" s="112"/>
      <c r="C15" s="129"/>
      <c r="D15" s="129"/>
      <c r="H15" s="126"/>
      <c r="J15" s="118"/>
      <c r="N15" s="119" t="s">
        <v>256</v>
      </c>
      <c r="O15" s="71">
        <f>TerminalValue</f>
        <v>967722.28321521403</v>
      </c>
      <c r="P15" s="124" t="s">
        <v>170</v>
      </c>
    </row>
    <row r="16" spans="1:16" s="1" customFormat="1" ht="13" x14ac:dyDescent="0.3">
      <c r="A16" s="10"/>
      <c r="B16" s="112"/>
      <c r="C16" s="129"/>
      <c r="D16" s="129"/>
      <c r="F16" s="6" t="s">
        <v>33</v>
      </c>
      <c r="G16" s="7">
        <f>AverageS</f>
        <v>112.18444444444445</v>
      </c>
      <c r="H16" s="126" t="s">
        <v>23</v>
      </c>
      <c r="J16" s="121"/>
      <c r="N16" s="119" t="s">
        <v>259</v>
      </c>
      <c r="O16" s="71">
        <f>NPV_FCFE_TV</f>
        <v>408803.60057603073</v>
      </c>
      <c r="P16" s="125" t="s">
        <v>170</v>
      </c>
    </row>
    <row r="17" spans="1:25" s="1" customFormat="1" ht="13" customHeight="1" x14ac:dyDescent="0.3">
      <c r="A17" s="10"/>
      <c r="B17" s="112"/>
      <c r="C17" s="129"/>
      <c r="D17" s="129"/>
      <c r="F17" s="6" t="s">
        <v>194</v>
      </c>
      <c r="G17" s="7">
        <f>AverageSwithoutAnchors</f>
        <v>72.397701149425288</v>
      </c>
      <c r="H17" s="126" t="s">
        <v>23</v>
      </c>
      <c r="J17" s="118"/>
      <c r="N17" s="119" t="s">
        <v>260</v>
      </c>
      <c r="O17" s="83">
        <f>IRR_FCFE_TV</f>
        <v>0.45024506449699409</v>
      </c>
      <c r="P17" s="124"/>
    </row>
    <row r="18" spans="1:25" s="1" customFormat="1" ht="13" x14ac:dyDescent="0.3">
      <c r="A18" s="10"/>
      <c r="B18" s="112"/>
      <c r="C18" s="129"/>
      <c r="D18" s="129"/>
      <c r="F18" s="6" t="s">
        <v>230</v>
      </c>
      <c r="G18" s="199">
        <f>TargetRentalValue</f>
        <v>13654003.285063952</v>
      </c>
      <c r="H18" s="126" t="s">
        <v>170</v>
      </c>
      <c r="J18" s="227" t="s">
        <v>195</v>
      </c>
      <c r="K18" s="228"/>
      <c r="L18" s="228"/>
      <c r="M18" s="228"/>
      <c r="N18" s="228"/>
      <c r="O18" s="228"/>
      <c r="P18" s="229"/>
    </row>
    <row r="19" spans="1:25" s="1" customFormat="1" ht="13" customHeight="1" x14ac:dyDescent="0.3">
      <c r="A19" s="10"/>
      <c r="B19" s="112"/>
      <c r="C19" s="129"/>
      <c r="D19" s="129"/>
      <c r="F19" s="6" t="s">
        <v>28</v>
      </c>
      <c r="G19" s="9">
        <f>WeightedAverageAnnualRent*12</f>
        <v>16228.041065385121</v>
      </c>
      <c r="H19" s="126" t="s">
        <v>29</v>
      </c>
      <c r="J19" s="118"/>
      <c r="N19" s="119" t="s">
        <v>182</v>
      </c>
      <c r="O19" s="71">
        <f>CapitalContribution</f>
        <v>79990</v>
      </c>
      <c r="P19" s="124" t="s">
        <v>170</v>
      </c>
    </row>
    <row r="20" spans="1:25" s="1" customFormat="1" ht="13" customHeight="1" x14ac:dyDescent="0.3">
      <c r="A20" s="10"/>
      <c r="B20" s="112"/>
      <c r="C20" s="129"/>
      <c r="D20" s="129"/>
      <c r="F20" s="6" t="s">
        <v>36</v>
      </c>
      <c r="G20" s="9">
        <f>WeightedAverageAnchor*12</f>
        <v>12041.053033377415</v>
      </c>
      <c r="H20" s="126" t="s">
        <v>29</v>
      </c>
      <c r="J20" s="118"/>
      <c r="N20" s="119" t="s">
        <v>179</v>
      </c>
      <c r="O20" s="71">
        <f>Loan</f>
        <v>270000</v>
      </c>
      <c r="P20" s="124" t="s">
        <v>170</v>
      </c>
    </row>
    <row r="21" spans="1:25" s="1" customFormat="1" ht="13" customHeight="1" x14ac:dyDescent="0.3">
      <c r="A21" s="10"/>
      <c r="B21" s="112"/>
      <c r="C21" s="129"/>
      <c r="D21" s="129"/>
      <c r="E21" s="45"/>
      <c r="F21" s="6" t="s">
        <v>37</v>
      </c>
      <c r="G21" s="9">
        <f>WeightedAverageOthers*12</f>
        <v>18752.757755691739</v>
      </c>
      <c r="H21" s="126" t="s">
        <v>29</v>
      </c>
      <c r="J21" s="118"/>
      <c r="N21" s="119" t="s">
        <v>196</v>
      </c>
      <c r="O21" s="122">
        <f>LoanInterestRate</f>
        <v>0.115</v>
      </c>
      <c r="P21" s="126"/>
    </row>
    <row r="22" spans="1:25" s="1" customFormat="1" ht="4.5" customHeight="1" x14ac:dyDescent="0.3">
      <c r="A22" s="10"/>
      <c r="B22" s="113"/>
      <c r="C22" s="130"/>
      <c r="D22" s="130"/>
      <c r="E22" s="114"/>
      <c r="F22" s="115"/>
      <c r="G22" s="115"/>
      <c r="H22" s="116"/>
      <c r="J22" s="123"/>
      <c r="K22" s="114"/>
      <c r="L22" s="114"/>
      <c r="M22" s="114"/>
      <c r="N22" s="114"/>
      <c r="O22" s="115"/>
      <c r="P22" s="116"/>
    </row>
    <row r="23" spans="1:25" s="1" customFormat="1" ht="13" x14ac:dyDescent="0.3">
      <c r="A23" s="10"/>
    </row>
    <row r="24" spans="1:25" s="1" customFormat="1" ht="13" x14ac:dyDescent="0.3">
      <c r="C24" s="226" t="s">
        <v>199</v>
      </c>
      <c r="D24" s="226"/>
      <c r="E24" s="226"/>
      <c r="F24" s="226"/>
      <c r="H24" s="13"/>
      <c r="I24" s="145">
        <v>0</v>
      </c>
    </row>
    <row r="25" spans="1:25" s="1" customFormat="1" ht="13" x14ac:dyDescent="0.3">
      <c r="B25" s="138"/>
      <c r="C25" s="226"/>
      <c r="D25" s="226"/>
      <c r="E25" s="226"/>
      <c r="F25" s="226"/>
      <c r="G25" s="139"/>
      <c r="H25" s="146"/>
      <c r="I25" s="139"/>
      <c r="J25" s="139"/>
      <c r="K25" s="139"/>
      <c r="L25" s="139"/>
      <c r="M25" s="139"/>
      <c r="N25" s="139"/>
      <c r="O25" s="139"/>
      <c r="P25" s="139"/>
      <c r="Q25" s="139"/>
      <c r="R25" s="139"/>
      <c r="S25" s="139"/>
      <c r="T25" s="139"/>
      <c r="U25" s="139"/>
      <c r="V25" s="139"/>
      <c r="W25" s="139"/>
      <c r="X25" s="139"/>
      <c r="Y25" s="147"/>
    </row>
    <row r="26" spans="1:25" s="1" customFormat="1" x14ac:dyDescent="0.35">
      <c r="B26" s="118"/>
      <c r="C26" s="133" t="s">
        <v>200</v>
      </c>
      <c r="E26" s="151">
        <v>-0.1</v>
      </c>
      <c r="F26" s="151">
        <v>-0.09</v>
      </c>
      <c r="G26" s="151">
        <v>-0.08</v>
      </c>
      <c r="H26" s="151">
        <v>-7.0000000000000007E-2</v>
      </c>
      <c r="I26" s="151">
        <v>-0.06</v>
      </c>
      <c r="J26" s="151">
        <v>-0.05</v>
      </c>
      <c r="K26" s="151">
        <v>-3.9999999999999897E-2</v>
      </c>
      <c r="L26" s="151">
        <v>-2.9999999999999898E-2</v>
      </c>
      <c r="M26" s="151">
        <v>-1.99999999999999E-2</v>
      </c>
      <c r="N26" s="151">
        <v>-9.99999999999991E-3</v>
      </c>
      <c r="O26" s="190">
        <v>1.00613961606655E-16</v>
      </c>
      <c r="P26" s="151">
        <v>1.0000000000000101E-2</v>
      </c>
      <c r="Q26" s="151">
        <v>2.0000000000000101E-2</v>
      </c>
      <c r="R26" s="151">
        <v>0.03</v>
      </c>
      <c r="S26" s="151">
        <v>0.04</v>
      </c>
      <c r="T26" s="151">
        <v>0.05</v>
      </c>
      <c r="U26" s="151">
        <v>0.06</v>
      </c>
      <c r="V26" s="151">
        <v>7.0000000000000007E-2</v>
      </c>
      <c r="W26" s="151">
        <v>0.08</v>
      </c>
      <c r="X26" s="151">
        <v>9.0000000000000094E-2</v>
      </c>
      <c r="Y26" s="152">
        <v>0.1</v>
      </c>
    </row>
    <row r="27" spans="1:25" s="9" customFormat="1" ht="13" x14ac:dyDescent="0.3">
      <c r="B27" s="140"/>
      <c r="C27" s="9" t="s">
        <v>201</v>
      </c>
      <c r="D27" s="131">
        <f>NCF</f>
        <v>369489.04491774953</v>
      </c>
      <c r="E27" s="9">
        <f t="dataTable" ref="E27:Y29" dt2D="0" dtr="1" r1="I24"/>
        <v>262623.59011655481</v>
      </c>
      <c r="F27" s="9">
        <v>273039.50306222175</v>
      </c>
      <c r="G27" s="9">
        <v>283839.77585133153</v>
      </c>
      <c r="H27" s="9">
        <v>294636.79728944361</v>
      </c>
      <c r="I27" s="9">
        <v>305003.47306631692</v>
      </c>
      <c r="J27" s="9">
        <v>315781.7099986457</v>
      </c>
      <c r="K27" s="9">
        <v>326559.94693097455</v>
      </c>
      <c r="L27" s="9">
        <v>337338.18386330339</v>
      </c>
      <c r="M27" s="9">
        <v>348116.42079563212</v>
      </c>
      <c r="N27" s="9">
        <v>358721.90880633792</v>
      </c>
      <c r="O27" s="137">
        <v>369489.04491774953</v>
      </c>
      <c r="P27" s="9">
        <v>379768.6924636754</v>
      </c>
      <c r="Q27" s="9">
        <v>390524.7646339733</v>
      </c>
      <c r="R27" s="9">
        <v>401270.936984158</v>
      </c>
      <c r="S27" s="9">
        <v>412016.92193855171</v>
      </c>
      <c r="T27" s="9">
        <v>422762.90689294558</v>
      </c>
      <c r="U27" s="9">
        <v>433508.89184733934</v>
      </c>
      <c r="V27" s="9">
        <v>444254.87680173357</v>
      </c>
      <c r="W27" s="9">
        <v>454442.73768309061</v>
      </c>
      <c r="X27" s="9">
        <v>465177.69545365043</v>
      </c>
      <c r="Y27" s="148">
        <v>475912.65322421037</v>
      </c>
    </row>
    <row r="28" spans="1:25" s="9" customFormat="1" ht="13" x14ac:dyDescent="0.3">
      <c r="B28" s="140"/>
      <c r="C28" s="9" t="s">
        <v>161</v>
      </c>
      <c r="D28" s="131">
        <f>NPV</f>
        <v>84369.508194199298</v>
      </c>
      <c r="E28" s="9">
        <v>23056.004559610563</v>
      </c>
      <c r="F28" s="9">
        <v>28961.637771726586</v>
      </c>
      <c r="G28" s="9">
        <v>35189.928630065522</v>
      </c>
      <c r="H28" s="9">
        <v>41415.194168071146</v>
      </c>
      <c r="I28" s="9">
        <v>47274.831118390779</v>
      </c>
      <c r="J28" s="9">
        <v>53483.534983084421</v>
      </c>
      <c r="K28" s="9">
        <v>59692.238847777771</v>
      </c>
      <c r="L28" s="9">
        <v>65900.942712471355</v>
      </c>
      <c r="M28" s="9">
        <v>72109.646577164705</v>
      </c>
      <c r="N28" s="9">
        <v>78170.316941028985</v>
      </c>
      <c r="O28" s="137">
        <v>84369.508194199298</v>
      </c>
      <c r="P28" s="9">
        <v>90146.634336211137</v>
      </c>
      <c r="Q28" s="9">
        <v>96336.246485651413</v>
      </c>
      <c r="R28" s="9">
        <v>102517.10913912847</v>
      </c>
      <c r="S28" s="9">
        <v>108697.80617154378</v>
      </c>
      <c r="T28" s="9">
        <v>114878.50320395984</v>
      </c>
      <c r="U28" s="9">
        <v>121059.20023637492</v>
      </c>
      <c r="V28" s="9">
        <v>127239.8972687911</v>
      </c>
      <c r="W28" s="9">
        <v>132932.37366631941</v>
      </c>
      <c r="X28" s="9">
        <v>139103.42463802453</v>
      </c>
      <c r="Y28" s="148">
        <v>145274.47560972971</v>
      </c>
    </row>
    <row r="29" spans="1:25" s="19" customFormat="1" ht="13" x14ac:dyDescent="0.3">
      <c r="B29" s="141"/>
      <c r="C29" s="19" t="s">
        <v>162</v>
      </c>
      <c r="D29" s="153">
        <f>IRR</f>
        <v>0.20350289940834046</v>
      </c>
      <c r="E29" s="19">
        <v>0.15174502730369574</v>
      </c>
      <c r="F29" s="19">
        <v>0.15686022639274599</v>
      </c>
      <c r="G29" s="19">
        <v>0.16223487257957458</v>
      </c>
      <c r="H29" s="19">
        <v>0.1675730884075165</v>
      </c>
      <c r="I29" s="19">
        <v>0.17253749966621401</v>
      </c>
      <c r="J29" s="19">
        <v>0.1777948796749115</v>
      </c>
      <c r="K29" s="19">
        <v>0.18302232623100284</v>
      </c>
      <c r="L29" s="19">
        <v>0.18822101950645445</v>
      </c>
      <c r="M29" s="19">
        <v>0.19339206814765933</v>
      </c>
      <c r="N29" s="19">
        <v>0.19839399456977846</v>
      </c>
      <c r="O29" s="191">
        <v>0.20350289940834046</v>
      </c>
      <c r="P29" s="19">
        <v>0.20817413926124576</v>
      </c>
      <c r="Q29" s="19">
        <v>0.21322274804115302</v>
      </c>
      <c r="R29" s="19">
        <v>0.21823962330818175</v>
      </c>
      <c r="S29" s="19">
        <v>0.22323411107063296</v>
      </c>
      <c r="T29" s="19">
        <v>0.22820720076560971</v>
      </c>
      <c r="U29" s="19">
        <v>0.23315967917442318</v>
      </c>
      <c r="V29" s="19">
        <v>0.23809229731559753</v>
      </c>
      <c r="W29" s="19">
        <v>0.24250548481941225</v>
      </c>
      <c r="X29" s="19">
        <v>0.2473876416683197</v>
      </c>
      <c r="Y29" s="149">
        <v>0.25225191712379447</v>
      </c>
    </row>
    <row r="30" spans="1:25" s="1" customFormat="1" ht="13" x14ac:dyDescent="0.3">
      <c r="B30" s="123"/>
      <c r="C30" s="142"/>
      <c r="D30" s="115"/>
      <c r="E30" s="143"/>
      <c r="F30" s="143"/>
      <c r="G30" s="143"/>
      <c r="H30" s="144"/>
      <c r="I30" s="143"/>
      <c r="J30" s="143"/>
      <c r="K30" s="143"/>
      <c r="L30" s="143"/>
      <c r="M30" s="143"/>
      <c r="N30" s="143"/>
      <c r="O30" s="143"/>
      <c r="P30" s="143"/>
      <c r="Q30" s="143"/>
      <c r="R30" s="143"/>
      <c r="S30" s="143"/>
      <c r="T30" s="143"/>
      <c r="U30" s="143"/>
      <c r="V30" s="143"/>
      <c r="W30" s="143"/>
      <c r="X30" s="143"/>
      <c r="Y30" s="150"/>
    </row>
    <row r="31" spans="1:25" s="1" customFormat="1" ht="13" x14ac:dyDescent="0.3">
      <c r="C31" s="39"/>
      <c r="D31" s="9"/>
      <c r="H31" s="13"/>
    </row>
    <row r="32" spans="1:25" s="1" customFormat="1" ht="13" x14ac:dyDescent="0.3">
      <c r="C32" s="39"/>
      <c r="D32" s="9"/>
      <c r="H32" s="13"/>
    </row>
    <row r="33" spans="3:8" s="1" customFormat="1" ht="13" x14ac:dyDescent="0.3">
      <c r="C33" s="39"/>
      <c r="D33" s="9"/>
      <c r="H33" s="13"/>
    </row>
    <row r="34" spans="3:8" s="1" customFormat="1" ht="13" x14ac:dyDescent="0.3">
      <c r="C34" s="39"/>
      <c r="D34" s="9"/>
      <c r="H34" s="13"/>
    </row>
    <row r="35" spans="3:8" s="1" customFormat="1" ht="13" x14ac:dyDescent="0.3">
      <c r="C35" s="39"/>
      <c r="D35" s="9"/>
      <c r="H35" s="13"/>
    </row>
    <row r="36" spans="3:8" s="1" customFormat="1" ht="13" x14ac:dyDescent="0.3">
      <c r="C36" s="39"/>
      <c r="D36" s="9"/>
      <c r="H36" s="13"/>
    </row>
    <row r="37" spans="3:8" s="1" customFormat="1" ht="13" x14ac:dyDescent="0.3">
      <c r="C37" s="39"/>
      <c r="D37" s="9"/>
      <c r="H37" s="13"/>
    </row>
    <row r="38" spans="3:8" s="1" customFormat="1" ht="13" x14ac:dyDescent="0.3">
      <c r="C38" s="39"/>
      <c r="D38" s="9"/>
      <c r="H38" s="13"/>
    </row>
    <row r="39" spans="3:8" s="1" customFormat="1" ht="13" x14ac:dyDescent="0.3">
      <c r="C39" s="39"/>
      <c r="D39" s="9"/>
      <c r="H39" s="13"/>
    </row>
    <row r="40" spans="3:8" s="1" customFormat="1" ht="13" x14ac:dyDescent="0.3">
      <c r="C40" s="39"/>
      <c r="D40" s="9"/>
      <c r="H40" s="13"/>
    </row>
    <row r="41" spans="3:8" s="1" customFormat="1" ht="13" x14ac:dyDescent="0.3">
      <c r="C41" s="39"/>
      <c r="D41" s="9"/>
      <c r="H41" s="13"/>
    </row>
    <row r="42" spans="3:8" s="1" customFormat="1" ht="13" x14ac:dyDescent="0.3">
      <c r="C42" s="39"/>
      <c r="D42" s="9"/>
      <c r="H42" s="13"/>
    </row>
    <row r="43" spans="3:8" s="1" customFormat="1" ht="13" x14ac:dyDescent="0.3">
      <c r="C43" s="39"/>
      <c r="D43" s="9"/>
      <c r="H43" s="13"/>
    </row>
    <row r="44" spans="3:8" s="1" customFormat="1" ht="13" x14ac:dyDescent="0.3">
      <c r="C44" s="39"/>
      <c r="D44" s="9"/>
      <c r="H44" s="13"/>
    </row>
    <row r="45" spans="3:8" s="1" customFormat="1" ht="13" x14ac:dyDescent="0.3">
      <c r="C45" s="39"/>
      <c r="D45" s="9"/>
      <c r="H45" s="13"/>
    </row>
    <row r="46" spans="3:8" s="1" customFormat="1" ht="13" x14ac:dyDescent="0.3">
      <c r="C46" s="39"/>
      <c r="D46" s="9"/>
      <c r="H46" s="13"/>
    </row>
    <row r="47" spans="3:8" s="1" customFormat="1" ht="13" x14ac:dyDescent="0.3">
      <c r="C47" s="39"/>
      <c r="D47" s="9"/>
      <c r="H47" s="13"/>
    </row>
    <row r="48" spans="3:8" s="1" customFormat="1" ht="13" x14ac:dyDescent="0.3">
      <c r="C48" s="39"/>
      <c r="D48" s="9"/>
      <c r="H48" s="13"/>
    </row>
    <row r="49" spans="7:7" s="1" customFormat="1" ht="13" x14ac:dyDescent="0.3">
      <c r="G49" s="13"/>
    </row>
    <row r="50" spans="7:7" s="1" customFormat="1" ht="13" x14ac:dyDescent="0.3">
      <c r="G50" s="13"/>
    </row>
    <row r="51" spans="7:7" s="1" customFormat="1" ht="13" x14ac:dyDescent="0.3">
      <c r="G51" s="13"/>
    </row>
    <row r="52" spans="7:7" s="1" customFormat="1" ht="13" x14ac:dyDescent="0.3">
      <c r="G52" s="13"/>
    </row>
    <row r="53" spans="7:7" s="1" customFormat="1" ht="13" x14ac:dyDescent="0.3">
      <c r="G53" s="13"/>
    </row>
  </sheetData>
  <mergeCells count="6">
    <mergeCell ref="C24:F25"/>
    <mergeCell ref="J7:P7"/>
    <mergeCell ref="J12:P12"/>
    <mergeCell ref="J18:P18"/>
    <mergeCell ref="K3:N4"/>
    <mergeCell ref="C3:F4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3"/>
  <dimension ref="B2:DI11"/>
  <sheetViews>
    <sheetView showGridLines="0" zoomScaleNormal="100" workbookViewId="0">
      <selection activeCell="S62" sqref="S62"/>
    </sheetView>
  </sheetViews>
  <sheetFormatPr defaultRowHeight="13" x14ac:dyDescent="0.3"/>
  <cols>
    <col min="1" max="1" width="3.6328125" style="1" customWidth="1"/>
    <col min="2" max="2" width="27.90625" style="1" customWidth="1"/>
    <col min="3" max="3" width="8.7265625" style="1"/>
    <col min="4" max="4" width="10.54296875" style="1" bestFit="1" customWidth="1"/>
    <col min="5" max="5" width="5.1796875" style="1" customWidth="1"/>
    <col min="6" max="6" width="8.7265625" style="1" customWidth="1"/>
    <col min="7" max="7" width="8.81640625" style="1" bestFit="1" customWidth="1"/>
    <col min="8" max="8" width="10.26953125" style="1" bestFit="1" customWidth="1"/>
    <col min="9" max="9" width="9.36328125" style="1" bestFit="1" customWidth="1"/>
    <col min="10" max="10" width="8.81640625" style="1" bestFit="1" customWidth="1"/>
    <col min="11" max="11" width="9.54296875" style="1" bestFit="1" customWidth="1"/>
    <col min="12" max="12" width="8.81640625" style="1" bestFit="1" customWidth="1"/>
    <col min="13" max="13" width="9.90625" style="1" bestFit="1" customWidth="1"/>
    <col min="14" max="19" width="8.81640625" style="1" bestFit="1" customWidth="1"/>
    <col min="20" max="20" width="10.26953125" style="1" bestFit="1" customWidth="1"/>
    <col min="21" max="21" width="9.36328125" style="1" bestFit="1" customWidth="1"/>
    <col min="22" max="22" width="8.81640625" style="1" bestFit="1" customWidth="1"/>
    <col min="23" max="23" width="9.54296875" style="1" bestFit="1" customWidth="1"/>
    <col min="24" max="24" width="8.81640625" style="1" bestFit="1" customWidth="1"/>
    <col min="25" max="25" width="9.54296875" style="1" bestFit="1" customWidth="1"/>
    <col min="26" max="31" width="8.81640625" style="1" bestFit="1" customWidth="1"/>
    <col min="32" max="32" width="10.26953125" style="1" bestFit="1" customWidth="1"/>
    <col min="33" max="33" width="9.36328125" style="1" bestFit="1" customWidth="1"/>
    <col min="34" max="34" width="8.81640625" style="1" bestFit="1" customWidth="1"/>
    <col min="35" max="35" width="9.54296875" style="1" bestFit="1" customWidth="1"/>
    <col min="36" max="36" width="8.81640625" style="1" bestFit="1" customWidth="1"/>
    <col min="37" max="37" width="9.54296875" style="1" bestFit="1" customWidth="1"/>
    <col min="38" max="43" width="8.81640625" style="1" bestFit="1" customWidth="1"/>
    <col min="44" max="44" width="10.26953125" style="1" bestFit="1" customWidth="1"/>
    <col min="45" max="45" width="9.36328125" style="1" bestFit="1" customWidth="1"/>
    <col min="46" max="46" width="8.81640625" style="1" bestFit="1" customWidth="1"/>
    <col min="47" max="47" width="9.54296875" style="1" bestFit="1" customWidth="1"/>
    <col min="48" max="48" width="8.81640625" style="1" bestFit="1" customWidth="1"/>
    <col min="49" max="49" width="9.54296875" style="1" bestFit="1" customWidth="1"/>
    <col min="50" max="55" width="8.81640625" style="1" bestFit="1" customWidth="1"/>
    <col min="56" max="56" width="10.26953125" style="1" bestFit="1" customWidth="1"/>
    <col min="57" max="57" width="9.36328125" style="1" bestFit="1" customWidth="1"/>
    <col min="58" max="58" width="8.81640625" style="1" bestFit="1" customWidth="1"/>
    <col min="59" max="59" width="9.54296875" style="1" bestFit="1" customWidth="1"/>
    <col min="60" max="60" width="8.81640625" style="1" bestFit="1" customWidth="1"/>
    <col min="61" max="61" width="9.54296875" style="1" bestFit="1" customWidth="1"/>
    <col min="62" max="67" width="8.81640625" style="1" bestFit="1" customWidth="1"/>
    <col min="68" max="68" width="10.26953125" style="1" bestFit="1" customWidth="1"/>
    <col min="69" max="69" width="9.36328125" style="1" bestFit="1" customWidth="1"/>
    <col min="70" max="70" width="8.81640625" style="1" bestFit="1" customWidth="1"/>
    <col min="71" max="71" width="9.54296875" style="1" bestFit="1" customWidth="1"/>
    <col min="72" max="72" width="8.81640625" style="1" bestFit="1" customWidth="1"/>
    <col min="73" max="73" width="9.54296875" style="1" bestFit="1" customWidth="1"/>
    <col min="74" max="79" width="8.81640625" style="1" bestFit="1" customWidth="1"/>
    <col min="80" max="80" width="10.26953125" style="1" bestFit="1" customWidth="1"/>
    <col min="81" max="81" width="9.36328125" style="1" bestFit="1" customWidth="1"/>
    <col min="82" max="82" width="8.81640625" style="1" bestFit="1" customWidth="1"/>
    <col min="83" max="83" width="9.54296875" style="1" bestFit="1" customWidth="1"/>
    <col min="84" max="84" width="8.81640625" style="1" bestFit="1" customWidth="1"/>
    <col min="85" max="85" width="9.54296875" style="1" bestFit="1" customWidth="1"/>
    <col min="86" max="91" width="8.81640625" style="1" bestFit="1" customWidth="1"/>
    <col min="92" max="92" width="10.26953125" style="1" bestFit="1" customWidth="1"/>
    <col min="93" max="93" width="9.36328125" style="1" bestFit="1" customWidth="1"/>
    <col min="94" max="94" width="8.81640625" style="1" bestFit="1" customWidth="1"/>
    <col min="95" max="95" width="9.54296875" style="1" bestFit="1" customWidth="1"/>
    <col min="96" max="96" width="8.81640625" style="1" bestFit="1" customWidth="1"/>
    <col min="97" max="97" width="9.54296875" style="1" bestFit="1" customWidth="1"/>
    <col min="98" max="103" width="8.81640625" style="1" bestFit="1" customWidth="1"/>
    <col min="104" max="104" width="10.26953125" style="1" bestFit="1" customWidth="1"/>
    <col min="105" max="105" width="9.36328125" style="1" bestFit="1" customWidth="1"/>
    <col min="106" max="106" width="8.81640625" style="1" bestFit="1" customWidth="1"/>
    <col min="107" max="107" width="9.54296875" style="1" bestFit="1" customWidth="1"/>
    <col min="108" max="108" width="8.81640625" style="1" bestFit="1" customWidth="1"/>
    <col min="109" max="109" width="9.54296875" style="1" bestFit="1" customWidth="1"/>
    <col min="110" max="113" width="8.81640625" style="1" bestFit="1" customWidth="1"/>
    <col min="114" max="16384" width="8.7265625" style="1"/>
  </cols>
  <sheetData>
    <row r="2" spans="2:113" s="17" customFormat="1" ht="18.5" x14ac:dyDescent="0.25">
      <c r="B2" s="160" t="s">
        <v>143</v>
      </c>
      <c r="F2" s="216">
        <f>F3</f>
        <v>44378</v>
      </c>
      <c r="G2" s="216">
        <f t="shared" ref="G2:N2" si="0">G3</f>
        <v>44409</v>
      </c>
      <c r="H2" s="216">
        <f t="shared" si="0"/>
        <v>44440</v>
      </c>
      <c r="I2" s="216">
        <f t="shared" si="0"/>
        <v>44470</v>
      </c>
      <c r="J2" s="216">
        <f t="shared" si="0"/>
        <v>44501</v>
      </c>
      <c r="K2" s="216">
        <f t="shared" si="0"/>
        <v>44531</v>
      </c>
      <c r="L2" s="216">
        <f t="shared" si="0"/>
        <v>44562</v>
      </c>
      <c r="M2" s="216">
        <f t="shared" si="0"/>
        <v>44593</v>
      </c>
      <c r="N2" s="216">
        <f t="shared" si="0"/>
        <v>44621</v>
      </c>
      <c r="O2" s="216">
        <f t="shared" ref="O2" si="1">O3</f>
        <v>44652</v>
      </c>
      <c r="P2" s="216">
        <f t="shared" ref="P2" si="2">P3</f>
        <v>44682</v>
      </c>
      <c r="Q2" s="216">
        <f t="shared" ref="Q2" si="3">Q3</f>
        <v>44713</v>
      </c>
      <c r="R2" s="216">
        <f t="shared" ref="R2:S2" si="4">R3</f>
        <v>44743</v>
      </c>
      <c r="S2" s="216">
        <f t="shared" si="4"/>
        <v>44774</v>
      </c>
      <c r="T2" s="216">
        <f t="shared" ref="T2" si="5">T3</f>
        <v>44805</v>
      </c>
      <c r="U2" s="216">
        <f t="shared" ref="U2" si="6">U3</f>
        <v>44835</v>
      </c>
      <c r="V2" s="216">
        <f t="shared" ref="V2" si="7">V3</f>
        <v>44866</v>
      </c>
      <c r="W2" s="216">
        <f t="shared" ref="W2" si="8">W3</f>
        <v>44896</v>
      </c>
      <c r="X2" s="216">
        <f t="shared" ref="X2" si="9">X3</f>
        <v>44927</v>
      </c>
      <c r="Y2" s="216">
        <f t="shared" ref="Y2" si="10">Y3</f>
        <v>44958</v>
      </c>
      <c r="Z2" s="216">
        <f t="shared" ref="Z2" si="11">Z3</f>
        <v>44986</v>
      </c>
      <c r="AA2" s="216">
        <f t="shared" ref="AA2" si="12">AA3</f>
        <v>45017</v>
      </c>
      <c r="AB2" s="216">
        <f t="shared" ref="AB2" si="13">AB3</f>
        <v>45047</v>
      </c>
      <c r="AC2" s="216">
        <f t="shared" ref="AC2" si="14">AC3</f>
        <v>45078</v>
      </c>
      <c r="AD2" s="216">
        <f t="shared" ref="AD2" si="15">AD3</f>
        <v>45108</v>
      </c>
      <c r="AE2" s="216">
        <f t="shared" ref="AE2" si="16">AE3</f>
        <v>45139</v>
      </c>
      <c r="AF2" s="216">
        <f t="shared" ref="AF2" si="17">AF3</f>
        <v>45170</v>
      </c>
      <c r="AG2" s="216">
        <f t="shared" ref="AG2" si="18">AG3</f>
        <v>45200</v>
      </c>
      <c r="AH2" s="216">
        <f t="shared" ref="AH2" si="19">AH3</f>
        <v>45231</v>
      </c>
      <c r="AI2" s="216">
        <f t="shared" ref="AI2" si="20">AI3</f>
        <v>45261</v>
      </c>
      <c r="AJ2" s="216">
        <f t="shared" ref="AJ2" si="21">AJ3</f>
        <v>45292</v>
      </c>
      <c r="AK2" s="216">
        <f t="shared" ref="AK2" si="22">AK3</f>
        <v>45323</v>
      </c>
      <c r="AL2" s="216">
        <f t="shared" ref="AL2" si="23">AL3</f>
        <v>45352</v>
      </c>
      <c r="AM2" s="216">
        <f t="shared" ref="AM2" si="24">AM3</f>
        <v>45383</v>
      </c>
      <c r="AN2" s="216">
        <f t="shared" ref="AN2" si="25">AN3</f>
        <v>45413</v>
      </c>
      <c r="AO2" s="216">
        <f t="shared" ref="AO2" si="26">AO3</f>
        <v>45444</v>
      </c>
      <c r="AP2" s="216">
        <f t="shared" ref="AP2" si="27">AP3</f>
        <v>45474</v>
      </c>
      <c r="AQ2" s="216">
        <f t="shared" ref="AQ2" si="28">AQ3</f>
        <v>45505</v>
      </c>
      <c r="AR2" s="216">
        <f t="shared" ref="AR2" si="29">AR3</f>
        <v>45536</v>
      </c>
      <c r="AS2" s="216">
        <f t="shared" ref="AS2" si="30">AS3</f>
        <v>45566</v>
      </c>
      <c r="AT2" s="216">
        <f t="shared" ref="AT2" si="31">AT3</f>
        <v>45597</v>
      </c>
      <c r="AU2" s="216">
        <f t="shared" ref="AU2" si="32">AU3</f>
        <v>45627</v>
      </c>
      <c r="AV2" s="216">
        <f t="shared" ref="AV2" si="33">AV3</f>
        <v>45658</v>
      </c>
      <c r="AW2" s="216">
        <f t="shared" ref="AW2" si="34">AW3</f>
        <v>45689</v>
      </c>
      <c r="AX2" s="216">
        <f t="shared" ref="AX2" si="35">AX3</f>
        <v>45717</v>
      </c>
      <c r="AY2" s="216">
        <f t="shared" ref="AY2" si="36">AY3</f>
        <v>45748</v>
      </c>
      <c r="AZ2" s="216">
        <f t="shared" ref="AZ2" si="37">AZ3</f>
        <v>45778</v>
      </c>
      <c r="BA2" s="216">
        <f t="shared" ref="BA2:DI2" si="38">BA3</f>
        <v>45809</v>
      </c>
      <c r="BB2" s="216">
        <f t="shared" si="38"/>
        <v>45839</v>
      </c>
      <c r="BC2" s="216">
        <f t="shared" si="38"/>
        <v>45870</v>
      </c>
      <c r="BD2" s="216">
        <f t="shared" si="38"/>
        <v>45901</v>
      </c>
      <c r="BE2" s="216">
        <f t="shared" si="38"/>
        <v>45931</v>
      </c>
      <c r="BF2" s="216">
        <f t="shared" si="38"/>
        <v>45962</v>
      </c>
      <c r="BG2" s="216">
        <f t="shared" si="38"/>
        <v>45992</v>
      </c>
      <c r="BH2" s="216">
        <f t="shared" si="38"/>
        <v>46023</v>
      </c>
      <c r="BI2" s="216">
        <f t="shared" si="38"/>
        <v>46054</v>
      </c>
      <c r="BJ2" s="216">
        <f t="shared" si="38"/>
        <v>46082</v>
      </c>
      <c r="BK2" s="216">
        <f t="shared" si="38"/>
        <v>46113</v>
      </c>
      <c r="BL2" s="216">
        <f t="shared" si="38"/>
        <v>46143</v>
      </c>
      <c r="BM2" s="216">
        <f t="shared" si="38"/>
        <v>46174</v>
      </c>
      <c r="BN2" s="216">
        <f t="shared" si="38"/>
        <v>46204</v>
      </c>
      <c r="BO2" s="216">
        <f t="shared" si="38"/>
        <v>46235</v>
      </c>
      <c r="BP2" s="216">
        <f t="shared" si="38"/>
        <v>46266</v>
      </c>
      <c r="BQ2" s="216">
        <f t="shared" si="38"/>
        <v>46296</v>
      </c>
      <c r="BR2" s="216">
        <f t="shared" si="38"/>
        <v>46327</v>
      </c>
      <c r="BS2" s="216">
        <f t="shared" si="38"/>
        <v>46357</v>
      </c>
      <c r="BT2" s="216">
        <f t="shared" si="38"/>
        <v>46388</v>
      </c>
      <c r="BU2" s="216">
        <f t="shared" si="38"/>
        <v>46419</v>
      </c>
      <c r="BV2" s="216">
        <f t="shared" si="38"/>
        <v>46447</v>
      </c>
      <c r="BW2" s="216">
        <f t="shared" si="38"/>
        <v>46478</v>
      </c>
      <c r="BX2" s="216">
        <f t="shared" si="38"/>
        <v>46508</v>
      </c>
      <c r="BY2" s="216">
        <f t="shared" si="38"/>
        <v>46539</v>
      </c>
      <c r="BZ2" s="216">
        <f t="shared" si="38"/>
        <v>46569</v>
      </c>
      <c r="CA2" s="216">
        <f t="shared" si="38"/>
        <v>46600</v>
      </c>
      <c r="CB2" s="216">
        <f t="shared" si="38"/>
        <v>46631</v>
      </c>
      <c r="CC2" s="216">
        <f t="shared" si="38"/>
        <v>46661</v>
      </c>
      <c r="CD2" s="216">
        <f t="shared" si="38"/>
        <v>46692</v>
      </c>
      <c r="CE2" s="216">
        <f t="shared" si="38"/>
        <v>46722</v>
      </c>
      <c r="CF2" s="216">
        <f t="shared" si="38"/>
        <v>46753</v>
      </c>
      <c r="CG2" s="216">
        <f t="shared" si="38"/>
        <v>46784</v>
      </c>
      <c r="CH2" s="216">
        <f t="shared" si="38"/>
        <v>46813</v>
      </c>
      <c r="CI2" s="216">
        <f t="shared" si="38"/>
        <v>46844</v>
      </c>
      <c r="CJ2" s="216">
        <f t="shared" si="38"/>
        <v>46874</v>
      </c>
      <c r="CK2" s="216">
        <f t="shared" si="38"/>
        <v>46905</v>
      </c>
      <c r="CL2" s="216">
        <f t="shared" si="38"/>
        <v>46935</v>
      </c>
      <c r="CM2" s="216">
        <f t="shared" si="38"/>
        <v>46966</v>
      </c>
      <c r="CN2" s="216">
        <f t="shared" si="38"/>
        <v>46997</v>
      </c>
      <c r="CO2" s="216">
        <f t="shared" si="38"/>
        <v>47027</v>
      </c>
      <c r="CP2" s="216">
        <f t="shared" si="38"/>
        <v>47058</v>
      </c>
      <c r="CQ2" s="216">
        <f t="shared" si="38"/>
        <v>47088</v>
      </c>
      <c r="CR2" s="216">
        <f t="shared" si="38"/>
        <v>47119</v>
      </c>
      <c r="CS2" s="216">
        <f t="shared" si="38"/>
        <v>47150</v>
      </c>
      <c r="CT2" s="216">
        <f t="shared" si="38"/>
        <v>47178</v>
      </c>
      <c r="CU2" s="216">
        <f t="shared" si="38"/>
        <v>47209</v>
      </c>
      <c r="CV2" s="216">
        <f t="shared" si="38"/>
        <v>47239</v>
      </c>
      <c r="CW2" s="216">
        <f t="shared" si="38"/>
        <v>47270</v>
      </c>
      <c r="CX2" s="216">
        <f t="shared" si="38"/>
        <v>47300</v>
      </c>
      <c r="CY2" s="216">
        <f t="shared" si="38"/>
        <v>47331</v>
      </c>
      <c r="CZ2" s="216">
        <f t="shared" si="38"/>
        <v>47362</v>
      </c>
      <c r="DA2" s="216">
        <f t="shared" si="38"/>
        <v>47392</v>
      </c>
      <c r="DB2" s="216">
        <f t="shared" si="38"/>
        <v>47423</v>
      </c>
      <c r="DC2" s="216">
        <f t="shared" si="38"/>
        <v>47453</v>
      </c>
      <c r="DD2" s="216">
        <f t="shared" si="38"/>
        <v>47484</v>
      </c>
      <c r="DE2" s="216">
        <f t="shared" si="38"/>
        <v>47515</v>
      </c>
      <c r="DF2" s="216">
        <f t="shared" si="38"/>
        <v>47543</v>
      </c>
      <c r="DG2" s="216">
        <f t="shared" si="38"/>
        <v>47574</v>
      </c>
      <c r="DH2" s="216">
        <f t="shared" si="38"/>
        <v>47604</v>
      </c>
      <c r="DI2" s="216">
        <f t="shared" si="38"/>
        <v>47635</v>
      </c>
    </row>
    <row r="3" spans="2:113" s="5" customFormat="1" x14ac:dyDescent="0.3">
      <c r="C3" s="44" t="s">
        <v>108</v>
      </c>
      <c r="D3" s="44" t="s">
        <v>207</v>
      </c>
      <c r="F3" s="5">
        <f>Start</f>
        <v>44378</v>
      </c>
      <c r="G3" s="5">
        <f>EDATE(F3,1)</f>
        <v>44409</v>
      </c>
      <c r="H3" s="5">
        <f t="shared" ref="H3:N3" si="39">EDATE(G3,1)</f>
        <v>44440</v>
      </c>
      <c r="I3" s="5">
        <f t="shared" si="39"/>
        <v>44470</v>
      </c>
      <c r="J3" s="5">
        <f t="shared" si="39"/>
        <v>44501</v>
      </c>
      <c r="K3" s="5">
        <f t="shared" si="39"/>
        <v>44531</v>
      </c>
      <c r="L3" s="5">
        <f t="shared" si="39"/>
        <v>44562</v>
      </c>
      <c r="M3" s="5">
        <f t="shared" si="39"/>
        <v>44593</v>
      </c>
      <c r="N3" s="5">
        <f t="shared" si="39"/>
        <v>44621</v>
      </c>
      <c r="O3" s="5">
        <f t="shared" ref="O3:R3" si="40">EDATE(N3,1)</f>
        <v>44652</v>
      </c>
      <c r="P3" s="5">
        <f t="shared" si="40"/>
        <v>44682</v>
      </c>
      <c r="Q3" s="5">
        <f t="shared" si="40"/>
        <v>44713</v>
      </c>
      <c r="R3" s="5">
        <f t="shared" si="40"/>
        <v>44743</v>
      </c>
      <c r="S3" s="5">
        <f t="shared" ref="S3:AO3" si="41">EDATE(R3,1)</f>
        <v>44774</v>
      </c>
      <c r="T3" s="5">
        <f t="shared" si="41"/>
        <v>44805</v>
      </c>
      <c r="U3" s="5">
        <f t="shared" si="41"/>
        <v>44835</v>
      </c>
      <c r="V3" s="5">
        <f t="shared" si="41"/>
        <v>44866</v>
      </c>
      <c r="W3" s="5">
        <f t="shared" si="41"/>
        <v>44896</v>
      </c>
      <c r="X3" s="5">
        <f t="shared" si="41"/>
        <v>44927</v>
      </c>
      <c r="Y3" s="5">
        <f t="shared" si="41"/>
        <v>44958</v>
      </c>
      <c r="Z3" s="5">
        <f t="shared" si="41"/>
        <v>44986</v>
      </c>
      <c r="AA3" s="5">
        <f t="shared" si="41"/>
        <v>45017</v>
      </c>
      <c r="AB3" s="5">
        <f t="shared" si="41"/>
        <v>45047</v>
      </c>
      <c r="AC3" s="5">
        <f t="shared" si="41"/>
        <v>45078</v>
      </c>
      <c r="AD3" s="5">
        <f t="shared" si="41"/>
        <v>45108</v>
      </c>
      <c r="AE3" s="5">
        <f t="shared" si="41"/>
        <v>45139</v>
      </c>
      <c r="AF3" s="5">
        <f t="shared" si="41"/>
        <v>45170</v>
      </c>
      <c r="AG3" s="5">
        <f t="shared" si="41"/>
        <v>45200</v>
      </c>
      <c r="AH3" s="5">
        <f t="shared" si="41"/>
        <v>45231</v>
      </c>
      <c r="AI3" s="5">
        <f t="shared" si="41"/>
        <v>45261</v>
      </c>
      <c r="AJ3" s="5">
        <f t="shared" si="41"/>
        <v>45292</v>
      </c>
      <c r="AK3" s="5">
        <f t="shared" si="41"/>
        <v>45323</v>
      </c>
      <c r="AL3" s="5">
        <f t="shared" si="41"/>
        <v>45352</v>
      </c>
      <c r="AM3" s="5">
        <f t="shared" si="41"/>
        <v>45383</v>
      </c>
      <c r="AN3" s="5">
        <f t="shared" si="41"/>
        <v>45413</v>
      </c>
      <c r="AO3" s="5">
        <f t="shared" si="41"/>
        <v>45444</v>
      </c>
      <c r="AP3" s="5">
        <f t="shared" ref="AP3:BA3" si="42">EDATE(AO3,1)</f>
        <v>45474</v>
      </c>
      <c r="AQ3" s="5">
        <f t="shared" si="42"/>
        <v>45505</v>
      </c>
      <c r="AR3" s="5">
        <f t="shared" si="42"/>
        <v>45536</v>
      </c>
      <c r="AS3" s="5">
        <f t="shared" si="42"/>
        <v>45566</v>
      </c>
      <c r="AT3" s="5">
        <f t="shared" si="42"/>
        <v>45597</v>
      </c>
      <c r="AU3" s="5">
        <f t="shared" si="42"/>
        <v>45627</v>
      </c>
      <c r="AV3" s="5">
        <f t="shared" si="42"/>
        <v>45658</v>
      </c>
      <c r="AW3" s="5">
        <f t="shared" si="42"/>
        <v>45689</v>
      </c>
      <c r="AX3" s="5">
        <f t="shared" si="42"/>
        <v>45717</v>
      </c>
      <c r="AY3" s="5">
        <f t="shared" si="42"/>
        <v>45748</v>
      </c>
      <c r="AZ3" s="5">
        <f t="shared" si="42"/>
        <v>45778</v>
      </c>
      <c r="BA3" s="5">
        <f t="shared" si="42"/>
        <v>45809</v>
      </c>
      <c r="BB3" s="5">
        <f t="shared" ref="BB3" si="43">EDATE(BA3,1)</f>
        <v>45839</v>
      </c>
      <c r="BC3" s="5">
        <f t="shared" ref="BC3" si="44">EDATE(BB3,1)</f>
        <v>45870</v>
      </c>
      <c r="BD3" s="5">
        <f t="shared" ref="BD3" si="45">EDATE(BC3,1)</f>
        <v>45901</v>
      </c>
      <c r="BE3" s="5">
        <f t="shared" ref="BE3" si="46">EDATE(BD3,1)</f>
        <v>45931</v>
      </c>
      <c r="BF3" s="5">
        <f t="shared" ref="BF3" si="47">EDATE(BE3,1)</f>
        <v>45962</v>
      </c>
      <c r="BG3" s="5">
        <f t="shared" ref="BG3" si="48">EDATE(BF3,1)</f>
        <v>45992</v>
      </c>
      <c r="BH3" s="5">
        <f t="shared" ref="BH3" si="49">EDATE(BG3,1)</f>
        <v>46023</v>
      </c>
      <c r="BI3" s="5">
        <f t="shared" ref="BI3" si="50">EDATE(BH3,1)</f>
        <v>46054</v>
      </c>
      <c r="BJ3" s="5">
        <f t="shared" ref="BJ3" si="51">EDATE(BI3,1)</f>
        <v>46082</v>
      </c>
      <c r="BK3" s="5">
        <f t="shared" ref="BK3" si="52">EDATE(BJ3,1)</f>
        <v>46113</v>
      </c>
      <c r="BL3" s="5">
        <f t="shared" ref="BL3" si="53">EDATE(BK3,1)</f>
        <v>46143</v>
      </c>
      <c r="BM3" s="5">
        <f t="shared" ref="BM3" si="54">EDATE(BL3,1)</f>
        <v>46174</v>
      </c>
      <c r="BN3" s="5">
        <f t="shared" ref="BN3" si="55">EDATE(BM3,1)</f>
        <v>46204</v>
      </c>
      <c r="BO3" s="5">
        <f t="shared" ref="BO3" si="56">EDATE(BN3,1)</f>
        <v>46235</v>
      </c>
      <c r="BP3" s="5">
        <f t="shared" ref="BP3" si="57">EDATE(BO3,1)</f>
        <v>46266</v>
      </c>
      <c r="BQ3" s="5">
        <f t="shared" ref="BQ3" si="58">EDATE(BP3,1)</f>
        <v>46296</v>
      </c>
      <c r="BR3" s="5">
        <f t="shared" ref="BR3" si="59">EDATE(BQ3,1)</f>
        <v>46327</v>
      </c>
      <c r="BS3" s="5">
        <f t="shared" ref="BS3" si="60">EDATE(BR3,1)</f>
        <v>46357</v>
      </c>
      <c r="BT3" s="5">
        <f t="shared" ref="BT3" si="61">EDATE(BS3,1)</f>
        <v>46388</v>
      </c>
      <c r="BU3" s="5">
        <f t="shared" ref="BU3" si="62">EDATE(BT3,1)</f>
        <v>46419</v>
      </c>
      <c r="BV3" s="5">
        <f t="shared" ref="BV3" si="63">EDATE(BU3,1)</f>
        <v>46447</v>
      </c>
      <c r="BW3" s="5">
        <f t="shared" ref="BW3" si="64">EDATE(BV3,1)</f>
        <v>46478</v>
      </c>
      <c r="BX3" s="5">
        <f t="shared" ref="BX3" si="65">EDATE(BW3,1)</f>
        <v>46508</v>
      </c>
      <c r="BY3" s="5">
        <f t="shared" ref="BY3" si="66">EDATE(BX3,1)</f>
        <v>46539</v>
      </c>
      <c r="BZ3" s="5">
        <f t="shared" ref="BZ3" si="67">EDATE(BY3,1)</f>
        <v>46569</v>
      </c>
      <c r="CA3" s="5">
        <f t="shared" ref="CA3" si="68">EDATE(BZ3,1)</f>
        <v>46600</v>
      </c>
      <c r="CB3" s="5">
        <f t="shared" ref="CB3" si="69">EDATE(CA3,1)</f>
        <v>46631</v>
      </c>
      <c r="CC3" s="5">
        <f t="shared" ref="CC3" si="70">EDATE(CB3,1)</f>
        <v>46661</v>
      </c>
      <c r="CD3" s="5">
        <f t="shared" ref="CD3" si="71">EDATE(CC3,1)</f>
        <v>46692</v>
      </c>
      <c r="CE3" s="5">
        <f t="shared" ref="CE3" si="72">EDATE(CD3,1)</f>
        <v>46722</v>
      </c>
      <c r="CF3" s="5">
        <f t="shared" ref="CF3" si="73">EDATE(CE3,1)</f>
        <v>46753</v>
      </c>
      <c r="CG3" s="5">
        <f t="shared" ref="CG3" si="74">EDATE(CF3,1)</f>
        <v>46784</v>
      </c>
      <c r="CH3" s="5">
        <f t="shared" ref="CH3" si="75">EDATE(CG3,1)</f>
        <v>46813</v>
      </c>
      <c r="CI3" s="5">
        <f t="shared" ref="CI3" si="76">EDATE(CH3,1)</f>
        <v>46844</v>
      </c>
      <c r="CJ3" s="5">
        <f t="shared" ref="CJ3" si="77">EDATE(CI3,1)</f>
        <v>46874</v>
      </c>
      <c r="CK3" s="5">
        <f t="shared" ref="CK3" si="78">EDATE(CJ3,1)</f>
        <v>46905</v>
      </c>
      <c r="CL3" s="5">
        <f t="shared" ref="CL3" si="79">EDATE(CK3,1)</f>
        <v>46935</v>
      </c>
      <c r="CM3" s="5">
        <f t="shared" ref="CM3" si="80">EDATE(CL3,1)</f>
        <v>46966</v>
      </c>
      <c r="CN3" s="5">
        <f t="shared" ref="CN3" si="81">EDATE(CM3,1)</f>
        <v>46997</v>
      </c>
      <c r="CO3" s="5">
        <f t="shared" ref="CO3" si="82">EDATE(CN3,1)</f>
        <v>47027</v>
      </c>
      <c r="CP3" s="5">
        <f t="shared" ref="CP3" si="83">EDATE(CO3,1)</f>
        <v>47058</v>
      </c>
      <c r="CQ3" s="5">
        <f t="shared" ref="CQ3" si="84">EDATE(CP3,1)</f>
        <v>47088</v>
      </c>
      <c r="CR3" s="5">
        <f t="shared" ref="CR3" si="85">EDATE(CQ3,1)</f>
        <v>47119</v>
      </c>
      <c r="CS3" s="5">
        <f t="shared" ref="CS3" si="86">EDATE(CR3,1)</f>
        <v>47150</v>
      </c>
      <c r="CT3" s="5">
        <f t="shared" ref="CT3" si="87">EDATE(CS3,1)</f>
        <v>47178</v>
      </c>
      <c r="CU3" s="5">
        <f t="shared" ref="CU3" si="88">EDATE(CT3,1)</f>
        <v>47209</v>
      </c>
      <c r="CV3" s="5">
        <f t="shared" ref="CV3" si="89">EDATE(CU3,1)</f>
        <v>47239</v>
      </c>
      <c r="CW3" s="5">
        <f t="shared" ref="CW3" si="90">EDATE(CV3,1)</f>
        <v>47270</v>
      </c>
      <c r="CX3" s="5">
        <f t="shared" ref="CX3" si="91">EDATE(CW3,1)</f>
        <v>47300</v>
      </c>
      <c r="CY3" s="5">
        <f t="shared" ref="CY3" si="92">EDATE(CX3,1)</f>
        <v>47331</v>
      </c>
      <c r="CZ3" s="5">
        <f t="shared" ref="CZ3" si="93">EDATE(CY3,1)</f>
        <v>47362</v>
      </c>
      <c r="DA3" s="5">
        <f t="shared" ref="DA3" si="94">EDATE(CZ3,1)</f>
        <v>47392</v>
      </c>
      <c r="DB3" s="5">
        <f t="shared" ref="DB3" si="95">EDATE(DA3,1)</f>
        <v>47423</v>
      </c>
      <c r="DC3" s="5">
        <f t="shared" ref="DC3" si="96">EDATE(DB3,1)</f>
        <v>47453</v>
      </c>
      <c r="DD3" s="5">
        <f t="shared" ref="DD3" si="97">EDATE(DC3,1)</f>
        <v>47484</v>
      </c>
      <c r="DE3" s="5">
        <f t="shared" ref="DE3" si="98">EDATE(DD3,1)</f>
        <v>47515</v>
      </c>
      <c r="DF3" s="5">
        <f t="shared" ref="DF3" si="99">EDATE(DE3,1)</f>
        <v>47543</v>
      </c>
      <c r="DG3" s="5">
        <f t="shared" ref="DG3" si="100">EDATE(DF3,1)</f>
        <v>47574</v>
      </c>
      <c r="DH3" s="5">
        <f t="shared" ref="DH3" si="101">EDATE(DG3,1)</f>
        <v>47604</v>
      </c>
      <c r="DI3" s="5">
        <f t="shared" ref="DI3" si="102">EDATE(DH3,1)</f>
        <v>47635</v>
      </c>
    </row>
    <row r="4" spans="2:113" s="5" customFormat="1" x14ac:dyDescent="0.3">
      <c r="F4" s="5">
        <f>EDATE(F3,1)-1</f>
        <v>44408</v>
      </c>
      <c r="G4" s="5">
        <f>EDATE(G3,1)-1</f>
        <v>44439</v>
      </c>
      <c r="H4" s="5">
        <f t="shared" ref="H4:N4" si="103">EDATE(H3,1)-1</f>
        <v>44469</v>
      </c>
      <c r="I4" s="5">
        <f t="shared" si="103"/>
        <v>44500</v>
      </c>
      <c r="J4" s="5">
        <f t="shared" si="103"/>
        <v>44530</v>
      </c>
      <c r="K4" s="5">
        <f t="shared" si="103"/>
        <v>44561</v>
      </c>
      <c r="L4" s="5">
        <f t="shared" si="103"/>
        <v>44592</v>
      </c>
      <c r="M4" s="5">
        <f t="shared" si="103"/>
        <v>44620</v>
      </c>
      <c r="N4" s="5">
        <f t="shared" si="103"/>
        <v>44651</v>
      </c>
      <c r="O4" s="5">
        <f t="shared" ref="O4" si="104">EDATE(O3,1)-1</f>
        <v>44681</v>
      </c>
      <c r="P4" s="5">
        <f t="shared" ref="P4" si="105">EDATE(P3,1)-1</f>
        <v>44712</v>
      </c>
      <c r="Q4" s="5">
        <f t="shared" ref="Q4" si="106">EDATE(Q3,1)-1</f>
        <v>44742</v>
      </c>
      <c r="R4" s="5">
        <f t="shared" ref="R4:S4" si="107">EDATE(R3,1)-1</f>
        <v>44773</v>
      </c>
      <c r="S4" s="5">
        <f t="shared" si="107"/>
        <v>44804</v>
      </c>
      <c r="T4" s="5">
        <f t="shared" ref="T4" si="108">EDATE(T3,1)-1</f>
        <v>44834</v>
      </c>
      <c r="U4" s="5">
        <f t="shared" ref="U4" si="109">EDATE(U3,1)-1</f>
        <v>44865</v>
      </c>
      <c r="V4" s="5">
        <f t="shared" ref="V4" si="110">EDATE(V3,1)-1</f>
        <v>44895</v>
      </c>
      <c r="W4" s="5">
        <f t="shared" ref="W4" si="111">EDATE(W3,1)-1</f>
        <v>44926</v>
      </c>
      <c r="X4" s="5">
        <f t="shared" ref="X4" si="112">EDATE(X3,1)-1</f>
        <v>44957</v>
      </c>
      <c r="Y4" s="5">
        <f t="shared" ref="Y4" si="113">EDATE(Y3,1)-1</f>
        <v>44985</v>
      </c>
      <c r="Z4" s="5">
        <f t="shared" ref="Z4" si="114">EDATE(Z3,1)-1</f>
        <v>45016</v>
      </c>
      <c r="AA4" s="5">
        <f t="shared" ref="AA4" si="115">EDATE(AA3,1)-1</f>
        <v>45046</v>
      </c>
      <c r="AB4" s="5">
        <f t="shared" ref="AB4" si="116">EDATE(AB3,1)-1</f>
        <v>45077</v>
      </c>
      <c r="AC4" s="5">
        <f t="shared" ref="AC4" si="117">EDATE(AC3,1)-1</f>
        <v>45107</v>
      </c>
      <c r="AD4" s="5">
        <f t="shared" ref="AD4" si="118">EDATE(AD3,1)-1</f>
        <v>45138</v>
      </c>
      <c r="AE4" s="5">
        <f t="shared" ref="AE4" si="119">EDATE(AE3,1)-1</f>
        <v>45169</v>
      </c>
      <c r="AF4" s="5">
        <f t="shared" ref="AF4" si="120">EDATE(AF3,1)-1</f>
        <v>45199</v>
      </c>
      <c r="AG4" s="5">
        <f t="shared" ref="AG4" si="121">EDATE(AG3,1)-1</f>
        <v>45230</v>
      </c>
      <c r="AH4" s="5">
        <f t="shared" ref="AH4" si="122">EDATE(AH3,1)-1</f>
        <v>45260</v>
      </c>
      <c r="AI4" s="5">
        <f t="shared" ref="AI4" si="123">EDATE(AI3,1)-1</f>
        <v>45291</v>
      </c>
      <c r="AJ4" s="5">
        <f t="shared" ref="AJ4" si="124">EDATE(AJ3,1)-1</f>
        <v>45322</v>
      </c>
      <c r="AK4" s="5">
        <f t="shared" ref="AK4" si="125">EDATE(AK3,1)-1</f>
        <v>45351</v>
      </c>
      <c r="AL4" s="5">
        <f t="shared" ref="AL4" si="126">EDATE(AL3,1)-1</f>
        <v>45382</v>
      </c>
      <c r="AM4" s="5">
        <f t="shared" ref="AM4" si="127">EDATE(AM3,1)-1</f>
        <v>45412</v>
      </c>
      <c r="AN4" s="5">
        <f t="shared" ref="AN4" si="128">EDATE(AN3,1)-1</f>
        <v>45443</v>
      </c>
      <c r="AO4" s="5">
        <f t="shared" ref="AO4" si="129">EDATE(AO3,1)-1</f>
        <v>45473</v>
      </c>
      <c r="AP4" s="5">
        <f t="shared" ref="AP4" si="130">EDATE(AP3,1)-1</f>
        <v>45504</v>
      </c>
      <c r="AQ4" s="5">
        <f t="shared" ref="AQ4" si="131">EDATE(AQ3,1)-1</f>
        <v>45535</v>
      </c>
      <c r="AR4" s="5">
        <f t="shared" ref="AR4" si="132">EDATE(AR3,1)-1</f>
        <v>45565</v>
      </c>
      <c r="AS4" s="5">
        <f t="shared" ref="AS4" si="133">EDATE(AS3,1)-1</f>
        <v>45596</v>
      </c>
      <c r="AT4" s="5">
        <f t="shared" ref="AT4" si="134">EDATE(AT3,1)-1</f>
        <v>45626</v>
      </c>
      <c r="AU4" s="5">
        <f t="shared" ref="AU4" si="135">EDATE(AU3,1)-1</f>
        <v>45657</v>
      </c>
      <c r="AV4" s="5">
        <f t="shared" ref="AV4" si="136">EDATE(AV3,1)-1</f>
        <v>45688</v>
      </c>
      <c r="AW4" s="5">
        <f t="shared" ref="AW4" si="137">EDATE(AW3,1)-1</f>
        <v>45716</v>
      </c>
      <c r="AX4" s="5">
        <f t="shared" ref="AX4" si="138">EDATE(AX3,1)-1</f>
        <v>45747</v>
      </c>
      <c r="AY4" s="5">
        <f t="shared" ref="AY4" si="139">EDATE(AY3,1)-1</f>
        <v>45777</v>
      </c>
      <c r="AZ4" s="5">
        <f t="shared" ref="AZ4" si="140">EDATE(AZ3,1)-1</f>
        <v>45808</v>
      </c>
      <c r="BA4" s="5">
        <f t="shared" ref="BA4:DI4" si="141">EDATE(BA3,1)-1</f>
        <v>45838</v>
      </c>
      <c r="BB4" s="5">
        <f t="shared" si="141"/>
        <v>45869</v>
      </c>
      <c r="BC4" s="5">
        <f t="shared" si="141"/>
        <v>45900</v>
      </c>
      <c r="BD4" s="5">
        <f t="shared" si="141"/>
        <v>45930</v>
      </c>
      <c r="BE4" s="5">
        <f t="shared" si="141"/>
        <v>45961</v>
      </c>
      <c r="BF4" s="5">
        <f t="shared" si="141"/>
        <v>45991</v>
      </c>
      <c r="BG4" s="5">
        <f t="shared" si="141"/>
        <v>46022</v>
      </c>
      <c r="BH4" s="5">
        <f t="shared" si="141"/>
        <v>46053</v>
      </c>
      <c r="BI4" s="5">
        <f t="shared" si="141"/>
        <v>46081</v>
      </c>
      <c r="BJ4" s="5">
        <f t="shared" si="141"/>
        <v>46112</v>
      </c>
      <c r="BK4" s="5">
        <f t="shared" si="141"/>
        <v>46142</v>
      </c>
      <c r="BL4" s="5">
        <f t="shared" si="141"/>
        <v>46173</v>
      </c>
      <c r="BM4" s="5">
        <f t="shared" si="141"/>
        <v>46203</v>
      </c>
      <c r="BN4" s="5">
        <f t="shared" si="141"/>
        <v>46234</v>
      </c>
      <c r="BO4" s="5">
        <f t="shared" si="141"/>
        <v>46265</v>
      </c>
      <c r="BP4" s="5">
        <f t="shared" si="141"/>
        <v>46295</v>
      </c>
      <c r="BQ4" s="5">
        <f t="shared" si="141"/>
        <v>46326</v>
      </c>
      <c r="BR4" s="5">
        <f t="shared" si="141"/>
        <v>46356</v>
      </c>
      <c r="BS4" s="5">
        <f t="shared" si="141"/>
        <v>46387</v>
      </c>
      <c r="BT4" s="5">
        <f t="shared" si="141"/>
        <v>46418</v>
      </c>
      <c r="BU4" s="5">
        <f t="shared" si="141"/>
        <v>46446</v>
      </c>
      <c r="BV4" s="5">
        <f t="shared" si="141"/>
        <v>46477</v>
      </c>
      <c r="BW4" s="5">
        <f t="shared" si="141"/>
        <v>46507</v>
      </c>
      <c r="BX4" s="5">
        <f t="shared" si="141"/>
        <v>46538</v>
      </c>
      <c r="BY4" s="5">
        <f t="shared" si="141"/>
        <v>46568</v>
      </c>
      <c r="BZ4" s="5">
        <f t="shared" si="141"/>
        <v>46599</v>
      </c>
      <c r="CA4" s="5">
        <f t="shared" si="141"/>
        <v>46630</v>
      </c>
      <c r="CB4" s="5">
        <f t="shared" si="141"/>
        <v>46660</v>
      </c>
      <c r="CC4" s="5">
        <f t="shared" si="141"/>
        <v>46691</v>
      </c>
      <c r="CD4" s="5">
        <f t="shared" si="141"/>
        <v>46721</v>
      </c>
      <c r="CE4" s="5">
        <f t="shared" si="141"/>
        <v>46752</v>
      </c>
      <c r="CF4" s="5">
        <f t="shared" si="141"/>
        <v>46783</v>
      </c>
      <c r="CG4" s="5">
        <f t="shared" si="141"/>
        <v>46812</v>
      </c>
      <c r="CH4" s="5">
        <f t="shared" si="141"/>
        <v>46843</v>
      </c>
      <c r="CI4" s="5">
        <f t="shared" si="141"/>
        <v>46873</v>
      </c>
      <c r="CJ4" s="5">
        <f t="shared" si="141"/>
        <v>46904</v>
      </c>
      <c r="CK4" s="5">
        <f t="shared" si="141"/>
        <v>46934</v>
      </c>
      <c r="CL4" s="5">
        <f t="shared" si="141"/>
        <v>46965</v>
      </c>
      <c r="CM4" s="5">
        <f t="shared" si="141"/>
        <v>46996</v>
      </c>
      <c r="CN4" s="5">
        <f t="shared" si="141"/>
        <v>47026</v>
      </c>
      <c r="CO4" s="5">
        <f t="shared" si="141"/>
        <v>47057</v>
      </c>
      <c r="CP4" s="5">
        <f t="shared" si="141"/>
        <v>47087</v>
      </c>
      <c r="CQ4" s="5">
        <f t="shared" si="141"/>
        <v>47118</v>
      </c>
      <c r="CR4" s="5">
        <f t="shared" si="141"/>
        <v>47149</v>
      </c>
      <c r="CS4" s="5">
        <f t="shared" si="141"/>
        <v>47177</v>
      </c>
      <c r="CT4" s="5">
        <f t="shared" si="141"/>
        <v>47208</v>
      </c>
      <c r="CU4" s="5">
        <f t="shared" si="141"/>
        <v>47238</v>
      </c>
      <c r="CV4" s="5">
        <f t="shared" si="141"/>
        <v>47269</v>
      </c>
      <c r="CW4" s="5">
        <f t="shared" si="141"/>
        <v>47299</v>
      </c>
      <c r="CX4" s="5">
        <f t="shared" si="141"/>
        <v>47330</v>
      </c>
      <c r="CY4" s="5">
        <f t="shared" si="141"/>
        <v>47361</v>
      </c>
      <c r="CZ4" s="5">
        <f t="shared" si="141"/>
        <v>47391</v>
      </c>
      <c r="DA4" s="5">
        <f t="shared" si="141"/>
        <v>47422</v>
      </c>
      <c r="DB4" s="5">
        <f t="shared" si="141"/>
        <v>47452</v>
      </c>
      <c r="DC4" s="5">
        <f t="shared" si="141"/>
        <v>47483</v>
      </c>
      <c r="DD4" s="5">
        <f t="shared" si="141"/>
        <v>47514</v>
      </c>
      <c r="DE4" s="5">
        <f t="shared" si="141"/>
        <v>47542</v>
      </c>
      <c r="DF4" s="5">
        <f t="shared" si="141"/>
        <v>47573</v>
      </c>
      <c r="DG4" s="5">
        <f t="shared" si="141"/>
        <v>47603</v>
      </c>
      <c r="DH4" s="5">
        <f t="shared" si="141"/>
        <v>47634</v>
      </c>
      <c r="DI4" s="5">
        <f t="shared" si="141"/>
        <v>47664</v>
      </c>
    </row>
    <row r="5" spans="2:113" x14ac:dyDescent="0.3">
      <c r="B5" s="1" t="s">
        <v>41</v>
      </c>
      <c r="C5" s="5">
        <f>Start</f>
        <v>44378</v>
      </c>
      <c r="D5" s="5">
        <f>Finish</f>
        <v>47664</v>
      </c>
      <c r="E5" s="5"/>
    </row>
    <row r="6" spans="2:113" x14ac:dyDescent="0.3">
      <c r="B6" s="1" t="s">
        <v>56</v>
      </c>
      <c r="C6" s="5">
        <f>StartReconception</f>
        <v>44378</v>
      </c>
      <c r="D6" s="5">
        <f>FinishReconception</f>
        <v>44742</v>
      </c>
      <c r="E6" s="5"/>
    </row>
    <row r="7" spans="2:113" s="11" customFormat="1" x14ac:dyDescent="0.3">
      <c r="B7" s="158" t="s">
        <v>206</v>
      </c>
      <c r="C7" s="158"/>
      <c r="D7" s="159"/>
      <c r="E7" s="159"/>
      <c r="F7" s="159">
        <f t="shared" ref="F7:BA7" si="142">IF(OR(F3&lt;Start,F3&gt;Finish),0,IF(F3&lt;=StartReconception,RentedSpacesAtStart,IF(F3&gt;=FinishReconception+1,GLA*(1-RatioOfFreeSpaces),(GLA*(1-RatioOfFreeSpaces)-RentedSpacesAtStart)*(F3-StartReconception)/(FinishReconception-StartReconception+1)+RentedSpacesAtStart)))</f>
        <v>5209.2912298773381</v>
      </c>
      <c r="G7" s="159">
        <f t="shared" si="142"/>
        <v>5598.6521446000843</v>
      </c>
      <c r="H7" s="159">
        <f t="shared" si="142"/>
        <v>5988.0130593228314</v>
      </c>
      <c r="I7" s="159">
        <f t="shared" si="142"/>
        <v>6364.8139445383922</v>
      </c>
      <c r="J7" s="159">
        <f t="shared" si="142"/>
        <v>6754.1748592611393</v>
      </c>
      <c r="K7" s="159">
        <f t="shared" si="142"/>
        <v>7130.9757444767001</v>
      </c>
      <c r="L7" s="159">
        <f t="shared" si="142"/>
        <v>7520.3366591994472</v>
      </c>
      <c r="M7" s="159">
        <f t="shared" si="142"/>
        <v>7909.6975739221934</v>
      </c>
      <c r="N7" s="159">
        <f t="shared" si="142"/>
        <v>8261.3784001233835</v>
      </c>
      <c r="O7" s="159">
        <f t="shared" si="142"/>
        <v>8650.7393148461306</v>
      </c>
      <c r="P7" s="159">
        <f t="shared" si="142"/>
        <v>9027.5402000616923</v>
      </c>
      <c r="Q7" s="159">
        <f t="shared" si="142"/>
        <v>9416.9011147844376</v>
      </c>
      <c r="R7" s="159">
        <f t="shared" si="142"/>
        <v>9793.7019999999993</v>
      </c>
      <c r="S7" s="159">
        <f t="shared" si="142"/>
        <v>9793.7019999999993</v>
      </c>
      <c r="T7" s="159">
        <f t="shared" si="142"/>
        <v>9793.7019999999993</v>
      </c>
      <c r="U7" s="159">
        <f t="shared" si="142"/>
        <v>9793.7019999999993</v>
      </c>
      <c r="V7" s="159">
        <f t="shared" si="142"/>
        <v>9793.7019999999993</v>
      </c>
      <c r="W7" s="159">
        <f t="shared" si="142"/>
        <v>9793.7019999999993</v>
      </c>
      <c r="X7" s="159">
        <f t="shared" si="142"/>
        <v>9793.7019999999993</v>
      </c>
      <c r="Y7" s="159">
        <f t="shared" si="142"/>
        <v>9793.7019999999993</v>
      </c>
      <c r="Z7" s="159">
        <f t="shared" si="142"/>
        <v>9793.7019999999993</v>
      </c>
      <c r="AA7" s="159">
        <f t="shared" si="142"/>
        <v>9793.7019999999993</v>
      </c>
      <c r="AB7" s="159">
        <f t="shared" si="142"/>
        <v>9793.7019999999993</v>
      </c>
      <c r="AC7" s="159">
        <f t="shared" si="142"/>
        <v>9793.7019999999993</v>
      </c>
      <c r="AD7" s="159">
        <f t="shared" si="142"/>
        <v>9793.7019999999993</v>
      </c>
      <c r="AE7" s="159">
        <f t="shared" si="142"/>
        <v>9793.7019999999993</v>
      </c>
      <c r="AF7" s="159">
        <f t="shared" si="142"/>
        <v>9793.7019999999993</v>
      </c>
      <c r="AG7" s="159">
        <f t="shared" si="142"/>
        <v>9793.7019999999993</v>
      </c>
      <c r="AH7" s="159">
        <f t="shared" si="142"/>
        <v>9793.7019999999993</v>
      </c>
      <c r="AI7" s="159">
        <f t="shared" si="142"/>
        <v>9793.7019999999993</v>
      </c>
      <c r="AJ7" s="159">
        <f t="shared" si="142"/>
        <v>9793.7019999999993</v>
      </c>
      <c r="AK7" s="159">
        <f t="shared" si="142"/>
        <v>9793.7019999999993</v>
      </c>
      <c r="AL7" s="159">
        <f t="shared" si="142"/>
        <v>9793.7019999999993</v>
      </c>
      <c r="AM7" s="159">
        <f t="shared" si="142"/>
        <v>9793.7019999999993</v>
      </c>
      <c r="AN7" s="159">
        <f t="shared" si="142"/>
        <v>9793.7019999999993</v>
      </c>
      <c r="AO7" s="159">
        <f t="shared" si="142"/>
        <v>9793.7019999999993</v>
      </c>
      <c r="AP7" s="159">
        <f t="shared" si="142"/>
        <v>9793.7019999999993</v>
      </c>
      <c r="AQ7" s="159">
        <f t="shared" si="142"/>
        <v>9793.7019999999993</v>
      </c>
      <c r="AR7" s="159">
        <f t="shared" si="142"/>
        <v>9793.7019999999993</v>
      </c>
      <c r="AS7" s="159">
        <f t="shared" si="142"/>
        <v>9793.7019999999993</v>
      </c>
      <c r="AT7" s="159">
        <f t="shared" si="142"/>
        <v>9793.7019999999993</v>
      </c>
      <c r="AU7" s="159">
        <f t="shared" si="142"/>
        <v>9793.7019999999993</v>
      </c>
      <c r="AV7" s="159">
        <f t="shared" si="142"/>
        <v>9793.7019999999993</v>
      </c>
      <c r="AW7" s="159">
        <f t="shared" si="142"/>
        <v>9793.7019999999993</v>
      </c>
      <c r="AX7" s="159">
        <f t="shared" si="142"/>
        <v>9793.7019999999993</v>
      </c>
      <c r="AY7" s="159">
        <f t="shared" si="142"/>
        <v>9793.7019999999993</v>
      </c>
      <c r="AZ7" s="159">
        <f t="shared" si="142"/>
        <v>9793.7019999999993</v>
      </c>
      <c r="BA7" s="159">
        <f t="shared" si="142"/>
        <v>9793.7019999999993</v>
      </c>
      <c r="BB7" s="159">
        <f t="shared" ref="BB7:DI7" si="143">IF(OR(BB3&lt;Start,BB3&gt;Finish),0,IF(BB3&lt;=StartReconception,RentedSpacesAtStart,IF(BB3&gt;=FinishReconception+1,GLA*(1-RatioOfFreeSpaces),(GLA*(1-RatioOfFreeSpaces)-RentedSpacesAtStart)*(BB3-StartReconception)/(FinishReconception-StartReconception+1)+RentedSpacesAtStart)))</f>
        <v>9793.7019999999993</v>
      </c>
      <c r="BC7" s="159">
        <f t="shared" si="143"/>
        <v>9793.7019999999993</v>
      </c>
      <c r="BD7" s="159">
        <f t="shared" si="143"/>
        <v>9793.7019999999993</v>
      </c>
      <c r="BE7" s="159">
        <f t="shared" si="143"/>
        <v>9793.7019999999993</v>
      </c>
      <c r="BF7" s="159">
        <f t="shared" si="143"/>
        <v>9793.7019999999993</v>
      </c>
      <c r="BG7" s="159">
        <f t="shared" si="143"/>
        <v>9793.7019999999993</v>
      </c>
      <c r="BH7" s="159">
        <f t="shared" si="143"/>
        <v>9793.7019999999993</v>
      </c>
      <c r="BI7" s="159">
        <f t="shared" si="143"/>
        <v>9793.7019999999993</v>
      </c>
      <c r="BJ7" s="159">
        <f t="shared" si="143"/>
        <v>9793.7019999999993</v>
      </c>
      <c r="BK7" s="159">
        <f t="shared" si="143"/>
        <v>9793.7019999999993</v>
      </c>
      <c r="BL7" s="159">
        <f t="shared" si="143"/>
        <v>9793.7019999999993</v>
      </c>
      <c r="BM7" s="159">
        <f t="shared" si="143"/>
        <v>9793.7019999999993</v>
      </c>
      <c r="BN7" s="159">
        <f t="shared" si="143"/>
        <v>9793.7019999999993</v>
      </c>
      <c r="BO7" s="159">
        <f t="shared" si="143"/>
        <v>9793.7019999999993</v>
      </c>
      <c r="BP7" s="159">
        <f t="shared" si="143"/>
        <v>9793.7019999999993</v>
      </c>
      <c r="BQ7" s="159">
        <f t="shared" si="143"/>
        <v>9793.7019999999993</v>
      </c>
      <c r="BR7" s="159">
        <f t="shared" si="143"/>
        <v>9793.7019999999993</v>
      </c>
      <c r="BS7" s="159">
        <f t="shared" si="143"/>
        <v>9793.7019999999993</v>
      </c>
      <c r="BT7" s="159">
        <f t="shared" si="143"/>
        <v>9793.7019999999993</v>
      </c>
      <c r="BU7" s="159">
        <f t="shared" si="143"/>
        <v>9793.7019999999993</v>
      </c>
      <c r="BV7" s="159">
        <f t="shared" si="143"/>
        <v>9793.7019999999993</v>
      </c>
      <c r="BW7" s="159">
        <f t="shared" si="143"/>
        <v>9793.7019999999993</v>
      </c>
      <c r="BX7" s="159">
        <f t="shared" si="143"/>
        <v>9793.7019999999993</v>
      </c>
      <c r="BY7" s="159">
        <f t="shared" si="143"/>
        <v>9793.7019999999993</v>
      </c>
      <c r="BZ7" s="159">
        <f t="shared" si="143"/>
        <v>9793.7019999999993</v>
      </c>
      <c r="CA7" s="159">
        <f t="shared" si="143"/>
        <v>9793.7019999999993</v>
      </c>
      <c r="CB7" s="159">
        <f t="shared" si="143"/>
        <v>9793.7019999999993</v>
      </c>
      <c r="CC7" s="159">
        <f t="shared" si="143"/>
        <v>9793.7019999999993</v>
      </c>
      <c r="CD7" s="159">
        <f t="shared" si="143"/>
        <v>9793.7019999999993</v>
      </c>
      <c r="CE7" s="159">
        <f t="shared" si="143"/>
        <v>9793.7019999999993</v>
      </c>
      <c r="CF7" s="159">
        <f t="shared" si="143"/>
        <v>9793.7019999999993</v>
      </c>
      <c r="CG7" s="159">
        <f t="shared" si="143"/>
        <v>9793.7019999999993</v>
      </c>
      <c r="CH7" s="159">
        <f t="shared" si="143"/>
        <v>9793.7019999999993</v>
      </c>
      <c r="CI7" s="159">
        <f t="shared" si="143"/>
        <v>9793.7019999999993</v>
      </c>
      <c r="CJ7" s="159">
        <f t="shared" si="143"/>
        <v>9793.7019999999993</v>
      </c>
      <c r="CK7" s="159">
        <f t="shared" si="143"/>
        <v>9793.7019999999993</v>
      </c>
      <c r="CL7" s="159">
        <f t="shared" si="143"/>
        <v>9793.7019999999993</v>
      </c>
      <c r="CM7" s="159">
        <f t="shared" si="143"/>
        <v>9793.7019999999993</v>
      </c>
      <c r="CN7" s="159">
        <f t="shared" si="143"/>
        <v>9793.7019999999993</v>
      </c>
      <c r="CO7" s="159">
        <f t="shared" si="143"/>
        <v>9793.7019999999993</v>
      </c>
      <c r="CP7" s="159">
        <f t="shared" si="143"/>
        <v>9793.7019999999993</v>
      </c>
      <c r="CQ7" s="159">
        <f t="shared" si="143"/>
        <v>9793.7019999999993</v>
      </c>
      <c r="CR7" s="159">
        <f t="shared" si="143"/>
        <v>9793.7019999999993</v>
      </c>
      <c r="CS7" s="159">
        <f t="shared" si="143"/>
        <v>9793.7019999999993</v>
      </c>
      <c r="CT7" s="159">
        <f t="shared" si="143"/>
        <v>9793.7019999999993</v>
      </c>
      <c r="CU7" s="159">
        <f t="shared" si="143"/>
        <v>9793.7019999999993</v>
      </c>
      <c r="CV7" s="159">
        <f t="shared" si="143"/>
        <v>9793.7019999999993</v>
      </c>
      <c r="CW7" s="159">
        <f t="shared" si="143"/>
        <v>9793.7019999999993</v>
      </c>
      <c r="CX7" s="159">
        <f t="shared" si="143"/>
        <v>9793.7019999999993</v>
      </c>
      <c r="CY7" s="159">
        <f t="shared" si="143"/>
        <v>9793.7019999999993</v>
      </c>
      <c r="CZ7" s="159">
        <f t="shared" si="143"/>
        <v>9793.7019999999993</v>
      </c>
      <c r="DA7" s="159">
        <f t="shared" si="143"/>
        <v>9793.7019999999993</v>
      </c>
      <c r="DB7" s="159">
        <f t="shared" si="143"/>
        <v>9793.7019999999993</v>
      </c>
      <c r="DC7" s="159">
        <f t="shared" si="143"/>
        <v>9793.7019999999993</v>
      </c>
      <c r="DD7" s="159">
        <f t="shared" si="143"/>
        <v>9793.7019999999993</v>
      </c>
      <c r="DE7" s="159">
        <f t="shared" si="143"/>
        <v>9793.7019999999993</v>
      </c>
      <c r="DF7" s="159">
        <f t="shared" si="143"/>
        <v>9793.7019999999993</v>
      </c>
      <c r="DG7" s="159">
        <f t="shared" si="143"/>
        <v>9793.7019999999993</v>
      </c>
      <c r="DH7" s="159">
        <f t="shared" si="143"/>
        <v>9793.7019999999993</v>
      </c>
      <c r="DI7" s="159">
        <f t="shared" si="143"/>
        <v>9793.7019999999993</v>
      </c>
    </row>
    <row r="8" spans="2:113" s="157" customFormat="1" x14ac:dyDescent="0.3">
      <c r="B8" s="155"/>
      <c r="C8" s="155"/>
      <c r="D8" s="156"/>
      <c r="E8" s="156"/>
      <c r="F8" s="156"/>
      <c r="G8" s="156"/>
      <c r="H8" s="156"/>
      <c r="I8" s="156"/>
      <c r="J8" s="156"/>
      <c r="K8" s="156"/>
      <c r="L8" s="156"/>
      <c r="M8" s="156"/>
      <c r="N8" s="156"/>
      <c r="O8" s="156"/>
      <c r="P8" s="156"/>
      <c r="Q8" s="156"/>
      <c r="R8" s="156"/>
      <c r="S8" s="156"/>
      <c r="T8" s="156"/>
      <c r="U8" s="156"/>
      <c r="V8" s="156"/>
      <c r="W8" s="156"/>
      <c r="X8" s="156"/>
      <c r="Y8" s="156"/>
      <c r="Z8" s="156"/>
      <c r="AA8" s="156"/>
      <c r="AB8" s="156"/>
      <c r="AC8" s="156"/>
      <c r="AD8" s="156"/>
      <c r="AE8" s="156"/>
      <c r="AF8" s="156"/>
      <c r="AG8" s="156"/>
      <c r="AH8" s="156"/>
      <c r="AI8" s="156"/>
      <c r="AJ8" s="156"/>
      <c r="AK8" s="156"/>
      <c r="AL8" s="156"/>
      <c r="AM8" s="156"/>
      <c r="AN8" s="156"/>
      <c r="AO8" s="156"/>
      <c r="AP8" s="156"/>
      <c r="AQ8" s="156"/>
      <c r="AR8" s="156"/>
      <c r="AS8" s="156"/>
      <c r="AT8" s="156"/>
      <c r="AU8" s="156"/>
      <c r="AV8" s="156"/>
      <c r="AW8" s="156"/>
      <c r="AX8" s="156"/>
      <c r="AY8" s="156"/>
      <c r="AZ8" s="156"/>
      <c r="BA8" s="156"/>
      <c r="BB8" s="156"/>
      <c r="BC8" s="156"/>
      <c r="BD8" s="156"/>
      <c r="BE8" s="156"/>
      <c r="BF8" s="156"/>
      <c r="BG8" s="156"/>
      <c r="BH8" s="156"/>
      <c r="BI8" s="156"/>
      <c r="BJ8" s="156"/>
      <c r="BK8" s="156"/>
      <c r="BL8" s="156"/>
      <c r="BM8" s="156"/>
      <c r="BN8" s="156"/>
      <c r="BO8" s="156"/>
      <c r="BP8" s="156"/>
      <c r="BQ8" s="156"/>
      <c r="BR8" s="156"/>
      <c r="BS8" s="156"/>
      <c r="BT8" s="156"/>
      <c r="BU8" s="156"/>
      <c r="BV8" s="156"/>
      <c r="BW8" s="156"/>
      <c r="BX8" s="156"/>
      <c r="BY8" s="156"/>
      <c r="BZ8" s="156"/>
      <c r="CA8" s="156"/>
      <c r="CB8" s="156"/>
      <c r="CC8" s="156"/>
      <c r="CD8" s="156"/>
      <c r="CE8" s="156"/>
      <c r="CF8" s="156"/>
      <c r="CG8" s="156"/>
      <c r="CH8" s="156"/>
      <c r="CI8" s="156"/>
      <c r="CJ8" s="156"/>
      <c r="CK8" s="156"/>
      <c r="CL8" s="156"/>
      <c r="CM8" s="156"/>
      <c r="CN8" s="156"/>
      <c r="CO8" s="156"/>
      <c r="CP8" s="156"/>
      <c r="CQ8" s="156"/>
      <c r="CR8" s="156"/>
      <c r="CS8" s="156"/>
      <c r="CT8" s="156"/>
      <c r="CU8" s="156"/>
      <c r="CV8" s="156"/>
      <c r="CW8" s="156"/>
      <c r="CX8" s="156"/>
      <c r="CY8" s="156"/>
      <c r="CZ8" s="156"/>
      <c r="DA8" s="156"/>
      <c r="DB8" s="156"/>
      <c r="DC8" s="156"/>
      <c r="DD8" s="156"/>
      <c r="DE8" s="156"/>
      <c r="DF8" s="156"/>
      <c r="DG8" s="156"/>
      <c r="DH8" s="156"/>
      <c r="DI8" s="156"/>
    </row>
    <row r="9" spans="2:113" s="162" customFormat="1" ht="13" customHeight="1" x14ac:dyDescent="0.3">
      <c r="B9" s="161" t="s">
        <v>205</v>
      </c>
      <c r="F9" s="163">
        <f t="shared" ref="F9:AK9" si="144">F7/GLA</f>
        <v>0.51594509338562866</v>
      </c>
      <c r="G9" s="163">
        <f t="shared" si="144"/>
        <v>0.55450866079671213</v>
      </c>
      <c r="H9" s="163">
        <f t="shared" si="144"/>
        <v>0.59307222820779582</v>
      </c>
      <c r="I9" s="163">
        <f t="shared" si="144"/>
        <v>0.6303918095733605</v>
      </c>
      <c r="J9" s="163">
        <f t="shared" si="144"/>
        <v>0.66895537698444418</v>
      </c>
      <c r="K9" s="163">
        <f t="shared" si="144"/>
        <v>0.70627495835000886</v>
      </c>
      <c r="L9" s="163">
        <f t="shared" si="144"/>
        <v>0.74483852576109255</v>
      </c>
      <c r="M9" s="163">
        <f t="shared" si="144"/>
        <v>0.78340209317217613</v>
      </c>
      <c r="N9" s="163">
        <f t="shared" si="144"/>
        <v>0.81823370244670313</v>
      </c>
      <c r="O9" s="163">
        <f t="shared" si="144"/>
        <v>0.85679726985778681</v>
      </c>
      <c r="P9" s="163">
        <f t="shared" si="144"/>
        <v>0.89411685122335161</v>
      </c>
      <c r="Q9" s="163">
        <f t="shared" si="144"/>
        <v>0.93268041863443507</v>
      </c>
      <c r="R9" s="163">
        <f t="shared" si="144"/>
        <v>0.96999999999999986</v>
      </c>
      <c r="S9" s="163">
        <f t="shared" si="144"/>
        <v>0.96999999999999986</v>
      </c>
      <c r="T9" s="163">
        <f t="shared" si="144"/>
        <v>0.96999999999999986</v>
      </c>
      <c r="U9" s="163">
        <f t="shared" si="144"/>
        <v>0.96999999999999986</v>
      </c>
      <c r="V9" s="163">
        <f t="shared" si="144"/>
        <v>0.96999999999999986</v>
      </c>
      <c r="W9" s="163">
        <f t="shared" si="144"/>
        <v>0.96999999999999986</v>
      </c>
      <c r="X9" s="163">
        <f t="shared" si="144"/>
        <v>0.96999999999999986</v>
      </c>
      <c r="Y9" s="163">
        <f t="shared" si="144"/>
        <v>0.96999999999999986</v>
      </c>
      <c r="Z9" s="163">
        <f t="shared" si="144"/>
        <v>0.96999999999999986</v>
      </c>
      <c r="AA9" s="163">
        <f t="shared" si="144"/>
        <v>0.96999999999999986</v>
      </c>
      <c r="AB9" s="163">
        <f t="shared" si="144"/>
        <v>0.96999999999999986</v>
      </c>
      <c r="AC9" s="163">
        <f t="shared" si="144"/>
        <v>0.96999999999999986</v>
      </c>
      <c r="AD9" s="163">
        <f t="shared" si="144"/>
        <v>0.96999999999999986</v>
      </c>
      <c r="AE9" s="163">
        <f t="shared" si="144"/>
        <v>0.96999999999999986</v>
      </c>
      <c r="AF9" s="163">
        <f t="shared" si="144"/>
        <v>0.96999999999999986</v>
      </c>
      <c r="AG9" s="163">
        <f t="shared" si="144"/>
        <v>0.96999999999999986</v>
      </c>
      <c r="AH9" s="163">
        <f t="shared" si="144"/>
        <v>0.96999999999999986</v>
      </c>
      <c r="AI9" s="163">
        <f t="shared" si="144"/>
        <v>0.96999999999999986</v>
      </c>
      <c r="AJ9" s="163">
        <f t="shared" si="144"/>
        <v>0.96999999999999986</v>
      </c>
      <c r="AK9" s="163">
        <f t="shared" si="144"/>
        <v>0.96999999999999986</v>
      </c>
      <c r="AL9" s="163">
        <f t="shared" ref="AL9:BQ9" si="145">AL7/GLA</f>
        <v>0.96999999999999986</v>
      </c>
      <c r="AM9" s="163">
        <f t="shared" si="145"/>
        <v>0.96999999999999986</v>
      </c>
      <c r="AN9" s="163">
        <f t="shared" si="145"/>
        <v>0.96999999999999986</v>
      </c>
      <c r="AO9" s="163">
        <f t="shared" si="145"/>
        <v>0.96999999999999986</v>
      </c>
      <c r="AP9" s="163">
        <f t="shared" si="145"/>
        <v>0.96999999999999986</v>
      </c>
      <c r="AQ9" s="163">
        <f t="shared" si="145"/>
        <v>0.96999999999999986</v>
      </c>
      <c r="AR9" s="163">
        <f t="shared" si="145"/>
        <v>0.96999999999999986</v>
      </c>
      <c r="AS9" s="163">
        <f t="shared" si="145"/>
        <v>0.96999999999999986</v>
      </c>
      <c r="AT9" s="163">
        <f t="shared" si="145"/>
        <v>0.96999999999999986</v>
      </c>
      <c r="AU9" s="163">
        <f t="shared" si="145"/>
        <v>0.96999999999999986</v>
      </c>
      <c r="AV9" s="163">
        <f t="shared" si="145"/>
        <v>0.96999999999999986</v>
      </c>
      <c r="AW9" s="163">
        <f t="shared" si="145"/>
        <v>0.96999999999999986</v>
      </c>
      <c r="AX9" s="163">
        <f t="shared" si="145"/>
        <v>0.96999999999999986</v>
      </c>
      <c r="AY9" s="163">
        <f t="shared" si="145"/>
        <v>0.96999999999999986</v>
      </c>
      <c r="AZ9" s="163">
        <f t="shared" si="145"/>
        <v>0.96999999999999986</v>
      </c>
      <c r="BA9" s="163">
        <f t="shared" si="145"/>
        <v>0.96999999999999986</v>
      </c>
      <c r="BB9" s="163">
        <f t="shared" si="145"/>
        <v>0.96999999999999986</v>
      </c>
      <c r="BC9" s="163">
        <f t="shared" si="145"/>
        <v>0.96999999999999986</v>
      </c>
      <c r="BD9" s="163">
        <f t="shared" si="145"/>
        <v>0.96999999999999986</v>
      </c>
      <c r="BE9" s="163">
        <f t="shared" si="145"/>
        <v>0.96999999999999986</v>
      </c>
      <c r="BF9" s="163">
        <f t="shared" si="145"/>
        <v>0.96999999999999986</v>
      </c>
      <c r="BG9" s="163">
        <f t="shared" si="145"/>
        <v>0.96999999999999986</v>
      </c>
      <c r="BH9" s="163">
        <f t="shared" si="145"/>
        <v>0.96999999999999986</v>
      </c>
      <c r="BI9" s="163">
        <f t="shared" si="145"/>
        <v>0.96999999999999986</v>
      </c>
      <c r="BJ9" s="163">
        <f t="shared" si="145"/>
        <v>0.96999999999999986</v>
      </c>
      <c r="BK9" s="163">
        <f t="shared" si="145"/>
        <v>0.96999999999999986</v>
      </c>
      <c r="BL9" s="163">
        <f t="shared" si="145"/>
        <v>0.96999999999999986</v>
      </c>
      <c r="BM9" s="163">
        <f t="shared" si="145"/>
        <v>0.96999999999999986</v>
      </c>
      <c r="BN9" s="163">
        <f t="shared" si="145"/>
        <v>0.96999999999999986</v>
      </c>
      <c r="BO9" s="163">
        <f t="shared" si="145"/>
        <v>0.96999999999999986</v>
      </c>
      <c r="BP9" s="163">
        <f t="shared" si="145"/>
        <v>0.96999999999999986</v>
      </c>
      <c r="BQ9" s="163">
        <f t="shared" si="145"/>
        <v>0.96999999999999986</v>
      </c>
      <c r="BR9" s="163">
        <f t="shared" ref="BR9:CW9" si="146">BR7/GLA</f>
        <v>0.96999999999999986</v>
      </c>
      <c r="BS9" s="163">
        <f t="shared" si="146"/>
        <v>0.96999999999999986</v>
      </c>
      <c r="BT9" s="163">
        <f t="shared" si="146"/>
        <v>0.96999999999999986</v>
      </c>
      <c r="BU9" s="163">
        <f t="shared" si="146"/>
        <v>0.96999999999999986</v>
      </c>
      <c r="BV9" s="163">
        <f t="shared" si="146"/>
        <v>0.96999999999999986</v>
      </c>
      <c r="BW9" s="163">
        <f t="shared" si="146"/>
        <v>0.96999999999999986</v>
      </c>
      <c r="BX9" s="163">
        <f t="shared" si="146"/>
        <v>0.96999999999999986</v>
      </c>
      <c r="BY9" s="163">
        <f t="shared" si="146"/>
        <v>0.96999999999999986</v>
      </c>
      <c r="BZ9" s="163">
        <f t="shared" si="146"/>
        <v>0.96999999999999986</v>
      </c>
      <c r="CA9" s="163">
        <f t="shared" si="146"/>
        <v>0.96999999999999986</v>
      </c>
      <c r="CB9" s="163">
        <f t="shared" si="146"/>
        <v>0.96999999999999986</v>
      </c>
      <c r="CC9" s="163">
        <f t="shared" si="146"/>
        <v>0.96999999999999986</v>
      </c>
      <c r="CD9" s="163">
        <f t="shared" si="146"/>
        <v>0.96999999999999986</v>
      </c>
      <c r="CE9" s="163">
        <f t="shared" si="146"/>
        <v>0.96999999999999986</v>
      </c>
      <c r="CF9" s="163">
        <f t="shared" si="146"/>
        <v>0.96999999999999986</v>
      </c>
      <c r="CG9" s="163">
        <f t="shared" si="146"/>
        <v>0.96999999999999986</v>
      </c>
      <c r="CH9" s="163">
        <f t="shared" si="146"/>
        <v>0.96999999999999986</v>
      </c>
      <c r="CI9" s="163">
        <f t="shared" si="146"/>
        <v>0.96999999999999986</v>
      </c>
      <c r="CJ9" s="163">
        <f t="shared" si="146"/>
        <v>0.96999999999999986</v>
      </c>
      <c r="CK9" s="163">
        <f t="shared" si="146"/>
        <v>0.96999999999999986</v>
      </c>
      <c r="CL9" s="163">
        <f t="shared" si="146"/>
        <v>0.96999999999999986</v>
      </c>
      <c r="CM9" s="163">
        <f t="shared" si="146"/>
        <v>0.96999999999999986</v>
      </c>
      <c r="CN9" s="163">
        <f t="shared" si="146"/>
        <v>0.96999999999999986</v>
      </c>
      <c r="CO9" s="163">
        <f t="shared" si="146"/>
        <v>0.96999999999999986</v>
      </c>
      <c r="CP9" s="163">
        <f t="shared" si="146"/>
        <v>0.96999999999999986</v>
      </c>
      <c r="CQ9" s="163">
        <f t="shared" si="146"/>
        <v>0.96999999999999986</v>
      </c>
      <c r="CR9" s="163">
        <f t="shared" si="146"/>
        <v>0.96999999999999986</v>
      </c>
      <c r="CS9" s="163">
        <f t="shared" si="146"/>
        <v>0.96999999999999986</v>
      </c>
      <c r="CT9" s="163">
        <f t="shared" si="146"/>
        <v>0.96999999999999986</v>
      </c>
      <c r="CU9" s="163">
        <f t="shared" si="146"/>
        <v>0.96999999999999986</v>
      </c>
      <c r="CV9" s="163">
        <f t="shared" si="146"/>
        <v>0.96999999999999986</v>
      </c>
      <c r="CW9" s="163">
        <f t="shared" si="146"/>
        <v>0.96999999999999986</v>
      </c>
      <c r="CX9" s="163">
        <f t="shared" ref="CX9:DI9" si="147">CX7/GLA</f>
        <v>0.96999999999999986</v>
      </c>
      <c r="CY9" s="163">
        <f t="shared" si="147"/>
        <v>0.96999999999999986</v>
      </c>
      <c r="CZ9" s="163">
        <f t="shared" si="147"/>
        <v>0.96999999999999986</v>
      </c>
      <c r="DA9" s="163">
        <f t="shared" si="147"/>
        <v>0.96999999999999986</v>
      </c>
      <c r="DB9" s="163">
        <f t="shared" si="147"/>
        <v>0.96999999999999986</v>
      </c>
      <c r="DC9" s="163">
        <f t="shared" si="147"/>
        <v>0.96999999999999986</v>
      </c>
      <c r="DD9" s="163">
        <f t="shared" si="147"/>
        <v>0.96999999999999986</v>
      </c>
      <c r="DE9" s="163">
        <f t="shared" si="147"/>
        <v>0.96999999999999986</v>
      </c>
      <c r="DF9" s="163">
        <f t="shared" si="147"/>
        <v>0.96999999999999986</v>
      </c>
      <c r="DG9" s="163">
        <f t="shared" si="147"/>
        <v>0.96999999999999986</v>
      </c>
      <c r="DH9" s="163">
        <f t="shared" si="147"/>
        <v>0.96999999999999986</v>
      </c>
      <c r="DI9" s="163">
        <f t="shared" si="147"/>
        <v>0.96999999999999986</v>
      </c>
    </row>
    <row r="11" spans="2:113" x14ac:dyDescent="0.3">
      <c r="F11" s="20"/>
      <c r="G11" s="20"/>
      <c r="H11" s="20"/>
      <c r="I11" s="20"/>
      <c r="J11" s="20"/>
      <c r="K11" s="20"/>
      <c r="L11" s="20"/>
      <c r="M11" s="20"/>
      <c r="N11" s="20"/>
      <c r="O11" s="20"/>
    </row>
  </sheetData>
  <conditionalFormatting sqref="F9:DI9">
    <cfRule type="dataBar" priority="1">
      <dataBar>
        <cfvo type="min"/>
        <cfvo type="max"/>
        <color rgb="FFFF0000"/>
      </dataBar>
      <extLst>
        <ext xmlns:x14="http://schemas.microsoft.com/office/spreadsheetml/2009/9/main" uri="{B025F937-C7B1-47D3-B67F-A62EFF666E3E}">
          <x14:id>{F89B50CF-55EB-4EB1-9367-E0B4ADA2C4FB}</x14:id>
        </ext>
      </extLst>
    </cfRule>
  </conditionalFormatting>
  <pageMargins left="0.7" right="0.7" top="0.75" bottom="0.75" header="0.3" footer="0.3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89B50CF-55EB-4EB1-9367-E0B4ADA2C4FB}">
            <x14:dataBar minLength="0" maxLength="100">
              <x14:cfvo type="autoMin"/>
              <x14:cfvo type="autoMax"/>
              <x14:negativeFillColor rgb="FFFF0000"/>
              <x14:axisColor rgb="FF000000"/>
            </x14:dataBar>
          </x14:cfRule>
          <xm:sqref>F9:DI9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4">
    <outlinePr summaryBelow="0" summaryRight="0"/>
  </sheetPr>
  <dimension ref="B1:DY66"/>
  <sheetViews>
    <sheetView showGridLines="0" topLeftCell="B1" zoomScaleNormal="100" workbookViewId="0">
      <pane xSplit="4" topLeftCell="F1" activePane="topRight" state="frozen"/>
      <selection activeCell="B1" sqref="B1"/>
      <selection pane="topRight" activeCell="G58" sqref="G58"/>
    </sheetView>
  </sheetViews>
  <sheetFormatPr defaultRowHeight="13" outlineLevelRow="2" x14ac:dyDescent="0.3"/>
  <cols>
    <col min="1" max="1" width="3.6328125" style="1" customWidth="1"/>
    <col min="2" max="2" width="40.6328125" style="1" customWidth="1"/>
    <col min="3" max="3" width="8.7265625" style="14"/>
    <col min="4" max="4" width="9.90625" style="1" bestFit="1" customWidth="1"/>
    <col min="5" max="5" width="2.54296875" style="1" customWidth="1"/>
    <col min="6" max="77" width="10.26953125" style="1" customWidth="1"/>
    <col min="78" max="78" width="10.26953125" style="58" customWidth="1"/>
    <col min="79" max="113" width="10.26953125" style="1" customWidth="1"/>
    <col min="114" max="16384" width="8.7265625" style="1"/>
  </cols>
  <sheetData>
    <row r="1" spans="2:129" x14ac:dyDescent="0.3">
      <c r="J1" s="106"/>
      <c r="AV1" s="64"/>
    </row>
    <row r="2" spans="2:129" x14ac:dyDescent="0.3">
      <c r="B2" s="230" t="s">
        <v>132</v>
      </c>
      <c r="F2" s="216">
        <f>F3</f>
        <v>44378</v>
      </c>
      <c r="G2" s="216">
        <f t="shared" ref="G2:P2" si="0">G3</f>
        <v>44409</v>
      </c>
      <c r="H2" s="216">
        <f t="shared" si="0"/>
        <v>44440</v>
      </c>
      <c r="I2" s="216">
        <f t="shared" si="0"/>
        <v>44470</v>
      </c>
      <c r="J2" s="216">
        <f t="shared" si="0"/>
        <v>44501</v>
      </c>
      <c r="K2" s="216">
        <f t="shared" si="0"/>
        <v>44531</v>
      </c>
      <c r="L2" s="216">
        <f t="shared" si="0"/>
        <v>44562</v>
      </c>
      <c r="M2" s="216">
        <f t="shared" si="0"/>
        <v>44593</v>
      </c>
      <c r="N2" s="216">
        <f t="shared" si="0"/>
        <v>44621</v>
      </c>
      <c r="O2" s="216">
        <f t="shared" si="0"/>
        <v>44652</v>
      </c>
      <c r="P2" s="216">
        <f t="shared" si="0"/>
        <v>44682</v>
      </c>
      <c r="Q2" s="216">
        <f t="shared" ref="Q2" si="1">Q3</f>
        <v>44713</v>
      </c>
      <c r="R2" s="216">
        <f t="shared" ref="R2" si="2">R3</f>
        <v>44743</v>
      </c>
      <c r="S2" s="216">
        <f t="shared" ref="S2" si="3">S3</f>
        <v>44774</v>
      </c>
      <c r="T2" s="216">
        <f t="shared" ref="T2" si="4">T3</f>
        <v>44805</v>
      </c>
      <c r="U2" s="216">
        <f t="shared" ref="U2" si="5">U3</f>
        <v>44835</v>
      </c>
      <c r="V2" s="216">
        <f t="shared" ref="V2" si="6">V3</f>
        <v>44866</v>
      </c>
      <c r="W2" s="216">
        <f t="shared" ref="W2" si="7">W3</f>
        <v>44896</v>
      </c>
      <c r="X2" s="216">
        <f t="shared" ref="X2" si="8">X3</f>
        <v>44927</v>
      </c>
      <c r="Y2" s="216">
        <f t="shared" ref="Y2" si="9">Y3</f>
        <v>44958</v>
      </c>
      <c r="Z2" s="216">
        <f t="shared" ref="Z2" si="10">Z3</f>
        <v>44986</v>
      </c>
      <c r="AA2" s="216">
        <f t="shared" ref="AA2" si="11">AA3</f>
        <v>45017</v>
      </c>
      <c r="AB2" s="216">
        <f t="shared" ref="AB2" si="12">AB3</f>
        <v>45047</v>
      </c>
      <c r="AC2" s="216">
        <f t="shared" ref="AC2" si="13">AC3</f>
        <v>45078</v>
      </c>
      <c r="AD2" s="216">
        <f t="shared" ref="AD2" si="14">AD3</f>
        <v>45108</v>
      </c>
      <c r="AE2" s="216">
        <f t="shared" ref="AE2" si="15">AE3</f>
        <v>45139</v>
      </c>
      <c r="AF2" s="216">
        <f t="shared" ref="AF2" si="16">AF3</f>
        <v>45170</v>
      </c>
      <c r="AG2" s="216">
        <f t="shared" ref="AG2" si="17">AG3</f>
        <v>45200</v>
      </c>
      <c r="AH2" s="216">
        <f t="shared" ref="AH2" si="18">AH3</f>
        <v>45231</v>
      </c>
      <c r="AI2" s="216">
        <f t="shared" ref="AI2" si="19">AI3</f>
        <v>45261</v>
      </c>
      <c r="AJ2" s="216">
        <f t="shared" ref="AJ2" si="20">AJ3</f>
        <v>45292</v>
      </c>
      <c r="AK2" s="216">
        <f t="shared" ref="AK2" si="21">AK3</f>
        <v>45323</v>
      </c>
      <c r="AL2" s="216">
        <f t="shared" ref="AL2" si="22">AL3</f>
        <v>45352</v>
      </c>
      <c r="AM2" s="216">
        <f t="shared" ref="AM2" si="23">AM3</f>
        <v>45383</v>
      </c>
      <c r="AN2" s="216">
        <f t="shared" ref="AN2" si="24">AN3</f>
        <v>45413</v>
      </c>
      <c r="AO2" s="216">
        <f t="shared" ref="AO2" si="25">AO3</f>
        <v>45444</v>
      </c>
      <c r="AP2" s="216">
        <f t="shared" ref="AP2" si="26">AP3</f>
        <v>45474</v>
      </c>
      <c r="AQ2" s="216">
        <f t="shared" ref="AQ2" si="27">AQ3</f>
        <v>45505</v>
      </c>
      <c r="AR2" s="216">
        <f t="shared" ref="AR2" si="28">AR3</f>
        <v>45536</v>
      </c>
      <c r="AS2" s="216">
        <f t="shared" ref="AS2" si="29">AS3</f>
        <v>45566</v>
      </c>
      <c r="AT2" s="216">
        <f t="shared" ref="AT2" si="30">AT3</f>
        <v>45597</v>
      </c>
      <c r="AU2" s="216">
        <f t="shared" ref="AU2" si="31">AU3</f>
        <v>45627</v>
      </c>
      <c r="AV2" s="216">
        <f t="shared" ref="AV2" si="32">AV3</f>
        <v>45658</v>
      </c>
      <c r="AW2" s="216">
        <f t="shared" ref="AW2" si="33">AW3</f>
        <v>45689</v>
      </c>
      <c r="AX2" s="216">
        <f t="shared" ref="AX2" si="34">AX3</f>
        <v>45717</v>
      </c>
      <c r="AY2" s="216">
        <f t="shared" ref="AY2" si="35">AY3</f>
        <v>45748</v>
      </c>
      <c r="AZ2" s="216">
        <f t="shared" ref="AZ2:BA2" si="36">AZ3</f>
        <v>45778</v>
      </c>
      <c r="BA2" s="216">
        <f t="shared" si="36"/>
        <v>45809</v>
      </c>
      <c r="BB2" s="216">
        <f t="shared" ref="BB2" si="37">BB3</f>
        <v>45839</v>
      </c>
      <c r="BC2" s="216">
        <f t="shared" ref="BC2" si="38">BC3</f>
        <v>45870</v>
      </c>
      <c r="BD2" s="216">
        <f t="shared" ref="BD2" si="39">BD3</f>
        <v>45901</v>
      </c>
      <c r="BE2" s="216">
        <f t="shared" ref="BE2" si="40">BE3</f>
        <v>45931</v>
      </c>
      <c r="BF2" s="216">
        <f t="shared" ref="BF2" si="41">BF3</f>
        <v>45962</v>
      </c>
      <c r="BG2" s="216">
        <f t="shared" ref="BG2" si="42">BG3</f>
        <v>45992</v>
      </c>
      <c r="BH2" s="216">
        <f t="shared" ref="BH2" si="43">BH3</f>
        <v>46023</v>
      </c>
      <c r="BI2" s="216">
        <f t="shared" ref="BI2" si="44">BI3</f>
        <v>46054</v>
      </c>
      <c r="BJ2" s="216">
        <f t="shared" ref="BJ2" si="45">BJ3</f>
        <v>46082</v>
      </c>
      <c r="BK2" s="216">
        <f t="shared" ref="BK2" si="46">BK3</f>
        <v>46113</v>
      </c>
      <c r="BL2" s="216">
        <f t="shared" ref="BL2" si="47">BL3</f>
        <v>46143</v>
      </c>
      <c r="BM2" s="216">
        <f t="shared" ref="BM2" si="48">BM3</f>
        <v>46174</v>
      </c>
      <c r="BN2" s="216">
        <f t="shared" ref="BN2" si="49">BN3</f>
        <v>46204</v>
      </c>
      <c r="BO2" s="216">
        <f t="shared" ref="BO2" si="50">BO3</f>
        <v>46235</v>
      </c>
      <c r="BP2" s="216">
        <f t="shared" ref="BP2" si="51">BP3</f>
        <v>46266</v>
      </c>
      <c r="BQ2" s="216">
        <f t="shared" ref="BQ2" si="52">BQ3</f>
        <v>46296</v>
      </c>
      <c r="BR2" s="216">
        <f t="shared" ref="BR2" si="53">BR3</f>
        <v>46327</v>
      </c>
      <c r="BS2" s="216">
        <f t="shared" ref="BS2" si="54">BS3</f>
        <v>46357</v>
      </c>
      <c r="BT2" s="216">
        <f t="shared" ref="BT2" si="55">BT3</f>
        <v>46388</v>
      </c>
      <c r="BU2" s="216">
        <f t="shared" ref="BU2" si="56">BU3</f>
        <v>46419</v>
      </c>
      <c r="BV2" s="216">
        <f t="shared" ref="BV2" si="57">BV3</f>
        <v>46447</v>
      </c>
      <c r="BW2" s="216">
        <f t="shared" ref="BW2" si="58">BW3</f>
        <v>46478</v>
      </c>
      <c r="BX2" s="216">
        <f t="shared" ref="BX2" si="59">BX3</f>
        <v>46508</v>
      </c>
      <c r="BY2" s="216">
        <f t="shared" ref="BY2:DI2" si="60">BY3</f>
        <v>46539</v>
      </c>
      <c r="BZ2" s="216">
        <f t="shared" si="60"/>
        <v>46569</v>
      </c>
      <c r="CA2" s="216">
        <f t="shared" si="60"/>
        <v>46600</v>
      </c>
      <c r="CB2" s="216">
        <f t="shared" si="60"/>
        <v>46631</v>
      </c>
      <c r="CC2" s="216">
        <f t="shared" si="60"/>
        <v>46661</v>
      </c>
      <c r="CD2" s="216">
        <f t="shared" si="60"/>
        <v>46692</v>
      </c>
      <c r="CE2" s="216">
        <f t="shared" si="60"/>
        <v>46722</v>
      </c>
      <c r="CF2" s="216">
        <f t="shared" si="60"/>
        <v>46753</v>
      </c>
      <c r="CG2" s="216">
        <f t="shared" si="60"/>
        <v>46784</v>
      </c>
      <c r="CH2" s="216">
        <f t="shared" si="60"/>
        <v>46813</v>
      </c>
      <c r="CI2" s="216">
        <f t="shared" si="60"/>
        <v>46844</v>
      </c>
      <c r="CJ2" s="216">
        <f t="shared" si="60"/>
        <v>46874</v>
      </c>
      <c r="CK2" s="216">
        <f t="shared" si="60"/>
        <v>46905</v>
      </c>
      <c r="CL2" s="216">
        <f t="shared" si="60"/>
        <v>46935</v>
      </c>
      <c r="CM2" s="216">
        <f t="shared" si="60"/>
        <v>46966</v>
      </c>
      <c r="CN2" s="216">
        <f t="shared" si="60"/>
        <v>46997</v>
      </c>
      <c r="CO2" s="216">
        <f t="shared" si="60"/>
        <v>47027</v>
      </c>
      <c r="CP2" s="216">
        <f t="shared" si="60"/>
        <v>47058</v>
      </c>
      <c r="CQ2" s="216">
        <f t="shared" si="60"/>
        <v>47088</v>
      </c>
      <c r="CR2" s="216">
        <f t="shared" si="60"/>
        <v>47119</v>
      </c>
      <c r="CS2" s="216">
        <f t="shared" si="60"/>
        <v>47150</v>
      </c>
      <c r="CT2" s="216">
        <f t="shared" si="60"/>
        <v>47178</v>
      </c>
      <c r="CU2" s="216">
        <f t="shared" si="60"/>
        <v>47209</v>
      </c>
      <c r="CV2" s="216">
        <f t="shared" si="60"/>
        <v>47239</v>
      </c>
      <c r="CW2" s="216">
        <f t="shared" si="60"/>
        <v>47270</v>
      </c>
      <c r="CX2" s="216">
        <f t="shared" si="60"/>
        <v>47300</v>
      </c>
      <c r="CY2" s="216">
        <f t="shared" si="60"/>
        <v>47331</v>
      </c>
      <c r="CZ2" s="216">
        <f t="shared" si="60"/>
        <v>47362</v>
      </c>
      <c r="DA2" s="216">
        <f t="shared" si="60"/>
        <v>47392</v>
      </c>
      <c r="DB2" s="216">
        <f t="shared" si="60"/>
        <v>47423</v>
      </c>
      <c r="DC2" s="216">
        <f t="shared" si="60"/>
        <v>47453</v>
      </c>
      <c r="DD2" s="216">
        <f t="shared" si="60"/>
        <v>47484</v>
      </c>
      <c r="DE2" s="216">
        <f t="shared" si="60"/>
        <v>47515</v>
      </c>
      <c r="DF2" s="216">
        <f t="shared" si="60"/>
        <v>47543</v>
      </c>
      <c r="DG2" s="216">
        <f t="shared" si="60"/>
        <v>47574</v>
      </c>
      <c r="DH2" s="216">
        <f t="shared" si="60"/>
        <v>47604</v>
      </c>
      <c r="DI2" s="216">
        <f t="shared" si="60"/>
        <v>47635</v>
      </c>
      <c r="DJ2" s="21"/>
      <c r="DK2" s="21"/>
      <c r="DL2" s="21"/>
      <c r="DM2" s="21"/>
      <c r="DN2" s="21"/>
      <c r="DO2" s="21"/>
      <c r="DP2" s="21"/>
      <c r="DQ2" s="21"/>
      <c r="DR2" s="21"/>
      <c r="DS2" s="21"/>
      <c r="DT2" s="21"/>
      <c r="DU2" s="21"/>
      <c r="DV2" s="21"/>
      <c r="DW2" s="21"/>
      <c r="DX2" s="21"/>
      <c r="DY2" s="21"/>
    </row>
    <row r="3" spans="2:129" x14ac:dyDescent="0.3">
      <c r="B3" s="230"/>
      <c r="F3" s="5">
        <f>Start</f>
        <v>44378</v>
      </c>
      <c r="G3" s="5">
        <f>EDATE(F3,1)</f>
        <v>44409</v>
      </c>
      <c r="H3" s="5">
        <f>EDATE(G3,1)</f>
        <v>44440</v>
      </c>
      <c r="I3" s="5">
        <f t="shared" ref="I3:P3" si="61">EDATE(H3,1)</f>
        <v>44470</v>
      </c>
      <c r="J3" s="5">
        <f t="shared" si="61"/>
        <v>44501</v>
      </c>
      <c r="K3" s="5">
        <f t="shared" si="61"/>
        <v>44531</v>
      </c>
      <c r="L3" s="5">
        <f t="shared" si="61"/>
        <v>44562</v>
      </c>
      <c r="M3" s="5">
        <f t="shared" si="61"/>
        <v>44593</v>
      </c>
      <c r="N3" s="5">
        <f t="shared" si="61"/>
        <v>44621</v>
      </c>
      <c r="O3" s="5">
        <f t="shared" si="61"/>
        <v>44652</v>
      </c>
      <c r="P3" s="5">
        <f t="shared" si="61"/>
        <v>44682</v>
      </c>
      <c r="Q3" s="5">
        <f t="shared" ref="Q3:Z3" si="62">EDATE(P3,1)</f>
        <v>44713</v>
      </c>
      <c r="R3" s="5">
        <f t="shared" si="62"/>
        <v>44743</v>
      </c>
      <c r="S3" s="5">
        <f t="shared" si="62"/>
        <v>44774</v>
      </c>
      <c r="T3" s="5">
        <f t="shared" si="62"/>
        <v>44805</v>
      </c>
      <c r="U3" s="5">
        <f t="shared" si="62"/>
        <v>44835</v>
      </c>
      <c r="V3" s="5">
        <f t="shared" si="62"/>
        <v>44866</v>
      </c>
      <c r="W3" s="5">
        <f t="shared" si="62"/>
        <v>44896</v>
      </c>
      <c r="X3" s="5">
        <f t="shared" si="62"/>
        <v>44927</v>
      </c>
      <c r="Y3" s="5">
        <f t="shared" si="62"/>
        <v>44958</v>
      </c>
      <c r="Z3" s="5">
        <f t="shared" si="62"/>
        <v>44986</v>
      </c>
      <c r="AA3" s="5">
        <f t="shared" ref="AA3:AZ3" si="63">EDATE(Z3,1)</f>
        <v>45017</v>
      </c>
      <c r="AB3" s="5">
        <f t="shared" si="63"/>
        <v>45047</v>
      </c>
      <c r="AC3" s="5">
        <f t="shared" si="63"/>
        <v>45078</v>
      </c>
      <c r="AD3" s="5">
        <f t="shared" si="63"/>
        <v>45108</v>
      </c>
      <c r="AE3" s="5">
        <f t="shared" si="63"/>
        <v>45139</v>
      </c>
      <c r="AF3" s="5">
        <f t="shared" si="63"/>
        <v>45170</v>
      </c>
      <c r="AG3" s="5">
        <f t="shared" si="63"/>
        <v>45200</v>
      </c>
      <c r="AH3" s="5">
        <f t="shared" si="63"/>
        <v>45231</v>
      </c>
      <c r="AI3" s="5">
        <f t="shared" si="63"/>
        <v>45261</v>
      </c>
      <c r="AJ3" s="5">
        <f t="shared" si="63"/>
        <v>45292</v>
      </c>
      <c r="AK3" s="5">
        <f t="shared" si="63"/>
        <v>45323</v>
      </c>
      <c r="AL3" s="5">
        <f t="shared" si="63"/>
        <v>45352</v>
      </c>
      <c r="AM3" s="5">
        <f t="shared" si="63"/>
        <v>45383</v>
      </c>
      <c r="AN3" s="5">
        <f t="shared" si="63"/>
        <v>45413</v>
      </c>
      <c r="AO3" s="5">
        <f t="shared" si="63"/>
        <v>45444</v>
      </c>
      <c r="AP3" s="5">
        <f t="shared" si="63"/>
        <v>45474</v>
      </c>
      <c r="AQ3" s="5">
        <f t="shared" si="63"/>
        <v>45505</v>
      </c>
      <c r="AR3" s="5">
        <f t="shared" si="63"/>
        <v>45536</v>
      </c>
      <c r="AS3" s="5">
        <f t="shared" si="63"/>
        <v>45566</v>
      </c>
      <c r="AT3" s="5">
        <f t="shared" si="63"/>
        <v>45597</v>
      </c>
      <c r="AU3" s="5">
        <f t="shared" si="63"/>
        <v>45627</v>
      </c>
      <c r="AV3" s="5">
        <f t="shared" si="63"/>
        <v>45658</v>
      </c>
      <c r="AW3" s="5">
        <f t="shared" si="63"/>
        <v>45689</v>
      </c>
      <c r="AX3" s="5">
        <f t="shared" si="63"/>
        <v>45717</v>
      </c>
      <c r="AY3" s="5">
        <f t="shared" si="63"/>
        <v>45748</v>
      </c>
      <c r="AZ3" s="5">
        <f t="shared" si="63"/>
        <v>45778</v>
      </c>
      <c r="BA3" s="5">
        <f t="shared" ref="BA3:BB3" si="64">EDATE(AZ3,1)</f>
        <v>45809</v>
      </c>
      <c r="BB3" s="5">
        <f t="shared" si="64"/>
        <v>45839</v>
      </c>
      <c r="BC3" s="5">
        <f t="shared" ref="BC3:BT3" si="65">EDATE(BB3,1)</f>
        <v>45870</v>
      </c>
      <c r="BD3" s="5">
        <f t="shared" si="65"/>
        <v>45901</v>
      </c>
      <c r="BE3" s="5">
        <f t="shared" si="65"/>
        <v>45931</v>
      </c>
      <c r="BF3" s="5">
        <f t="shared" si="65"/>
        <v>45962</v>
      </c>
      <c r="BG3" s="5">
        <f t="shared" si="65"/>
        <v>45992</v>
      </c>
      <c r="BH3" s="5">
        <f t="shared" si="65"/>
        <v>46023</v>
      </c>
      <c r="BI3" s="5">
        <f t="shared" si="65"/>
        <v>46054</v>
      </c>
      <c r="BJ3" s="5">
        <f t="shared" si="65"/>
        <v>46082</v>
      </c>
      <c r="BK3" s="5">
        <f t="shared" si="65"/>
        <v>46113</v>
      </c>
      <c r="BL3" s="5">
        <f t="shared" si="65"/>
        <v>46143</v>
      </c>
      <c r="BM3" s="5">
        <f t="shared" si="65"/>
        <v>46174</v>
      </c>
      <c r="BN3" s="5">
        <f t="shared" si="65"/>
        <v>46204</v>
      </c>
      <c r="BO3" s="5">
        <f t="shared" si="65"/>
        <v>46235</v>
      </c>
      <c r="BP3" s="5">
        <f t="shared" si="65"/>
        <v>46266</v>
      </c>
      <c r="BQ3" s="5">
        <f t="shared" si="65"/>
        <v>46296</v>
      </c>
      <c r="BR3" s="5">
        <f t="shared" si="65"/>
        <v>46327</v>
      </c>
      <c r="BS3" s="5">
        <f t="shared" si="65"/>
        <v>46357</v>
      </c>
      <c r="BT3" s="5">
        <f t="shared" si="65"/>
        <v>46388</v>
      </c>
      <c r="BU3" s="5">
        <f t="shared" ref="BU3:BY3" si="66">EDATE(BT3,1)</f>
        <v>46419</v>
      </c>
      <c r="BV3" s="5">
        <f t="shared" si="66"/>
        <v>46447</v>
      </c>
      <c r="BW3" s="5">
        <f t="shared" si="66"/>
        <v>46478</v>
      </c>
      <c r="BX3" s="5">
        <f t="shared" si="66"/>
        <v>46508</v>
      </c>
      <c r="BY3" s="5">
        <f t="shared" si="66"/>
        <v>46539</v>
      </c>
      <c r="BZ3" s="5">
        <f t="shared" ref="BZ3" si="67">EDATE(BY3,1)</f>
        <v>46569</v>
      </c>
      <c r="CA3" s="5">
        <f t="shared" ref="CA3" si="68">EDATE(BZ3,1)</f>
        <v>46600</v>
      </c>
      <c r="CB3" s="5">
        <f t="shared" ref="CB3" si="69">EDATE(CA3,1)</f>
        <v>46631</v>
      </c>
      <c r="CC3" s="5">
        <f t="shared" ref="CC3" si="70">EDATE(CB3,1)</f>
        <v>46661</v>
      </c>
      <c r="CD3" s="5">
        <f t="shared" ref="CD3" si="71">EDATE(CC3,1)</f>
        <v>46692</v>
      </c>
      <c r="CE3" s="5">
        <f t="shared" ref="CE3" si="72">EDATE(CD3,1)</f>
        <v>46722</v>
      </c>
      <c r="CF3" s="5">
        <f t="shared" ref="CF3" si="73">EDATE(CE3,1)</f>
        <v>46753</v>
      </c>
      <c r="CG3" s="5">
        <f t="shared" ref="CG3" si="74">EDATE(CF3,1)</f>
        <v>46784</v>
      </c>
      <c r="CH3" s="5">
        <f t="shared" ref="CH3" si="75">EDATE(CG3,1)</f>
        <v>46813</v>
      </c>
      <c r="CI3" s="5">
        <f t="shared" ref="CI3" si="76">EDATE(CH3,1)</f>
        <v>46844</v>
      </c>
      <c r="CJ3" s="5">
        <f t="shared" ref="CJ3" si="77">EDATE(CI3,1)</f>
        <v>46874</v>
      </c>
      <c r="CK3" s="5">
        <f t="shared" ref="CK3" si="78">EDATE(CJ3,1)</f>
        <v>46905</v>
      </c>
      <c r="CL3" s="5">
        <f t="shared" ref="CL3" si="79">EDATE(CK3,1)</f>
        <v>46935</v>
      </c>
      <c r="CM3" s="5">
        <f t="shared" ref="CM3" si="80">EDATE(CL3,1)</f>
        <v>46966</v>
      </c>
      <c r="CN3" s="5">
        <f t="shared" ref="CN3" si="81">EDATE(CM3,1)</f>
        <v>46997</v>
      </c>
      <c r="CO3" s="5">
        <f t="shared" ref="CO3" si="82">EDATE(CN3,1)</f>
        <v>47027</v>
      </c>
      <c r="CP3" s="5">
        <f t="shared" ref="CP3" si="83">EDATE(CO3,1)</f>
        <v>47058</v>
      </c>
      <c r="CQ3" s="5">
        <f t="shared" ref="CQ3" si="84">EDATE(CP3,1)</f>
        <v>47088</v>
      </c>
      <c r="CR3" s="5">
        <f t="shared" ref="CR3" si="85">EDATE(CQ3,1)</f>
        <v>47119</v>
      </c>
      <c r="CS3" s="5">
        <f t="shared" ref="CS3" si="86">EDATE(CR3,1)</f>
        <v>47150</v>
      </c>
      <c r="CT3" s="5">
        <f t="shared" ref="CT3" si="87">EDATE(CS3,1)</f>
        <v>47178</v>
      </c>
      <c r="CU3" s="5">
        <f t="shared" ref="CU3" si="88">EDATE(CT3,1)</f>
        <v>47209</v>
      </c>
      <c r="CV3" s="5">
        <f t="shared" ref="CV3" si="89">EDATE(CU3,1)</f>
        <v>47239</v>
      </c>
      <c r="CW3" s="5">
        <f t="shared" ref="CW3" si="90">EDATE(CV3,1)</f>
        <v>47270</v>
      </c>
      <c r="CX3" s="5">
        <f t="shared" ref="CX3" si="91">EDATE(CW3,1)</f>
        <v>47300</v>
      </c>
      <c r="CY3" s="5">
        <f t="shared" ref="CY3" si="92">EDATE(CX3,1)</f>
        <v>47331</v>
      </c>
      <c r="CZ3" s="5">
        <f t="shared" ref="CZ3" si="93">EDATE(CY3,1)</f>
        <v>47362</v>
      </c>
      <c r="DA3" s="5">
        <f t="shared" ref="DA3" si="94">EDATE(CZ3,1)</f>
        <v>47392</v>
      </c>
      <c r="DB3" s="5">
        <f t="shared" ref="DB3" si="95">EDATE(DA3,1)</f>
        <v>47423</v>
      </c>
      <c r="DC3" s="5">
        <f t="shared" ref="DC3" si="96">EDATE(DB3,1)</f>
        <v>47453</v>
      </c>
      <c r="DD3" s="5">
        <f t="shared" ref="DD3" si="97">EDATE(DC3,1)</f>
        <v>47484</v>
      </c>
      <c r="DE3" s="5">
        <f t="shared" ref="DE3" si="98">EDATE(DD3,1)</f>
        <v>47515</v>
      </c>
      <c r="DF3" s="5">
        <f t="shared" ref="DF3" si="99">EDATE(DE3,1)</f>
        <v>47543</v>
      </c>
      <c r="DG3" s="5">
        <f t="shared" ref="DG3" si="100">EDATE(DF3,1)</f>
        <v>47574</v>
      </c>
      <c r="DH3" s="5">
        <f t="shared" ref="DH3" si="101">EDATE(DG3,1)</f>
        <v>47604</v>
      </c>
      <c r="DI3" s="5">
        <f t="shared" ref="DI3" si="102">EDATE(DH3,1)</f>
        <v>47635</v>
      </c>
      <c r="DJ3" s="5"/>
      <c r="DK3" s="5"/>
      <c r="DL3" s="5"/>
      <c r="DM3" s="5"/>
      <c r="DN3" s="5"/>
      <c r="DO3" s="5"/>
      <c r="DP3" s="5"/>
      <c r="DQ3" s="5"/>
      <c r="DR3" s="5"/>
      <c r="DS3" s="5"/>
      <c r="DT3" s="5"/>
      <c r="DU3" s="5"/>
      <c r="DV3" s="5"/>
      <c r="DW3" s="5"/>
      <c r="DX3" s="5"/>
      <c r="DY3" s="5"/>
    </row>
    <row r="4" spans="2:129" x14ac:dyDescent="0.3">
      <c r="F4" s="5">
        <f>EDATE(F3,1)-1</f>
        <v>44408</v>
      </c>
      <c r="G4" s="5">
        <f>EDATE(G3,1)-1</f>
        <v>44439</v>
      </c>
      <c r="H4" s="5">
        <f t="shared" ref="H4:P4" si="103">EDATE(H3,1)-1</f>
        <v>44469</v>
      </c>
      <c r="I4" s="5">
        <f t="shared" si="103"/>
        <v>44500</v>
      </c>
      <c r="J4" s="5">
        <f t="shared" si="103"/>
        <v>44530</v>
      </c>
      <c r="K4" s="5">
        <f t="shared" si="103"/>
        <v>44561</v>
      </c>
      <c r="L4" s="5">
        <f t="shared" si="103"/>
        <v>44592</v>
      </c>
      <c r="M4" s="5">
        <f t="shared" si="103"/>
        <v>44620</v>
      </c>
      <c r="N4" s="5">
        <f t="shared" si="103"/>
        <v>44651</v>
      </c>
      <c r="O4" s="5">
        <f t="shared" si="103"/>
        <v>44681</v>
      </c>
      <c r="P4" s="5">
        <f t="shared" si="103"/>
        <v>44712</v>
      </c>
      <c r="Q4" s="5">
        <f t="shared" ref="Q4" si="104">EDATE(Q3,1)-1</f>
        <v>44742</v>
      </c>
      <c r="R4" s="5">
        <f t="shared" ref="R4" si="105">EDATE(R3,1)-1</f>
        <v>44773</v>
      </c>
      <c r="S4" s="5">
        <f t="shared" ref="S4" si="106">EDATE(S3,1)-1</f>
        <v>44804</v>
      </c>
      <c r="T4" s="5">
        <f t="shared" ref="T4" si="107">EDATE(T3,1)-1</f>
        <v>44834</v>
      </c>
      <c r="U4" s="5">
        <f t="shared" ref="U4" si="108">EDATE(U3,1)-1</f>
        <v>44865</v>
      </c>
      <c r="V4" s="5">
        <f t="shared" ref="V4" si="109">EDATE(V3,1)-1</f>
        <v>44895</v>
      </c>
      <c r="W4" s="5">
        <f t="shared" ref="W4" si="110">EDATE(W3,1)-1</f>
        <v>44926</v>
      </c>
      <c r="X4" s="5">
        <f t="shared" ref="X4" si="111">EDATE(X3,1)-1</f>
        <v>44957</v>
      </c>
      <c r="Y4" s="5">
        <f t="shared" ref="Y4" si="112">EDATE(Y3,1)-1</f>
        <v>44985</v>
      </c>
      <c r="Z4" s="5">
        <f t="shared" ref="Z4" si="113">EDATE(Z3,1)-1</f>
        <v>45016</v>
      </c>
      <c r="AA4" s="5">
        <f t="shared" ref="AA4" si="114">EDATE(AA3,1)-1</f>
        <v>45046</v>
      </c>
      <c r="AB4" s="5">
        <f t="shared" ref="AB4" si="115">EDATE(AB3,1)-1</f>
        <v>45077</v>
      </c>
      <c r="AC4" s="5">
        <f t="shared" ref="AC4" si="116">EDATE(AC3,1)-1</f>
        <v>45107</v>
      </c>
      <c r="AD4" s="5">
        <f t="shared" ref="AD4" si="117">EDATE(AD3,1)-1</f>
        <v>45138</v>
      </c>
      <c r="AE4" s="5">
        <f t="shared" ref="AE4" si="118">EDATE(AE3,1)-1</f>
        <v>45169</v>
      </c>
      <c r="AF4" s="5">
        <f t="shared" ref="AF4" si="119">EDATE(AF3,1)-1</f>
        <v>45199</v>
      </c>
      <c r="AG4" s="5">
        <f t="shared" ref="AG4" si="120">EDATE(AG3,1)-1</f>
        <v>45230</v>
      </c>
      <c r="AH4" s="5">
        <f t="shared" ref="AH4" si="121">EDATE(AH3,1)-1</f>
        <v>45260</v>
      </c>
      <c r="AI4" s="5">
        <f t="shared" ref="AI4" si="122">EDATE(AI3,1)-1</f>
        <v>45291</v>
      </c>
      <c r="AJ4" s="5">
        <f t="shared" ref="AJ4" si="123">EDATE(AJ3,1)-1</f>
        <v>45322</v>
      </c>
      <c r="AK4" s="5">
        <f t="shared" ref="AK4" si="124">EDATE(AK3,1)-1</f>
        <v>45351</v>
      </c>
      <c r="AL4" s="5">
        <f t="shared" ref="AL4" si="125">EDATE(AL3,1)-1</f>
        <v>45382</v>
      </c>
      <c r="AM4" s="5">
        <f t="shared" ref="AM4" si="126">EDATE(AM3,1)-1</f>
        <v>45412</v>
      </c>
      <c r="AN4" s="5">
        <f t="shared" ref="AN4" si="127">EDATE(AN3,1)-1</f>
        <v>45443</v>
      </c>
      <c r="AO4" s="5">
        <f t="shared" ref="AO4" si="128">EDATE(AO3,1)-1</f>
        <v>45473</v>
      </c>
      <c r="AP4" s="5">
        <f t="shared" ref="AP4" si="129">EDATE(AP3,1)-1</f>
        <v>45504</v>
      </c>
      <c r="AQ4" s="5">
        <f t="shared" ref="AQ4" si="130">EDATE(AQ3,1)-1</f>
        <v>45535</v>
      </c>
      <c r="AR4" s="5">
        <f t="shared" ref="AR4" si="131">EDATE(AR3,1)-1</f>
        <v>45565</v>
      </c>
      <c r="AS4" s="5">
        <f t="shared" ref="AS4" si="132">EDATE(AS3,1)-1</f>
        <v>45596</v>
      </c>
      <c r="AT4" s="5">
        <f t="shared" ref="AT4" si="133">EDATE(AT3,1)-1</f>
        <v>45626</v>
      </c>
      <c r="AU4" s="5">
        <f t="shared" ref="AU4" si="134">EDATE(AU3,1)-1</f>
        <v>45657</v>
      </c>
      <c r="AV4" s="5">
        <f t="shared" ref="AV4" si="135">EDATE(AV3,1)-1</f>
        <v>45688</v>
      </c>
      <c r="AW4" s="5">
        <f t="shared" ref="AW4" si="136">EDATE(AW3,1)-1</f>
        <v>45716</v>
      </c>
      <c r="AX4" s="5">
        <f t="shared" ref="AX4" si="137">EDATE(AX3,1)-1</f>
        <v>45747</v>
      </c>
      <c r="AY4" s="5">
        <f t="shared" ref="AY4" si="138">EDATE(AY3,1)-1</f>
        <v>45777</v>
      </c>
      <c r="AZ4" s="5">
        <f t="shared" ref="AZ4:BA4" si="139">EDATE(AZ3,1)-1</f>
        <v>45808</v>
      </c>
      <c r="BA4" s="5">
        <f t="shared" si="139"/>
        <v>45838</v>
      </c>
      <c r="BB4" s="5">
        <f t="shared" ref="BB4" si="140">EDATE(BB3,1)-1</f>
        <v>45869</v>
      </c>
      <c r="BC4" s="5">
        <f t="shared" ref="BC4" si="141">EDATE(BC3,1)-1</f>
        <v>45900</v>
      </c>
      <c r="BD4" s="5">
        <f t="shared" ref="BD4" si="142">EDATE(BD3,1)-1</f>
        <v>45930</v>
      </c>
      <c r="BE4" s="5">
        <f t="shared" ref="BE4" si="143">EDATE(BE3,1)-1</f>
        <v>45961</v>
      </c>
      <c r="BF4" s="5">
        <f t="shared" ref="BF4" si="144">EDATE(BF3,1)-1</f>
        <v>45991</v>
      </c>
      <c r="BG4" s="5">
        <f t="shared" ref="BG4" si="145">EDATE(BG3,1)-1</f>
        <v>46022</v>
      </c>
      <c r="BH4" s="5">
        <f t="shared" ref="BH4" si="146">EDATE(BH3,1)-1</f>
        <v>46053</v>
      </c>
      <c r="BI4" s="5">
        <f t="shared" ref="BI4" si="147">EDATE(BI3,1)-1</f>
        <v>46081</v>
      </c>
      <c r="BJ4" s="5">
        <f t="shared" ref="BJ4" si="148">EDATE(BJ3,1)-1</f>
        <v>46112</v>
      </c>
      <c r="BK4" s="5">
        <f t="shared" ref="BK4" si="149">EDATE(BK3,1)-1</f>
        <v>46142</v>
      </c>
      <c r="BL4" s="5">
        <f t="shared" ref="BL4" si="150">EDATE(BL3,1)-1</f>
        <v>46173</v>
      </c>
      <c r="BM4" s="5">
        <f t="shared" ref="BM4" si="151">EDATE(BM3,1)-1</f>
        <v>46203</v>
      </c>
      <c r="BN4" s="5">
        <f t="shared" ref="BN4" si="152">EDATE(BN3,1)-1</f>
        <v>46234</v>
      </c>
      <c r="BO4" s="5">
        <f t="shared" ref="BO4" si="153">EDATE(BO3,1)-1</f>
        <v>46265</v>
      </c>
      <c r="BP4" s="5">
        <f t="shared" ref="BP4" si="154">EDATE(BP3,1)-1</f>
        <v>46295</v>
      </c>
      <c r="BQ4" s="5">
        <f t="shared" ref="BQ4" si="155">EDATE(BQ3,1)-1</f>
        <v>46326</v>
      </c>
      <c r="BR4" s="5">
        <f t="shared" ref="BR4" si="156">EDATE(BR3,1)-1</f>
        <v>46356</v>
      </c>
      <c r="BS4" s="5">
        <f t="shared" ref="BS4" si="157">EDATE(BS3,1)-1</f>
        <v>46387</v>
      </c>
      <c r="BT4" s="5">
        <f t="shared" ref="BT4" si="158">EDATE(BT3,1)-1</f>
        <v>46418</v>
      </c>
      <c r="BU4" s="5">
        <f t="shared" ref="BU4" si="159">EDATE(BU3,1)-1</f>
        <v>46446</v>
      </c>
      <c r="BV4" s="5">
        <f t="shared" ref="BV4" si="160">EDATE(BV3,1)-1</f>
        <v>46477</v>
      </c>
      <c r="BW4" s="5">
        <f t="shared" ref="BW4" si="161">EDATE(BW3,1)-1</f>
        <v>46507</v>
      </c>
      <c r="BX4" s="5">
        <f t="shared" ref="BX4" si="162">EDATE(BX3,1)-1</f>
        <v>46538</v>
      </c>
      <c r="BY4" s="5">
        <f t="shared" ref="BY4:DI4" si="163">EDATE(BY3,1)-1</f>
        <v>46568</v>
      </c>
      <c r="BZ4" s="5">
        <f t="shared" si="163"/>
        <v>46599</v>
      </c>
      <c r="CA4" s="5">
        <f t="shared" si="163"/>
        <v>46630</v>
      </c>
      <c r="CB4" s="5">
        <f t="shared" si="163"/>
        <v>46660</v>
      </c>
      <c r="CC4" s="5">
        <f t="shared" si="163"/>
        <v>46691</v>
      </c>
      <c r="CD4" s="5">
        <f t="shared" si="163"/>
        <v>46721</v>
      </c>
      <c r="CE4" s="5">
        <f t="shared" si="163"/>
        <v>46752</v>
      </c>
      <c r="CF4" s="5">
        <f t="shared" si="163"/>
        <v>46783</v>
      </c>
      <c r="CG4" s="5">
        <f t="shared" si="163"/>
        <v>46812</v>
      </c>
      <c r="CH4" s="5">
        <f t="shared" si="163"/>
        <v>46843</v>
      </c>
      <c r="CI4" s="5">
        <f t="shared" si="163"/>
        <v>46873</v>
      </c>
      <c r="CJ4" s="5">
        <f t="shared" si="163"/>
        <v>46904</v>
      </c>
      <c r="CK4" s="5">
        <f t="shared" si="163"/>
        <v>46934</v>
      </c>
      <c r="CL4" s="5">
        <f t="shared" si="163"/>
        <v>46965</v>
      </c>
      <c r="CM4" s="5">
        <f t="shared" si="163"/>
        <v>46996</v>
      </c>
      <c r="CN4" s="5">
        <f t="shared" si="163"/>
        <v>47026</v>
      </c>
      <c r="CO4" s="5">
        <f t="shared" si="163"/>
        <v>47057</v>
      </c>
      <c r="CP4" s="5">
        <f t="shared" si="163"/>
        <v>47087</v>
      </c>
      <c r="CQ4" s="5">
        <f t="shared" si="163"/>
        <v>47118</v>
      </c>
      <c r="CR4" s="5">
        <f t="shared" si="163"/>
        <v>47149</v>
      </c>
      <c r="CS4" s="5">
        <f t="shared" si="163"/>
        <v>47177</v>
      </c>
      <c r="CT4" s="5">
        <f t="shared" si="163"/>
        <v>47208</v>
      </c>
      <c r="CU4" s="5">
        <f t="shared" si="163"/>
        <v>47238</v>
      </c>
      <c r="CV4" s="5">
        <f t="shared" si="163"/>
        <v>47269</v>
      </c>
      <c r="CW4" s="5">
        <f t="shared" si="163"/>
        <v>47299</v>
      </c>
      <c r="CX4" s="5">
        <f t="shared" si="163"/>
        <v>47330</v>
      </c>
      <c r="CY4" s="5">
        <f t="shared" si="163"/>
        <v>47361</v>
      </c>
      <c r="CZ4" s="5">
        <f t="shared" si="163"/>
        <v>47391</v>
      </c>
      <c r="DA4" s="5">
        <f t="shared" si="163"/>
        <v>47422</v>
      </c>
      <c r="DB4" s="5">
        <f t="shared" si="163"/>
        <v>47452</v>
      </c>
      <c r="DC4" s="5">
        <f t="shared" si="163"/>
        <v>47483</v>
      </c>
      <c r="DD4" s="5">
        <f t="shared" si="163"/>
        <v>47514</v>
      </c>
      <c r="DE4" s="5">
        <f t="shared" si="163"/>
        <v>47542</v>
      </c>
      <c r="DF4" s="5">
        <f t="shared" si="163"/>
        <v>47573</v>
      </c>
      <c r="DG4" s="5">
        <f t="shared" si="163"/>
        <v>47603</v>
      </c>
      <c r="DH4" s="5">
        <f t="shared" si="163"/>
        <v>47634</v>
      </c>
      <c r="DI4" s="5">
        <f t="shared" si="163"/>
        <v>47664</v>
      </c>
    </row>
    <row r="5" spans="2:129" x14ac:dyDescent="0.3">
      <c r="C5" s="14" t="s">
        <v>39</v>
      </c>
      <c r="D5" s="14" t="s">
        <v>40</v>
      </c>
      <c r="BZ5" s="1"/>
    </row>
    <row r="6" spans="2:129" s="25" customFormat="1" collapsed="1" x14ac:dyDescent="0.3">
      <c r="B6" s="22" t="s">
        <v>79</v>
      </c>
      <c r="C6" s="23"/>
      <c r="D6" s="24">
        <f>D7-D8</f>
        <v>828075.99064016063</v>
      </c>
      <c r="E6" s="24"/>
      <c r="F6" s="24">
        <f t="shared" ref="F6:BA6" si="164">F7-F8</f>
        <v>5635.7728000000006</v>
      </c>
      <c r="G6" s="24">
        <f t="shared" si="164"/>
        <v>6077.2004957614172</v>
      </c>
      <c r="H6" s="24">
        <f t="shared" si="164"/>
        <v>6521.5084231301316</v>
      </c>
      <c r="I6" s="24">
        <f t="shared" si="164"/>
        <v>6954.9862306929399</v>
      </c>
      <c r="J6" s="24">
        <f t="shared" si="164"/>
        <v>7405.0518261338948</v>
      </c>
      <c r="K6" s="24">
        <f t="shared" si="164"/>
        <v>7844.224282897133</v>
      </c>
      <c r="L6" s="24">
        <f t="shared" si="164"/>
        <v>8300.1046303688927</v>
      </c>
      <c r="M6" s="24">
        <f t="shared" si="164"/>
        <v>8758.9370221095414</v>
      </c>
      <c r="N6" s="24">
        <f t="shared" si="164"/>
        <v>9178.8713058937465</v>
      </c>
      <c r="O6" s="24">
        <f t="shared" si="164"/>
        <v>9643.51214645459</v>
      </c>
      <c r="P6" s="24">
        <f t="shared" si="164"/>
        <v>10097.100494895139</v>
      </c>
      <c r="Q6" s="24">
        <f t="shared" si="164"/>
        <v>10567.70055282296</v>
      </c>
      <c r="R6" s="24">
        <f t="shared" si="164"/>
        <v>11027.183834041174</v>
      </c>
      <c r="S6" s="24">
        <f t="shared" si="164"/>
        <v>11063.941113487979</v>
      </c>
      <c r="T6" s="24">
        <f t="shared" si="164"/>
        <v>11100.820917199608</v>
      </c>
      <c r="U6" s="24">
        <f t="shared" si="164"/>
        <v>11137.823653590272</v>
      </c>
      <c r="V6" s="24">
        <f t="shared" si="164"/>
        <v>11174.949732435573</v>
      </c>
      <c r="W6" s="24">
        <f t="shared" si="164"/>
        <v>11212.199564877028</v>
      </c>
      <c r="X6" s="24">
        <f t="shared" si="164"/>
        <v>11249.573563426617</v>
      </c>
      <c r="Y6" s="24">
        <f t="shared" si="164"/>
        <v>11287.072141971372</v>
      </c>
      <c r="Z6" s="24">
        <f t="shared" si="164"/>
        <v>11324.695715777943</v>
      </c>
      <c r="AA6" s="24">
        <f t="shared" si="164"/>
        <v>11362.444701497207</v>
      </c>
      <c r="AB6" s="24">
        <f t="shared" si="164"/>
        <v>11400.319517168864</v>
      </c>
      <c r="AC6" s="24">
        <f t="shared" si="164"/>
        <v>11438.320582226095</v>
      </c>
      <c r="AD6" s="24">
        <f t="shared" si="164"/>
        <v>11476.448317500182</v>
      </c>
      <c r="AE6" s="24">
        <f t="shared" si="164"/>
        <v>11514.703145225183</v>
      </c>
      <c r="AF6" s="24">
        <f t="shared" si="164"/>
        <v>11553.085489042602</v>
      </c>
      <c r="AG6" s="24">
        <f t="shared" si="164"/>
        <v>11591.595774006077</v>
      </c>
      <c r="AH6" s="24">
        <f t="shared" si="164"/>
        <v>11630.234426586099</v>
      </c>
      <c r="AI6" s="24">
        <f t="shared" si="164"/>
        <v>11669.001874674719</v>
      </c>
      <c r="AJ6" s="24">
        <f t="shared" si="164"/>
        <v>11707.898547590303</v>
      </c>
      <c r="AK6" s="24">
        <f t="shared" si="164"/>
        <v>11746.924876082272</v>
      </c>
      <c r="AL6" s="24">
        <f t="shared" si="164"/>
        <v>11786.081292335881</v>
      </c>
      <c r="AM6" s="24">
        <f t="shared" si="164"/>
        <v>11825.368229977004</v>
      </c>
      <c r="AN6" s="24">
        <f t="shared" si="164"/>
        <v>11864.786124076927</v>
      </c>
      <c r="AO6" s="24">
        <f t="shared" si="164"/>
        <v>11904.335411157186</v>
      </c>
      <c r="AP6" s="24">
        <f t="shared" si="164"/>
        <v>11944.016529194374</v>
      </c>
      <c r="AQ6" s="24">
        <f t="shared" si="164"/>
        <v>11983.829917625026</v>
      </c>
      <c r="AR6" s="24">
        <f t="shared" si="164"/>
        <v>12023.776017350441</v>
      </c>
      <c r="AS6" s="24">
        <f t="shared" si="164"/>
        <v>12063.855270741611</v>
      </c>
      <c r="AT6" s="24">
        <f t="shared" si="164"/>
        <v>12104.068121644083</v>
      </c>
      <c r="AU6" s="24">
        <f t="shared" si="164"/>
        <v>12144.4150153829</v>
      </c>
      <c r="AV6" s="24">
        <f t="shared" si="164"/>
        <v>12184.896398767509</v>
      </c>
      <c r="AW6" s="24">
        <f t="shared" si="164"/>
        <v>12225.512720096734</v>
      </c>
      <c r="AX6" s="24">
        <f t="shared" si="164"/>
        <v>12266.264429163724</v>
      </c>
      <c r="AY6" s="24">
        <f t="shared" si="164"/>
        <v>12307.151977260937</v>
      </c>
      <c r="AZ6" s="24">
        <f t="shared" si="164"/>
        <v>12348.17581718514</v>
      </c>
      <c r="BA6" s="24">
        <f t="shared" si="164"/>
        <v>12389.336403242425</v>
      </c>
      <c r="BB6" s="24">
        <f t="shared" ref="BB6:BQ6" si="165">BB7-BB8</f>
        <v>12430.634191253233</v>
      </c>
      <c r="BC6" s="24">
        <f t="shared" si="165"/>
        <v>12472.069638557412</v>
      </c>
      <c r="BD6" s="24">
        <f t="shared" si="165"/>
        <v>12513.64320401927</v>
      </c>
      <c r="BE6" s="24">
        <f t="shared" si="165"/>
        <v>12555.35534803267</v>
      </c>
      <c r="BF6" s="24">
        <f t="shared" si="165"/>
        <v>12597.206532526112</v>
      </c>
      <c r="BG6" s="24">
        <f t="shared" si="165"/>
        <v>12639.197220967868</v>
      </c>
      <c r="BH6" s="24">
        <f t="shared" si="165"/>
        <v>12681.327878371094</v>
      </c>
      <c r="BI6" s="24">
        <f t="shared" si="165"/>
        <v>12723.598971298998</v>
      </c>
      <c r="BJ6" s="24">
        <f t="shared" si="165"/>
        <v>12766.010967869996</v>
      </c>
      <c r="BK6" s="24">
        <f t="shared" si="165"/>
        <v>12808.564337762895</v>
      </c>
      <c r="BL6" s="24">
        <f t="shared" si="165"/>
        <v>12851.259552222105</v>
      </c>
      <c r="BM6" s="24">
        <f t="shared" si="165"/>
        <v>12894.097084062847</v>
      </c>
      <c r="BN6" s="24">
        <f t="shared" si="165"/>
        <v>12937.077407676394</v>
      </c>
      <c r="BO6" s="24">
        <f t="shared" si="165"/>
        <v>12980.200999035316</v>
      </c>
      <c r="BP6" s="24">
        <f t="shared" si="165"/>
        <v>13023.468335698768</v>
      </c>
      <c r="BQ6" s="24">
        <f t="shared" si="165"/>
        <v>13066.879896817765</v>
      </c>
      <c r="BR6" s="24">
        <f>BR7-BR8</f>
        <v>13110.43616314049</v>
      </c>
      <c r="BS6" s="24">
        <f>BS7-BS8</f>
        <v>13154.137617017626</v>
      </c>
      <c r="BT6" s="24">
        <f t="shared" ref="BT6" si="166">BT7-BT8</f>
        <v>13197.984742407687</v>
      </c>
      <c r="BU6" s="24">
        <f t="shared" ref="BU6" si="167">BU7-BU8</f>
        <v>13241.978024882377</v>
      </c>
      <c r="BV6" s="24">
        <f t="shared" ref="BV6" si="168">BV7-BV8</f>
        <v>13286.117951631988</v>
      </c>
      <c r="BW6" s="24">
        <f t="shared" ref="BW6" si="169">BW7-BW8</f>
        <v>13330.405011470761</v>
      </c>
      <c r="BX6" s="24">
        <f t="shared" ref="BX6" si="170">BX7-BX8</f>
        <v>13374.839694842329</v>
      </c>
      <c r="BY6" s="24">
        <f t="shared" ref="BY6" si="171">BY7-BY8</f>
        <v>13419.422493825139</v>
      </c>
      <c r="BZ6" s="24">
        <f t="shared" ref="BZ6:DI6" si="172">BZ7-BZ8</f>
        <v>13464.15390213789</v>
      </c>
      <c r="CA6" s="24">
        <f t="shared" si="172"/>
        <v>13509.034415145017</v>
      </c>
      <c r="CB6" s="24">
        <f t="shared" si="172"/>
        <v>13554.064529862171</v>
      </c>
      <c r="CC6" s="24">
        <f t="shared" si="172"/>
        <v>13599.244744961712</v>
      </c>
      <c r="CD6" s="24">
        <f t="shared" si="172"/>
        <v>13644.575560778254</v>
      </c>
      <c r="CE6" s="24">
        <f t="shared" si="172"/>
        <v>13690.057479314182</v>
      </c>
      <c r="CF6" s="24">
        <f t="shared" si="172"/>
        <v>13735.691004245231</v>
      </c>
      <c r="CG6" s="24">
        <f t="shared" si="172"/>
        <v>13781.476640926052</v>
      </c>
      <c r="CH6" s="24">
        <f t="shared" si="172"/>
        <v>13827.414896395803</v>
      </c>
      <c r="CI6" s="24">
        <f t="shared" si="172"/>
        <v>13873.50627938379</v>
      </c>
      <c r="CJ6" s="24">
        <f t="shared" si="172"/>
        <v>13919.751300315071</v>
      </c>
      <c r="CK6" s="24">
        <f t="shared" si="172"/>
        <v>13966.150471316121</v>
      </c>
      <c r="CL6" s="24">
        <f t="shared" si="172"/>
        <v>14012.704306220508</v>
      </c>
      <c r="CM6" s="24">
        <f t="shared" si="172"/>
        <v>14059.413320574578</v>
      </c>
      <c r="CN6" s="24">
        <f t="shared" si="172"/>
        <v>14106.27803164316</v>
      </c>
      <c r="CO6" s="24">
        <f t="shared" si="172"/>
        <v>14153.298958415306</v>
      </c>
      <c r="CP6" s="24">
        <f t="shared" si="172"/>
        <v>14200.476621610025</v>
      </c>
      <c r="CQ6" s="24">
        <f t="shared" si="172"/>
        <v>14247.811543682061</v>
      </c>
      <c r="CR6" s="24">
        <f t="shared" si="172"/>
        <v>14295.304248827666</v>
      </c>
      <c r="CS6" s="24">
        <f t="shared" si="172"/>
        <v>14342.955262990426</v>
      </c>
      <c r="CT6" s="24">
        <f t="shared" si="172"/>
        <v>14390.765113867063</v>
      </c>
      <c r="CU6" s="24">
        <f t="shared" si="172"/>
        <v>14438.734330913288</v>
      </c>
      <c r="CV6" s="24">
        <f t="shared" si="172"/>
        <v>14486.863445349667</v>
      </c>
      <c r="CW6" s="24">
        <f t="shared" si="172"/>
        <v>14535.1529901675</v>
      </c>
      <c r="CX6" s="24">
        <f t="shared" si="172"/>
        <v>14583.603500134728</v>
      </c>
      <c r="CY6" s="24">
        <f t="shared" si="172"/>
        <v>14632.215511801845</v>
      </c>
      <c r="CZ6" s="24">
        <f t="shared" si="172"/>
        <v>14680.989563507852</v>
      </c>
      <c r="DA6" s="24">
        <f t="shared" si="172"/>
        <v>14729.926195386211</v>
      </c>
      <c r="DB6" s="24">
        <f t="shared" si="172"/>
        <v>14779.025949370833</v>
      </c>
      <c r="DC6" s="24">
        <f t="shared" si="172"/>
        <v>14828.28936920207</v>
      </c>
      <c r="DD6" s="24">
        <f t="shared" si="172"/>
        <v>14877.717000432745</v>
      </c>
      <c r="DE6" s="24">
        <f t="shared" si="172"/>
        <v>14927.309390434189</v>
      </c>
      <c r="DF6" s="24">
        <f t="shared" si="172"/>
        <v>14977.067088402304</v>
      </c>
      <c r="DG6" s="24">
        <f t="shared" si="172"/>
        <v>15026.990645363647</v>
      </c>
      <c r="DH6" s="24">
        <f t="shared" si="172"/>
        <v>15077.080614181526</v>
      </c>
      <c r="DI6" s="24">
        <f t="shared" si="172"/>
        <v>15127.337549562133</v>
      </c>
    </row>
    <row r="7" spans="2:129" s="35" customFormat="1" hidden="1" outlineLevel="1" x14ac:dyDescent="0.3">
      <c r="B7" s="32" t="s">
        <v>78</v>
      </c>
      <c r="C7" s="33"/>
      <c r="D7" s="34">
        <f>SUM(F7:BY7)</f>
        <v>1035094.9883002008</v>
      </c>
      <c r="E7" s="34"/>
      <c r="F7" s="34">
        <f>IF(OR(F3&lt;Start,F3&gt;Finish),0,IF(F3&lt;=StartReconception,StartRentalValue/1000*MonthlyInflation,IF(F3&gt;=FinishReconception,TargetRentalValue/1000*(1-RatioOfFreeSpaces)*MonthlyInflation,(TargetRentalValue/1000*(1-RatioOfFreeSpaces)-StartRentalValue/1000)/(FinishReconception-StartReconception+1)*(F3-StartReconception)+StartRentalValue/1000*MonthlyInflation)))</f>
        <v>7044.7160000000003</v>
      </c>
      <c r="G7" s="34">
        <f>IF(OR(G3&lt;Start,G3&gt;Finish),0,IF(G3&lt;=StartReconception,StartRentalValue/1000*MonthlyInflation,IF(G3&gt;=FinishReconception,TargetRentalValue/1000*(1-RatioOfFreeSpaces)*MonthlyInflation,((TargetRentalValue/1000*(1-RatioOfFreeSpaces)-StartRentalValue/1000)/(FinishReconception-StartReconception+1)*(G3-StartReconception)+StartRentalValue/1000)*MonthlyInflation)))</f>
        <v>7596.500619701771</v>
      </c>
      <c r="H7" s="34">
        <f>IF(OR(H3&lt;Start,H3&gt;Finish),0,IF(H3&lt;=StartReconception,StartRentalValue/1000*MonthlyInflation,IF(H3&gt;=FinishReconception,TargetRentalValue/1000*(1-RatioOfFreeSpaces)*MonthlyInflation,((TargetRentalValue/1000*(1-RatioOfFreeSpaces)-StartRentalValue/1000)/(FinishReconception-StartReconception+1)*(H3-StartReconception)+StartRentalValue/1000)*MonthlyInflation)))</f>
        <v>8151.885528912665</v>
      </c>
      <c r="I7" s="34">
        <f>IF(OR(I3&lt;Start,I3&gt;Finish),0,IF(I3&lt;=StartReconception,StartRentalValue/1000*MonthlyInflation,IF(I3&gt;=FinishReconception,TargetRentalValue/1000*(1-RatioOfFreeSpaces)*MonthlyInflation,((TargetRentalValue/1000*(1-RatioOfFreeSpaces)-StartRentalValue/1000)/(FinishReconception-StartReconception+1)*(I3-StartReconception)+StartRentalValue/1000)*MonthlyInflation)))</f>
        <v>8693.7327883661746</v>
      </c>
      <c r="J7" s="34">
        <f t="shared" ref="J7:P7" si="173">IF(OR(J3&lt;Start,J3&gt;Finish),0,IF(J3&lt;=StartReconception,StartRentalValue/1000*MonthlyInflation,IF(J3&gt;=FinishReconception,TargetRentalValue/1000*(1-RatioOfFreeSpaces)*MonthlyInflation,(TargetRentalValue/1000*(1-RatioOfFreeSpaces)-StartRentalValue/1000)/(FinishReconception-StartReconception+1)*(J3-StartReconception)+StartRentalValue/1000)*MonthlyInflation))</f>
        <v>9256.3147826673685</v>
      </c>
      <c r="K7" s="34">
        <f t="shared" si="173"/>
        <v>9805.280353621416</v>
      </c>
      <c r="L7" s="34">
        <f t="shared" si="173"/>
        <v>10375.130787961116</v>
      </c>
      <c r="M7" s="34">
        <f t="shared" si="173"/>
        <v>10948.671277636928</v>
      </c>
      <c r="N7" s="34">
        <f t="shared" si="173"/>
        <v>11473.589132367184</v>
      </c>
      <c r="O7" s="34">
        <f t="shared" si="173"/>
        <v>12054.390183068237</v>
      </c>
      <c r="P7" s="34">
        <f t="shared" si="173"/>
        <v>12621.375618618924</v>
      </c>
      <c r="Q7" s="34">
        <f t="shared" ref="Q7:AV7" si="174">IF(OR(Q3&lt;Start,Q3&gt;Finish),0,IF(Q3&lt;=StartReconception,StartRentalValue/1000*MonthlyInflation,IF(Q3&gt;=FinishReconception,TargetRentalValue/1000*(1-RatioOfFreeSpaces)*MonthlyInflation,((TargetRentalValue/1000*(1-RatioOfFreeSpaces)-StartRentalValue/1000)/(FinishReconception-StartReconception+1)*(Q3-StartReconception)+StartRentalValue/1000)*MonthlyInflation)))</f>
        <v>13209.625691028699</v>
      </c>
      <c r="R7" s="34">
        <f t="shared" si="174"/>
        <v>13783.979792551467</v>
      </c>
      <c r="S7" s="34">
        <f t="shared" si="174"/>
        <v>13829.926391859974</v>
      </c>
      <c r="T7" s="34">
        <f t="shared" si="174"/>
        <v>13876.026146499509</v>
      </c>
      <c r="U7" s="34">
        <f t="shared" si="174"/>
        <v>13922.27956698784</v>
      </c>
      <c r="V7" s="34">
        <f t="shared" si="174"/>
        <v>13968.687165544467</v>
      </c>
      <c r="W7" s="34">
        <f t="shared" si="174"/>
        <v>14015.249456096284</v>
      </c>
      <c r="X7" s="34">
        <f t="shared" si="174"/>
        <v>14061.966954283271</v>
      </c>
      <c r="Y7" s="34">
        <f t="shared" si="174"/>
        <v>14108.840177464215</v>
      </c>
      <c r="Z7" s="34">
        <f t="shared" si="174"/>
        <v>14155.86964472243</v>
      </c>
      <c r="AA7" s="34">
        <f t="shared" si="174"/>
        <v>14203.055876871507</v>
      </c>
      <c r="AB7" s="34">
        <f t="shared" si="174"/>
        <v>14250.39939646108</v>
      </c>
      <c r="AC7" s="34">
        <f t="shared" si="174"/>
        <v>14297.900727782619</v>
      </c>
      <c r="AD7" s="34">
        <f t="shared" si="174"/>
        <v>14345.560396875228</v>
      </c>
      <c r="AE7" s="34">
        <f t="shared" si="174"/>
        <v>14393.378931531479</v>
      </c>
      <c r="AF7" s="34">
        <f t="shared" si="174"/>
        <v>14441.356861303251</v>
      </c>
      <c r="AG7" s="34">
        <f t="shared" si="174"/>
        <v>14489.494717507596</v>
      </c>
      <c r="AH7" s="34">
        <f t="shared" si="174"/>
        <v>14537.793033232623</v>
      </c>
      <c r="AI7" s="34">
        <f t="shared" si="174"/>
        <v>14586.252343343398</v>
      </c>
      <c r="AJ7" s="34">
        <f t="shared" si="174"/>
        <v>14634.873184487878</v>
      </c>
      <c r="AK7" s="34">
        <f t="shared" si="174"/>
        <v>14683.65609510284</v>
      </c>
      <c r="AL7" s="34">
        <f t="shared" si="174"/>
        <v>14732.601615419851</v>
      </c>
      <c r="AM7" s="34">
        <f t="shared" si="174"/>
        <v>14781.710287471255</v>
      </c>
      <c r="AN7" s="34">
        <f t="shared" si="174"/>
        <v>14830.982655096159</v>
      </c>
      <c r="AO7" s="34">
        <f t="shared" si="174"/>
        <v>14880.419263946482</v>
      </c>
      <c r="AP7" s="34">
        <f t="shared" si="174"/>
        <v>14930.020661492968</v>
      </c>
      <c r="AQ7" s="34">
        <f t="shared" si="174"/>
        <v>14979.787397031281</v>
      </c>
      <c r="AR7" s="34">
        <f t="shared" si="174"/>
        <v>15029.720021688052</v>
      </c>
      <c r="AS7" s="34">
        <f t="shared" si="174"/>
        <v>15079.819088427013</v>
      </c>
      <c r="AT7" s="34">
        <f t="shared" si="174"/>
        <v>15130.085152055104</v>
      </c>
      <c r="AU7" s="34">
        <f t="shared" si="174"/>
        <v>15180.518769228624</v>
      </c>
      <c r="AV7" s="34">
        <f t="shared" si="174"/>
        <v>15231.120498459386</v>
      </c>
      <c r="AW7" s="34">
        <f t="shared" ref="AW7:BY7" si="175">IF(OR(AW3&lt;Start,AW3&gt;Finish),0,IF(AW3&lt;=StartReconception,StartRentalValue/1000*MonthlyInflation,IF(AW3&gt;=FinishReconception,TargetRentalValue/1000*(1-RatioOfFreeSpaces)*MonthlyInflation,((TargetRentalValue/1000*(1-RatioOfFreeSpaces)-StartRentalValue/1000)/(FinishReconception-StartReconception+1)*(AW3-StartReconception)+StartRentalValue/1000)*MonthlyInflation)))</f>
        <v>15281.890900120918</v>
      </c>
      <c r="AX7" s="34">
        <f t="shared" si="175"/>
        <v>15332.830536454656</v>
      </c>
      <c r="AY7" s="34">
        <f t="shared" si="175"/>
        <v>15383.939971576172</v>
      </c>
      <c r="AZ7" s="34">
        <f t="shared" si="175"/>
        <v>15435.219771481425</v>
      </c>
      <c r="BA7" s="34">
        <f t="shared" si="175"/>
        <v>15486.670504053031</v>
      </c>
      <c r="BB7" s="34">
        <f t="shared" si="175"/>
        <v>15538.292739066541</v>
      </c>
      <c r="BC7" s="34">
        <f t="shared" si="175"/>
        <v>15590.087048196765</v>
      </c>
      <c r="BD7" s="34">
        <f t="shared" si="175"/>
        <v>15642.054005024089</v>
      </c>
      <c r="BE7" s="34">
        <f t="shared" si="175"/>
        <v>15694.194185040837</v>
      </c>
      <c r="BF7" s="34">
        <f t="shared" si="175"/>
        <v>15746.50816565764</v>
      </c>
      <c r="BG7" s="34">
        <f t="shared" si="175"/>
        <v>15798.996526209834</v>
      </c>
      <c r="BH7" s="34">
        <f t="shared" si="175"/>
        <v>15851.659847963867</v>
      </c>
      <c r="BI7" s="34">
        <f t="shared" si="175"/>
        <v>15904.498714123747</v>
      </c>
      <c r="BJ7" s="34">
        <f t="shared" si="175"/>
        <v>15957.513709837494</v>
      </c>
      <c r="BK7" s="34">
        <f t="shared" si="175"/>
        <v>16010.705422203619</v>
      </c>
      <c r="BL7" s="34">
        <f t="shared" si="175"/>
        <v>16064.074440277633</v>
      </c>
      <c r="BM7" s="34">
        <f t="shared" si="175"/>
        <v>16117.62135507856</v>
      </c>
      <c r="BN7" s="34">
        <f t="shared" si="175"/>
        <v>16171.346759595492</v>
      </c>
      <c r="BO7" s="34">
        <f t="shared" si="175"/>
        <v>16225.251248794146</v>
      </c>
      <c r="BP7" s="34">
        <f t="shared" si="175"/>
        <v>16279.33541962346</v>
      </c>
      <c r="BQ7" s="34">
        <f t="shared" si="175"/>
        <v>16333.599871022207</v>
      </c>
      <c r="BR7" s="34">
        <f t="shared" si="175"/>
        <v>16388.045203925612</v>
      </c>
      <c r="BS7" s="34">
        <f t="shared" si="175"/>
        <v>16442.672021272032</v>
      </c>
      <c r="BT7" s="34">
        <f t="shared" si="175"/>
        <v>16497.480928009609</v>
      </c>
      <c r="BU7" s="34">
        <f t="shared" si="175"/>
        <v>16552.472531102972</v>
      </c>
      <c r="BV7" s="34">
        <f t="shared" si="175"/>
        <v>16607.647439539985</v>
      </c>
      <c r="BW7" s="34">
        <f t="shared" si="175"/>
        <v>16663.006264338452</v>
      </c>
      <c r="BX7" s="34">
        <f t="shared" si="175"/>
        <v>16718.549618552912</v>
      </c>
      <c r="BY7" s="34">
        <f t="shared" si="175"/>
        <v>16774.278117281425</v>
      </c>
      <c r="BZ7" s="34">
        <f t="shared" ref="BZ7:DI7" si="176">IF(OR(BZ3&lt;Start,BZ3&gt;Finish),0,IF(BZ3&lt;=StartReconception,StartRentalValue/1000*MonthlyInflation,IF(BZ3&gt;=FinishReconception,TargetRentalValue/1000*(1-RatioOfFreeSpaces)*MonthlyInflation,((TargetRentalValue/1000*(1-RatioOfFreeSpaces)-StartRentalValue/1000)/(FinishReconception-StartReconception+1)*(BZ3-StartReconception)+StartRentalValue/1000)*MonthlyInflation)))</f>
        <v>16830.192377672363</v>
      </c>
      <c r="CA7" s="34">
        <f t="shared" si="176"/>
        <v>16886.293018931272</v>
      </c>
      <c r="CB7" s="34">
        <f t="shared" si="176"/>
        <v>16942.580662327713</v>
      </c>
      <c r="CC7" s="34">
        <f t="shared" si="176"/>
        <v>16999.05593120214</v>
      </c>
      <c r="CD7" s="34">
        <f t="shared" si="176"/>
        <v>17055.719450972818</v>
      </c>
      <c r="CE7" s="34">
        <f t="shared" si="176"/>
        <v>17112.571849142729</v>
      </c>
      <c r="CF7" s="34">
        <f t="shared" si="176"/>
        <v>17169.613755306538</v>
      </c>
      <c r="CG7" s="34">
        <f t="shared" si="176"/>
        <v>17226.845801157564</v>
      </c>
      <c r="CH7" s="34">
        <f t="shared" si="176"/>
        <v>17284.268620494753</v>
      </c>
      <c r="CI7" s="34">
        <f t="shared" si="176"/>
        <v>17341.882849229736</v>
      </c>
      <c r="CJ7" s="34">
        <f t="shared" si="176"/>
        <v>17399.689125393837</v>
      </c>
      <c r="CK7" s="34">
        <f t="shared" si="176"/>
        <v>17457.688089145151</v>
      </c>
      <c r="CL7" s="34">
        <f t="shared" si="176"/>
        <v>17515.880382775635</v>
      </c>
      <c r="CM7" s="34">
        <f t="shared" si="176"/>
        <v>17574.266650718222</v>
      </c>
      <c r="CN7" s="34">
        <f t="shared" si="176"/>
        <v>17632.84753955395</v>
      </c>
      <c r="CO7" s="34">
        <f t="shared" si="176"/>
        <v>17691.623698019132</v>
      </c>
      <c r="CP7" s="34">
        <f t="shared" si="176"/>
        <v>17750.595777012531</v>
      </c>
      <c r="CQ7" s="34">
        <f t="shared" si="176"/>
        <v>17809.764429602576</v>
      </c>
      <c r="CR7" s="34">
        <f t="shared" si="176"/>
        <v>17869.130311034583</v>
      </c>
      <c r="CS7" s="34">
        <f t="shared" si="176"/>
        <v>17928.694078738034</v>
      </c>
      <c r="CT7" s="34">
        <f t="shared" si="176"/>
        <v>17988.456392333828</v>
      </c>
      <c r="CU7" s="34">
        <f t="shared" si="176"/>
        <v>18048.41791364161</v>
      </c>
      <c r="CV7" s="34">
        <f t="shared" si="176"/>
        <v>18108.579306687083</v>
      </c>
      <c r="CW7" s="34">
        <f t="shared" si="176"/>
        <v>18168.941237709376</v>
      </c>
      <c r="CX7" s="34">
        <f t="shared" si="176"/>
        <v>18229.50437516841</v>
      </c>
      <c r="CY7" s="34">
        <f t="shared" si="176"/>
        <v>18290.269389752306</v>
      </c>
      <c r="CZ7" s="34">
        <f t="shared" si="176"/>
        <v>18351.236954384814</v>
      </c>
      <c r="DA7" s="34">
        <f t="shared" si="176"/>
        <v>18412.407744232765</v>
      </c>
      <c r="DB7" s="34">
        <f t="shared" si="176"/>
        <v>18473.78243671354</v>
      </c>
      <c r="DC7" s="34">
        <f t="shared" si="176"/>
        <v>18535.361711502588</v>
      </c>
      <c r="DD7" s="34">
        <f t="shared" si="176"/>
        <v>18597.146250540933</v>
      </c>
      <c r="DE7" s="34">
        <f t="shared" si="176"/>
        <v>18659.136738042736</v>
      </c>
      <c r="DF7" s="34">
        <f t="shared" si="176"/>
        <v>18721.33386050288</v>
      </c>
      <c r="DG7" s="34">
        <f t="shared" si="176"/>
        <v>18783.738306704559</v>
      </c>
      <c r="DH7" s="34">
        <f t="shared" si="176"/>
        <v>18846.350767726908</v>
      </c>
      <c r="DI7" s="34">
        <f t="shared" si="176"/>
        <v>18909.171936952665</v>
      </c>
    </row>
    <row r="8" spans="2:129" s="28" customFormat="1" hidden="1" outlineLevel="1" x14ac:dyDescent="0.3">
      <c r="B8" s="36" t="s">
        <v>39</v>
      </c>
      <c r="C8" s="29"/>
      <c r="D8" s="30">
        <f>SUM(F8:BY8)</f>
        <v>207018.99766004013</v>
      </c>
      <c r="E8" s="30"/>
      <c r="F8" s="30">
        <f t="shared" ref="F8:AK8" si="177">F7*VAT</f>
        <v>1408.9432000000002</v>
      </c>
      <c r="G8" s="30">
        <f t="shared" si="177"/>
        <v>1519.3001239403543</v>
      </c>
      <c r="H8" s="30">
        <f t="shared" si="177"/>
        <v>1630.3771057825331</v>
      </c>
      <c r="I8" s="30">
        <f t="shared" si="177"/>
        <v>1738.746557673235</v>
      </c>
      <c r="J8" s="30">
        <f t="shared" si="177"/>
        <v>1851.2629565334737</v>
      </c>
      <c r="K8" s="30">
        <f t="shared" si="177"/>
        <v>1961.0560707242832</v>
      </c>
      <c r="L8" s="30">
        <f t="shared" si="177"/>
        <v>2075.0261575922232</v>
      </c>
      <c r="M8" s="30">
        <f t="shared" si="177"/>
        <v>2189.7342555273858</v>
      </c>
      <c r="N8" s="30">
        <f t="shared" si="177"/>
        <v>2294.7178264734371</v>
      </c>
      <c r="O8" s="30">
        <f t="shared" si="177"/>
        <v>2410.8780366136475</v>
      </c>
      <c r="P8" s="30">
        <f t="shared" si="177"/>
        <v>2524.2751237237849</v>
      </c>
      <c r="Q8" s="30">
        <f t="shared" si="177"/>
        <v>2641.92513820574</v>
      </c>
      <c r="R8" s="30">
        <f t="shared" si="177"/>
        <v>2756.7959585102935</v>
      </c>
      <c r="S8" s="30">
        <f t="shared" si="177"/>
        <v>2765.9852783719948</v>
      </c>
      <c r="T8" s="30">
        <f t="shared" si="177"/>
        <v>2775.2052292999019</v>
      </c>
      <c r="U8" s="30">
        <f t="shared" si="177"/>
        <v>2784.4559133975681</v>
      </c>
      <c r="V8" s="30">
        <f t="shared" si="177"/>
        <v>2793.7374331088936</v>
      </c>
      <c r="W8" s="30">
        <f t="shared" si="177"/>
        <v>2803.049891219257</v>
      </c>
      <c r="X8" s="30">
        <f t="shared" si="177"/>
        <v>2812.3933908566542</v>
      </c>
      <c r="Y8" s="30">
        <f t="shared" si="177"/>
        <v>2821.7680354928434</v>
      </c>
      <c r="Z8" s="30">
        <f t="shared" si="177"/>
        <v>2831.1739289444863</v>
      </c>
      <c r="AA8" s="30">
        <f t="shared" si="177"/>
        <v>2840.6111753743016</v>
      </c>
      <c r="AB8" s="30">
        <f t="shared" si="177"/>
        <v>2850.079879292216</v>
      </c>
      <c r="AC8" s="30">
        <f t="shared" si="177"/>
        <v>2859.5801455565238</v>
      </c>
      <c r="AD8" s="30">
        <f t="shared" si="177"/>
        <v>2869.1120793750456</v>
      </c>
      <c r="AE8" s="30">
        <f t="shared" si="177"/>
        <v>2878.6757863062958</v>
      </c>
      <c r="AF8" s="30">
        <f t="shared" si="177"/>
        <v>2888.2713722606504</v>
      </c>
      <c r="AG8" s="30">
        <f t="shared" si="177"/>
        <v>2897.8989435015192</v>
      </c>
      <c r="AH8" s="30">
        <f t="shared" si="177"/>
        <v>2907.5586066465248</v>
      </c>
      <c r="AI8" s="30">
        <f t="shared" si="177"/>
        <v>2917.2504686686798</v>
      </c>
      <c r="AJ8" s="30">
        <f t="shared" si="177"/>
        <v>2926.9746368975757</v>
      </c>
      <c r="AK8" s="30">
        <f t="shared" si="177"/>
        <v>2936.7312190205685</v>
      </c>
      <c r="AL8" s="30">
        <f t="shared" ref="AL8:BQ8" si="178">AL7*VAT</f>
        <v>2946.5203230839707</v>
      </c>
      <c r="AM8" s="30">
        <f t="shared" si="178"/>
        <v>2956.3420574942511</v>
      </c>
      <c r="AN8" s="30">
        <f t="shared" si="178"/>
        <v>2966.1965310192318</v>
      </c>
      <c r="AO8" s="30">
        <f t="shared" si="178"/>
        <v>2976.0838527892965</v>
      </c>
      <c r="AP8" s="30">
        <f t="shared" si="178"/>
        <v>2986.004132298594</v>
      </c>
      <c r="AQ8" s="30">
        <f t="shared" si="178"/>
        <v>2995.9574794062564</v>
      </c>
      <c r="AR8" s="30">
        <f t="shared" si="178"/>
        <v>3005.9440043376107</v>
      </c>
      <c r="AS8" s="30">
        <f t="shared" si="178"/>
        <v>3015.9638176854028</v>
      </c>
      <c r="AT8" s="30">
        <f t="shared" si="178"/>
        <v>3026.0170304110211</v>
      </c>
      <c r="AU8" s="30">
        <f t="shared" si="178"/>
        <v>3036.1037538457249</v>
      </c>
      <c r="AV8" s="30">
        <f t="shared" si="178"/>
        <v>3046.2240996918772</v>
      </c>
      <c r="AW8" s="30">
        <f t="shared" si="178"/>
        <v>3056.3781800241836</v>
      </c>
      <c r="AX8" s="30">
        <f t="shared" si="178"/>
        <v>3066.5661072909315</v>
      </c>
      <c r="AY8" s="30">
        <f t="shared" si="178"/>
        <v>3076.7879943152348</v>
      </c>
      <c r="AZ8" s="30">
        <f t="shared" si="178"/>
        <v>3087.0439542962849</v>
      </c>
      <c r="BA8" s="30">
        <f t="shared" si="178"/>
        <v>3097.3341008106063</v>
      </c>
      <c r="BB8" s="30">
        <f t="shared" si="178"/>
        <v>3107.6585478133084</v>
      </c>
      <c r="BC8" s="30">
        <f t="shared" si="178"/>
        <v>3118.017409639353</v>
      </c>
      <c r="BD8" s="30">
        <f t="shared" si="178"/>
        <v>3128.410801004818</v>
      </c>
      <c r="BE8" s="30">
        <f t="shared" si="178"/>
        <v>3138.8388370081675</v>
      </c>
      <c r="BF8" s="30">
        <f t="shared" si="178"/>
        <v>3149.3016331315284</v>
      </c>
      <c r="BG8" s="30">
        <f t="shared" si="178"/>
        <v>3159.799305241967</v>
      </c>
      <c r="BH8" s="30">
        <f t="shared" si="178"/>
        <v>3170.3319695927735</v>
      </c>
      <c r="BI8" s="30">
        <f t="shared" si="178"/>
        <v>3180.8997428247494</v>
      </c>
      <c r="BJ8" s="30">
        <f t="shared" si="178"/>
        <v>3191.5027419674989</v>
      </c>
      <c r="BK8" s="30">
        <f t="shared" si="178"/>
        <v>3202.1410844407237</v>
      </c>
      <c r="BL8" s="30">
        <f t="shared" si="178"/>
        <v>3212.8148880555268</v>
      </c>
      <c r="BM8" s="30">
        <f t="shared" si="178"/>
        <v>3223.5242710157122</v>
      </c>
      <c r="BN8" s="30">
        <f t="shared" si="178"/>
        <v>3234.2693519190984</v>
      </c>
      <c r="BO8" s="30">
        <f t="shared" si="178"/>
        <v>3245.0502497588295</v>
      </c>
      <c r="BP8" s="30">
        <f t="shared" si="178"/>
        <v>3255.867083924692</v>
      </c>
      <c r="BQ8" s="30">
        <f t="shared" si="178"/>
        <v>3266.7199742044413</v>
      </c>
      <c r="BR8" s="30">
        <f t="shared" ref="BR8:BY8" si="179">BR7*VAT</f>
        <v>3277.6090407851225</v>
      </c>
      <c r="BS8" s="30">
        <f t="shared" si="179"/>
        <v>3288.5344042544066</v>
      </c>
      <c r="BT8" s="30">
        <f t="shared" si="179"/>
        <v>3299.4961856019218</v>
      </c>
      <c r="BU8" s="30">
        <f t="shared" si="179"/>
        <v>3310.4945062205948</v>
      </c>
      <c r="BV8" s="30">
        <f t="shared" si="179"/>
        <v>3321.5294879079975</v>
      </c>
      <c r="BW8" s="30">
        <f t="shared" si="179"/>
        <v>3332.6012528676906</v>
      </c>
      <c r="BX8" s="30">
        <f t="shared" si="179"/>
        <v>3343.7099237105826</v>
      </c>
      <c r="BY8" s="30">
        <f t="shared" si="179"/>
        <v>3354.8556234562852</v>
      </c>
      <c r="BZ8" s="30">
        <f t="shared" ref="BZ8:DI8" si="180">BZ7*VAT</f>
        <v>3366.038475534473</v>
      </c>
      <c r="CA8" s="30">
        <f t="shared" si="180"/>
        <v>3377.2586037862548</v>
      </c>
      <c r="CB8" s="30">
        <f t="shared" si="180"/>
        <v>3388.5161324655428</v>
      </c>
      <c r="CC8" s="30">
        <f t="shared" si="180"/>
        <v>3399.811186240428</v>
      </c>
      <c r="CD8" s="30">
        <f t="shared" si="180"/>
        <v>3411.1438901945639</v>
      </c>
      <c r="CE8" s="30">
        <f t="shared" si="180"/>
        <v>3422.514369828546</v>
      </c>
      <c r="CF8" s="30">
        <f t="shared" si="180"/>
        <v>3433.9227510613077</v>
      </c>
      <c r="CG8" s="30">
        <f t="shared" si="180"/>
        <v>3445.369160231513</v>
      </c>
      <c r="CH8" s="30">
        <f t="shared" si="180"/>
        <v>3456.8537240989508</v>
      </c>
      <c r="CI8" s="30">
        <f t="shared" si="180"/>
        <v>3468.3765698459474</v>
      </c>
      <c r="CJ8" s="30">
        <f t="shared" si="180"/>
        <v>3479.9378250787677</v>
      </c>
      <c r="CK8" s="30">
        <f t="shared" si="180"/>
        <v>3491.5376178290303</v>
      </c>
      <c r="CL8" s="30">
        <f t="shared" si="180"/>
        <v>3503.1760765551271</v>
      </c>
      <c r="CM8" s="30">
        <f t="shared" si="180"/>
        <v>3514.8533301436446</v>
      </c>
      <c r="CN8" s="30">
        <f t="shared" si="180"/>
        <v>3526.56950791079</v>
      </c>
      <c r="CO8" s="30">
        <f t="shared" si="180"/>
        <v>3538.3247396038264</v>
      </c>
      <c r="CP8" s="30">
        <f t="shared" si="180"/>
        <v>3550.1191554025063</v>
      </c>
      <c r="CQ8" s="30">
        <f t="shared" si="180"/>
        <v>3561.9528859205152</v>
      </c>
      <c r="CR8" s="30">
        <f t="shared" si="180"/>
        <v>3573.826062206917</v>
      </c>
      <c r="CS8" s="30">
        <f t="shared" si="180"/>
        <v>3585.7388157476071</v>
      </c>
      <c r="CT8" s="30">
        <f t="shared" si="180"/>
        <v>3597.6912784667657</v>
      </c>
      <c r="CU8" s="30">
        <f t="shared" si="180"/>
        <v>3609.6835827283221</v>
      </c>
      <c r="CV8" s="30">
        <f t="shared" si="180"/>
        <v>3621.7158613374168</v>
      </c>
      <c r="CW8" s="30">
        <f t="shared" si="180"/>
        <v>3633.7882475418755</v>
      </c>
      <c r="CX8" s="30">
        <f t="shared" si="180"/>
        <v>3645.900875033682</v>
      </c>
      <c r="CY8" s="30">
        <f t="shared" si="180"/>
        <v>3658.0538779504614</v>
      </c>
      <c r="CZ8" s="30">
        <f t="shared" si="180"/>
        <v>3670.247390876963</v>
      </c>
      <c r="DA8" s="30">
        <f t="shared" si="180"/>
        <v>3682.4815488465533</v>
      </c>
      <c r="DB8" s="30">
        <f t="shared" si="180"/>
        <v>3694.7564873427082</v>
      </c>
      <c r="DC8" s="30">
        <f t="shared" si="180"/>
        <v>3707.0723423005179</v>
      </c>
      <c r="DD8" s="30">
        <f t="shared" si="180"/>
        <v>3719.4292501081868</v>
      </c>
      <c r="DE8" s="30">
        <f t="shared" si="180"/>
        <v>3731.8273476085474</v>
      </c>
      <c r="DF8" s="30">
        <f t="shared" si="180"/>
        <v>3744.2667721005764</v>
      </c>
      <c r="DG8" s="30">
        <f t="shared" si="180"/>
        <v>3756.7476613409121</v>
      </c>
      <c r="DH8" s="30">
        <f t="shared" si="180"/>
        <v>3769.2701535453816</v>
      </c>
      <c r="DI8" s="30">
        <f t="shared" si="180"/>
        <v>3781.8343873905333</v>
      </c>
    </row>
    <row r="9" spans="2:129" s="28" customFormat="1" hidden="1" outlineLevel="1" x14ac:dyDescent="0.3">
      <c r="B9" s="36" t="s">
        <v>134</v>
      </c>
      <c r="C9" s="29"/>
      <c r="D9" s="40"/>
      <c r="E9" s="40">
        <f t="shared" ref="E9:AJ9" si="181">IF(OR(E3&lt;Start,E3&gt;=Finish),0,IF(E3=Start,1,D9*(1+InflationRate/12)))</f>
        <v>0</v>
      </c>
      <c r="F9" s="40">
        <f t="shared" si="181"/>
        <v>1</v>
      </c>
      <c r="G9" s="40">
        <f t="shared" si="181"/>
        <v>1.0033333333333334</v>
      </c>
      <c r="H9" s="40">
        <f t="shared" si="181"/>
        <v>1.006677777777778</v>
      </c>
      <c r="I9" s="40">
        <f t="shared" si="181"/>
        <v>1.0100333703703708</v>
      </c>
      <c r="J9" s="40">
        <f t="shared" si="181"/>
        <v>1.0134001482716055</v>
      </c>
      <c r="K9" s="40">
        <f t="shared" si="181"/>
        <v>1.0167781487658443</v>
      </c>
      <c r="L9" s="40">
        <f t="shared" si="181"/>
        <v>1.0201674092617306</v>
      </c>
      <c r="M9" s="40">
        <f t="shared" si="181"/>
        <v>1.023567967292603</v>
      </c>
      <c r="N9" s="40">
        <f t="shared" si="181"/>
        <v>1.0269798605169118</v>
      </c>
      <c r="O9" s="40">
        <f t="shared" si="181"/>
        <v>1.0304031267186349</v>
      </c>
      <c r="P9" s="40">
        <f t="shared" si="181"/>
        <v>1.033837803807697</v>
      </c>
      <c r="Q9" s="40">
        <f t="shared" si="181"/>
        <v>1.0372839298203893</v>
      </c>
      <c r="R9" s="40">
        <f t="shared" si="181"/>
        <v>1.0407415429197906</v>
      </c>
      <c r="S9" s="40">
        <f t="shared" si="181"/>
        <v>1.04421068139619</v>
      </c>
      <c r="T9" s="40">
        <f t="shared" si="181"/>
        <v>1.0476913836675108</v>
      </c>
      <c r="U9" s="40">
        <f t="shared" si="181"/>
        <v>1.0511836882797359</v>
      </c>
      <c r="V9" s="40">
        <f t="shared" si="181"/>
        <v>1.054687633907335</v>
      </c>
      <c r="W9" s="40">
        <f t="shared" si="181"/>
        <v>1.058203259353693</v>
      </c>
      <c r="X9" s="40">
        <f t="shared" si="181"/>
        <v>1.0617306035515386</v>
      </c>
      <c r="Y9" s="40">
        <f t="shared" si="181"/>
        <v>1.0652697055633771</v>
      </c>
      <c r="Z9" s="40">
        <f t="shared" si="181"/>
        <v>1.0688206045819217</v>
      </c>
      <c r="AA9" s="40">
        <f t="shared" si="181"/>
        <v>1.0723833399305283</v>
      </c>
      <c r="AB9" s="40">
        <f t="shared" si="181"/>
        <v>1.0759579510636301</v>
      </c>
      <c r="AC9" s="40">
        <f t="shared" si="181"/>
        <v>1.0795444775671756</v>
      </c>
      <c r="AD9" s="40">
        <f t="shared" si="181"/>
        <v>1.0831429591590662</v>
      </c>
      <c r="AE9" s="40">
        <f t="shared" si="181"/>
        <v>1.0867534356895965</v>
      </c>
      <c r="AF9" s="40">
        <f t="shared" si="181"/>
        <v>1.0903759471418952</v>
      </c>
      <c r="AG9" s="40">
        <f t="shared" si="181"/>
        <v>1.0940105336323682</v>
      </c>
      <c r="AH9" s="40">
        <f t="shared" si="181"/>
        <v>1.0976572354111429</v>
      </c>
      <c r="AI9" s="40">
        <f t="shared" si="181"/>
        <v>1.1013160928625134</v>
      </c>
      <c r="AJ9" s="40">
        <f t="shared" si="181"/>
        <v>1.1049871465053887</v>
      </c>
      <c r="AK9" s="40">
        <f t="shared" ref="AK9:BP9" si="182">IF(OR(AK3&lt;Start,AK3&gt;=Finish),0,IF(AK3=Start,1,AJ9*(1+InflationRate/12)))</f>
        <v>1.1086704369937401</v>
      </c>
      <c r="AL9" s="40">
        <f t="shared" si="182"/>
        <v>1.1123660051170527</v>
      </c>
      <c r="AM9" s="40">
        <f t="shared" si="182"/>
        <v>1.1160738918007764</v>
      </c>
      <c r="AN9" s="40">
        <f t="shared" si="182"/>
        <v>1.1197941381067791</v>
      </c>
      <c r="AO9" s="40">
        <f t="shared" si="182"/>
        <v>1.1235267852338018</v>
      </c>
      <c r="AP9" s="40">
        <f t="shared" si="182"/>
        <v>1.1272718745179144</v>
      </c>
      <c r="AQ9" s="40">
        <f t="shared" si="182"/>
        <v>1.1310294474329743</v>
      </c>
      <c r="AR9" s="40">
        <f t="shared" si="182"/>
        <v>1.1347995455910842</v>
      </c>
      <c r="AS9" s="40">
        <f t="shared" si="182"/>
        <v>1.1385822107430545</v>
      </c>
      <c r="AT9" s="40">
        <f t="shared" si="182"/>
        <v>1.1423774847788648</v>
      </c>
      <c r="AU9" s="40">
        <f t="shared" si="182"/>
        <v>1.1461854097281279</v>
      </c>
      <c r="AV9" s="40">
        <f t="shared" si="182"/>
        <v>1.150006027760555</v>
      </c>
      <c r="AW9" s="40">
        <f t="shared" si="182"/>
        <v>1.1538393811864236</v>
      </c>
      <c r="AX9" s="40">
        <f t="shared" si="182"/>
        <v>1.1576855124570451</v>
      </c>
      <c r="AY9" s="40">
        <f t="shared" si="182"/>
        <v>1.1615444641652353</v>
      </c>
      <c r="AZ9" s="40">
        <f t="shared" si="182"/>
        <v>1.165416279045786</v>
      </c>
      <c r="BA9" s="40">
        <f t="shared" si="182"/>
        <v>1.1693009999759387</v>
      </c>
      <c r="BB9" s="40">
        <f t="shared" si="182"/>
        <v>1.1731986699758585</v>
      </c>
      <c r="BC9" s="40">
        <f t="shared" si="182"/>
        <v>1.1771093322091115</v>
      </c>
      <c r="BD9" s="40">
        <f t="shared" si="182"/>
        <v>1.181033029983142</v>
      </c>
      <c r="BE9" s="40">
        <f t="shared" si="182"/>
        <v>1.1849698067497525</v>
      </c>
      <c r="BF9" s="40">
        <f t="shared" si="182"/>
        <v>1.1889197061055852</v>
      </c>
      <c r="BG9" s="40">
        <f t="shared" si="182"/>
        <v>1.1928827717926038</v>
      </c>
      <c r="BH9" s="40">
        <f t="shared" si="182"/>
        <v>1.1968590476985792</v>
      </c>
      <c r="BI9" s="40">
        <f t="shared" si="182"/>
        <v>1.2008485778575746</v>
      </c>
      <c r="BJ9" s="40">
        <f t="shared" si="182"/>
        <v>1.2048514064504332</v>
      </c>
      <c r="BK9" s="40">
        <f t="shared" si="182"/>
        <v>1.208867577805268</v>
      </c>
      <c r="BL9" s="40">
        <f t="shared" si="182"/>
        <v>1.2128971363979524</v>
      </c>
      <c r="BM9" s="40">
        <f t="shared" si="182"/>
        <v>1.2169401268526123</v>
      </c>
      <c r="BN9" s="40">
        <f t="shared" si="182"/>
        <v>1.2209965939421212</v>
      </c>
      <c r="BO9" s="40">
        <f t="shared" si="182"/>
        <v>1.2250665825885951</v>
      </c>
      <c r="BP9" s="40">
        <f t="shared" si="182"/>
        <v>1.2291501378638905</v>
      </c>
      <c r="BQ9" s="40">
        <f t="shared" ref="BQ9:BY9" si="183">IF(OR(BQ3&lt;Start,BQ3&gt;=Finish),0,IF(BQ3=Start,1,BP9*(1+InflationRate/12)))</f>
        <v>1.2332473049901036</v>
      </c>
      <c r="BR9" s="40">
        <f t="shared" si="183"/>
        <v>1.2373581293400706</v>
      </c>
      <c r="BS9" s="40">
        <f t="shared" si="183"/>
        <v>1.2414826564378709</v>
      </c>
      <c r="BT9" s="40">
        <f t="shared" si="183"/>
        <v>1.2456209319593305</v>
      </c>
      <c r="BU9" s="40">
        <f t="shared" si="183"/>
        <v>1.2497730017325284</v>
      </c>
      <c r="BV9" s="40">
        <f t="shared" si="183"/>
        <v>1.2539389117383035</v>
      </c>
      <c r="BW9" s="40">
        <f t="shared" si="183"/>
        <v>1.2581187081107645</v>
      </c>
      <c r="BX9" s="40">
        <f t="shared" si="183"/>
        <v>1.2623124371378005</v>
      </c>
      <c r="BY9" s="40">
        <f t="shared" si="183"/>
        <v>1.2665201452615933</v>
      </c>
      <c r="BZ9" s="40">
        <f t="shared" ref="BZ9:DI9" si="184">IF(OR(BZ3&lt;Start,BZ3&gt;=Finish),0,IF(BZ3=Start,1,BY9*(1+InflationRate/12)))</f>
        <v>1.2707418790791321</v>
      </c>
      <c r="CA9" s="40">
        <f t="shared" si="184"/>
        <v>1.2749776853427293</v>
      </c>
      <c r="CB9" s="40">
        <f t="shared" si="184"/>
        <v>1.2792276109605385</v>
      </c>
      <c r="CC9" s="40">
        <f t="shared" si="184"/>
        <v>1.2834917029970738</v>
      </c>
      <c r="CD9" s="40">
        <f t="shared" si="184"/>
        <v>1.2877700086737309</v>
      </c>
      <c r="CE9" s="40">
        <f t="shared" si="184"/>
        <v>1.29206257536931</v>
      </c>
      <c r="CF9" s="40">
        <f t="shared" si="184"/>
        <v>1.2963694506205412</v>
      </c>
      <c r="CG9" s="40">
        <f t="shared" si="184"/>
        <v>1.3006906821226099</v>
      </c>
      <c r="CH9" s="40">
        <f t="shared" si="184"/>
        <v>1.3050263177296852</v>
      </c>
      <c r="CI9" s="40">
        <f t="shared" si="184"/>
        <v>1.3093764054554509</v>
      </c>
      <c r="CJ9" s="40">
        <f t="shared" si="184"/>
        <v>1.3137409934736357</v>
      </c>
      <c r="CK9" s="40">
        <f t="shared" si="184"/>
        <v>1.3181201301185479</v>
      </c>
      <c r="CL9" s="40">
        <f t="shared" si="184"/>
        <v>1.3225138638856098</v>
      </c>
      <c r="CM9" s="40">
        <f t="shared" si="184"/>
        <v>1.3269222434318952</v>
      </c>
      <c r="CN9" s="40">
        <f t="shared" si="184"/>
        <v>1.3313453175766683</v>
      </c>
      <c r="CO9" s="40">
        <f t="shared" si="184"/>
        <v>1.3357831353019241</v>
      </c>
      <c r="CP9" s="40">
        <f t="shared" si="184"/>
        <v>1.3402357457529306</v>
      </c>
      <c r="CQ9" s="40">
        <f t="shared" si="184"/>
        <v>1.3447031982387738</v>
      </c>
      <c r="CR9" s="40">
        <f t="shared" si="184"/>
        <v>1.3491855422329031</v>
      </c>
      <c r="CS9" s="40">
        <f t="shared" si="184"/>
        <v>1.3536828273736796</v>
      </c>
      <c r="CT9" s="40">
        <f t="shared" si="184"/>
        <v>1.3581951034649253</v>
      </c>
      <c r="CU9" s="40">
        <f t="shared" si="184"/>
        <v>1.3627224204764752</v>
      </c>
      <c r="CV9" s="40">
        <f t="shared" si="184"/>
        <v>1.3672648285447302</v>
      </c>
      <c r="CW9" s="40">
        <f t="shared" si="184"/>
        <v>1.3718223779732128</v>
      </c>
      <c r="CX9" s="40">
        <f t="shared" si="184"/>
        <v>1.3763951192331236</v>
      </c>
      <c r="CY9" s="40">
        <f t="shared" si="184"/>
        <v>1.3809831029639008</v>
      </c>
      <c r="CZ9" s="40">
        <f t="shared" si="184"/>
        <v>1.3855863799737806</v>
      </c>
      <c r="DA9" s="40">
        <f t="shared" si="184"/>
        <v>1.3902050012403599</v>
      </c>
      <c r="DB9" s="40">
        <f t="shared" si="184"/>
        <v>1.3948390179111612</v>
      </c>
      <c r="DC9" s="40">
        <f t="shared" si="184"/>
        <v>1.3994884813041986</v>
      </c>
      <c r="DD9" s="40">
        <f t="shared" si="184"/>
        <v>1.404153442908546</v>
      </c>
      <c r="DE9" s="40">
        <f t="shared" si="184"/>
        <v>1.408833954384908</v>
      </c>
      <c r="DF9" s="40">
        <f t="shared" si="184"/>
        <v>1.413530067566191</v>
      </c>
      <c r="DG9" s="40">
        <f t="shared" si="184"/>
        <v>1.4182418344580785</v>
      </c>
      <c r="DH9" s="40">
        <f t="shared" si="184"/>
        <v>1.4229693072396055</v>
      </c>
      <c r="DI9" s="40">
        <f t="shared" si="184"/>
        <v>1.4277125382637377</v>
      </c>
    </row>
    <row r="10" spans="2:129" x14ac:dyDescent="0.3">
      <c r="B10" s="22" t="s">
        <v>166</v>
      </c>
      <c r="C10" s="23"/>
      <c r="D10" s="24">
        <f t="shared" ref="D10:D27" si="185">SUM(F10:BY10)</f>
        <v>353232.014001809</v>
      </c>
      <c r="E10" s="24"/>
      <c r="F10" s="24">
        <f>SUM(F11:F26)</f>
        <v>4358.1166666666668</v>
      </c>
      <c r="G10" s="24">
        <f t="shared" ref="G10:BA10" si="186">SUM(G11:G26)</f>
        <v>4372.643722222223</v>
      </c>
      <c r="H10" s="24">
        <f t="shared" si="186"/>
        <v>7378.3655070962968</v>
      </c>
      <c r="I10" s="24">
        <f t="shared" si="186"/>
        <v>4401.8432653006194</v>
      </c>
      <c r="J10" s="24">
        <f t="shared" si="186"/>
        <v>4416.5160761849565</v>
      </c>
      <c r="K10" s="24">
        <f t="shared" si="186"/>
        <v>7422.3841022389051</v>
      </c>
      <c r="L10" s="24">
        <f t="shared" si="186"/>
        <v>4446.0085890937016</v>
      </c>
      <c r="M10" s="24">
        <f t="shared" si="186"/>
        <v>4460.8286177240161</v>
      </c>
      <c r="N10" s="24">
        <f t="shared" si="186"/>
        <v>7466.8443522497619</v>
      </c>
      <c r="O10" s="24">
        <f t="shared" si="186"/>
        <v>4490.6170399379289</v>
      </c>
      <c r="P10" s="24">
        <f t="shared" si="186"/>
        <v>4505.5857634043878</v>
      </c>
      <c r="Q10" s="24">
        <f t="shared" si="186"/>
        <v>7511.7506884157347</v>
      </c>
      <c r="R10" s="24">
        <f t="shared" si="186"/>
        <v>3441.6455539738367</v>
      </c>
      <c r="S10" s="24">
        <f t="shared" si="186"/>
        <v>3453.1177058204166</v>
      </c>
      <c r="T10" s="24">
        <f t="shared" si="186"/>
        <v>6455.7744039731515</v>
      </c>
      <c r="U10" s="24">
        <f t="shared" si="186"/>
        <v>3476.1768585003961</v>
      </c>
      <c r="V10" s="24">
        <f t="shared" si="186"/>
        <v>3487.7641146953988</v>
      </c>
      <c r="W10" s="24">
        <f t="shared" si="186"/>
        <v>6490.5363008777158</v>
      </c>
      <c r="X10" s="24">
        <f t="shared" si="186"/>
        <v>3511.0546283946419</v>
      </c>
      <c r="Y10" s="24">
        <f t="shared" si="186"/>
        <v>3522.7581438226243</v>
      </c>
      <c r="Z10" s="24">
        <f t="shared" si="186"/>
        <v>6525.6469767686995</v>
      </c>
      <c r="AA10" s="24">
        <f t="shared" si="186"/>
        <v>3546.2823398719288</v>
      </c>
      <c r="AB10" s="24">
        <f t="shared" si="186"/>
        <v>3558.1032810048364</v>
      </c>
      <c r="AC10" s="24">
        <f t="shared" si="186"/>
        <v>6561.1099310748523</v>
      </c>
      <c r="AD10" s="24">
        <f t="shared" si="186"/>
        <v>3581.8635040257686</v>
      </c>
      <c r="AE10" s="24">
        <f t="shared" si="186"/>
        <v>3593.8030490391884</v>
      </c>
      <c r="AF10" s="24">
        <f t="shared" si="186"/>
        <v>6596.9286983359852</v>
      </c>
      <c r="AG10" s="24">
        <f t="shared" si="186"/>
        <v>3617.8016671777723</v>
      </c>
      <c r="AH10" s="24">
        <f t="shared" si="186"/>
        <v>3629.8610060683659</v>
      </c>
      <c r="AI10" s="24">
        <f t="shared" si="186"/>
        <v>6633.1068485552605</v>
      </c>
      <c r="AJ10" s="24">
        <f t="shared" si="186"/>
        <v>3654.100411231112</v>
      </c>
      <c r="AK10" s="24">
        <f t="shared" si="186"/>
        <v>3666.2807459352157</v>
      </c>
      <c r="AL10" s="24">
        <f t="shared" si="186"/>
        <v>6669.6479875550003</v>
      </c>
      <c r="AM10" s="24">
        <f t="shared" si="186"/>
        <v>3690.7633540275169</v>
      </c>
      <c r="AN10" s="24">
        <f t="shared" si="186"/>
        <v>3703.0658985409418</v>
      </c>
      <c r="AO10" s="24">
        <f t="shared" si="186"/>
        <v>6706.5557573360793</v>
      </c>
      <c r="AP10" s="24">
        <f t="shared" si="186"/>
        <v>3727.7941497078664</v>
      </c>
      <c r="AQ10" s="24">
        <f t="shared" si="186"/>
        <v>3740.2201302068925</v>
      </c>
      <c r="AR10" s="24">
        <f t="shared" si="186"/>
        <v>6743.8338364409155</v>
      </c>
      <c r="AS10" s="24">
        <f t="shared" si="186"/>
        <v>3765.1964890763861</v>
      </c>
      <c r="AT10" s="24">
        <f t="shared" si="186"/>
        <v>3777.7471440399736</v>
      </c>
      <c r="AU10" s="24">
        <f t="shared" si="186"/>
        <v>6781.4859403201062</v>
      </c>
      <c r="AV10" s="24">
        <f t="shared" si="186"/>
        <v>3802.9740999685096</v>
      </c>
      <c r="AW10" s="24">
        <f t="shared" si="186"/>
        <v>3815.650680301736</v>
      </c>
      <c r="AX10" s="24">
        <f t="shared" si="186"/>
        <v>6819.5158217027447</v>
      </c>
      <c r="AY10" s="24">
        <f t="shared" si="186"/>
        <v>3841.1307476224192</v>
      </c>
      <c r="AZ10" s="24">
        <f t="shared" si="186"/>
        <v>3853.9345167811612</v>
      </c>
      <c r="BA10" s="24">
        <f t="shared" si="186"/>
        <v>6857.9272709704319</v>
      </c>
      <c r="BB10" s="24">
        <f t="shared" ref="BB10" si="187">SUM(BB11:BB26)</f>
        <v>3879.6702350543333</v>
      </c>
      <c r="BC10" s="24">
        <f t="shared" ref="BC10" si="188">SUM(BC11:BC26)</f>
        <v>3892.6024691711814</v>
      </c>
      <c r="BD10" s="24">
        <f t="shared" ref="BD10" si="189">SUM(BD11:BD26)</f>
        <v>6896.7241165350842</v>
      </c>
      <c r="BE10" s="24">
        <f t="shared" ref="BE10" si="190">SUM(BE11:BE26)</f>
        <v>3918.5964034375365</v>
      </c>
      <c r="BF10" s="24">
        <f t="shared" ref="BF10" si="191">SUM(BF11:BF26)</f>
        <v>3931.6583914489943</v>
      </c>
      <c r="BG10" s="24">
        <f t="shared" ref="BG10" si="192">SUM(BG11:BG26)</f>
        <v>6935.9102252204902</v>
      </c>
      <c r="BH10" s="24">
        <f t="shared" ref="BH10" si="193">SUM(BH11:BH26)</f>
        <v>3957.9131324852265</v>
      </c>
      <c r="BI10" s="24">
        <f t="shared" ref="BI10" si="194">SUM(BI11:BI26)</f>
        <v>3971.106176260178</v>
      </c>
      <c r="BJ10" s="24">
        <f t="shared" ref="BJ10" si="195">SUM(BJ11:BJ26)</f>
        <v>6975.4895026477107</v>
      </c>
      <c r="BK10" s="24">
        <f t="shared" ref="BK10" si="196">SUM(BK11:BK26)</f>
        <v>3997.6243408372034</v>
      </c>
      <c r="BL10" s="24">
        <f t="shared" ref="BL10" si="197">SUM(BL11:BL26)</f>
        <v>4010.9497553066626</v>
      </c>
      <c r="BM10" s="24">
        <f t="shared" ref="BM10" si="198">SUM(BM11:BM26)</f>
        <v>7015.4658936243513</v>
      </c>
      <c r="BN10" s="24">
        <f t="shared" ref="BN10" si="199">SUM(BN11:BN26)</f>
        <v>4037.7339864504329</v>
      </c>
      <c r="BO10" s="24">
        <f t="shared" ref="BO10" si="200">SUM(BO11:BO26)</f>
        <v>4051.1930997386016</v>
      </c>
      <c r="BP10" s="24">
        <f t="shared" ref="BP10" si="201">SUM(BP11:BP26)</f>
        <v>7055.8433825377324</v>
      </c>
      <c r="BQ10" s="24">
        <f t="shared" ref="BQ10" si="202">SUM(BQ11:BQ26)</f>
        <v>4078.2460669935235</v>
      </c>
      <c r="BR10" s="24">
        <f t="shared" ref="BR10" si="203">SUM(BR11:BR26)</f>
        <v>4091.8402205501684</v>
      </c>
      <c r="BS10" s="24">
        <f t="shared" ref="BS10" si="204">SUM(BS11:BS26)</f>
        <v>7096.6259937520044</v>
      </c>
      <c r="BT10" s="24">
        <f t="shared" ref="BT10" si="205">SUM(BT11:BT26)</f>
        <v>4119.1646202451757</v>
      </c>
      <c r="BU10" s="24">
        <f t="shared" ref="BU10" si="206">SUM(BU11:BU26)</f>
        <v>4132.8951689793275</v>
      </c>
      <c r="BV10" s="24">
        <f t="shared" ref="BV10" si="207">SUM(BV11:BV26)</f>
        <v>7137.8177920092585</v>
      </c>
      <c r="BW10" s="24">
        <f t="shared" ref="BW10" si="208">SUM(BW11:BW26)</f>
        <v>4160.4937244966231</v>
      </c>
      <c r="BX10" s="24">
        <f t="shared" ref="BX10" si="209">SUM(BX11:BX26)</f>
        <v>4174.3620369116134</v>
      </c>
      <c r="BY10" s="24">
        <f t="shared" ref="BY10:DI10" si="210">SUM(BY11:BY26)</f>
        <v>7179.4228828346504</v>
      </c>
      <c r="BZ10" s="24">
        <f t="shared" si="210"/>
        <v>4202.2374989580985</v>
      </c>
      <c r="CA10" s="24">
        <f t="shared" si="210"/>
        <v>4216.2449572879605</v>
      </c>
      <c r="CB10" s="24">
        <f t="shared" si="210"/>
        <v>7221.4454129455871</v>
      </c>
      <c r="CC10" s="24">
        <f t="shared" si="210"/>
        <v>4244.4001041694064</v>
      </c>
      <c r="CD10" s="24">
        <f t="shared" si="210"/>
        <v>4258.548104516638</v>
      </c>
      <c r="CE10" s="24">
        <f t="shared" si="210"/>
        <v>7263.8895706650273</v>
      </c>
      <c r="CF10" s="24">
        <f t="shared" si="210"/>
        <v>4286.9857424145785</v>
      </c>
      <c r="CG10" s="24">
        <f t="shared" si="210"/>
        <v>4301.2756948892948</v>
      </c>
      <c r="CH10" s="24">
        <f t="shared" si="210"/>
        <v>7306.7595863389251</v>
      </c>
      <c r="CI10" s="24">
        <f t="shared" si="210"/>
        <v>4329.998658140722</v>
      </c>
      <c r="CJ10" s="24">
        <f t="shared" si="210"/>
        <v>4344.4319870011896</v>
      </c>
      <c r="CK10" s="24">
        <f t="shared" si="210"/>
        <v>7350.0597327578616</v>
      </c>
      <c r="CL10" s="24">
        <f t="shared" si="210"/>
        <v>4373.4431383810543</v>
      </c>
      <c r="CM10" s="24">
        <f t="shared" si="210"/>
        <v>4388.0212821756577</v>
      </c>
      <c r="CN10" s="24">
        <f t="shared" si="210"/>
        <v>7393.7943255829105</v>
      </c>
      <c r="CO10" s="24">
        <f t="shared" si="210"/>
        <v>4417.3235131821875</v>
      </c>
      <c r="CP10" s="24">
        <f t="shared" si="210"/>
        <v>4432.0479248927941</v>
      </c>
      <c r="CQ10" s="24">
        <f t="shared" si="210"/>
        <v>7437.9677237757724</v>
      </c>
      <c r="CR10" s="24">
        <f t="shared" si="210"/>
        <v>4461.6441560356925</v>
      </c>
      <c r="CS10" s="24">
        <f t="shared" si="210"/>
        <v>4476.5163032224773</v>
      </c>
      <c r="CT10" s="24">
        <f t="shared" si="210"/>
        <v>7482.584330033219</v>
      </c>
      <c r="CU10" s="24">
        <f t="shared" si="210"/>
        <v>4506.4094843139974</v>
      </c>
      <c r="CV10" s="24">
        <f t="shared" si="210"/>
        <v>4521.430849261711</v>
      </c>
      <c r="CW10" s="24">
        <f t="shared" si="210"/>
        <v>7527.6485912259177</v>
      </c>
      <c r="CX10" s="24">
        <f t="shared" si="210"/>
        <v>4551.6239597106714</v>
      </c>
      <c r="CY10" s="24">
        <f t="shared" si="210"/>
        <v>4566.7960395763748</v>
      </c>
      <c r="CZ10" s="24">
        <f t="shared" si="210"/>
        <v>7573.1649988416275</v>
      </c>
      <c r="DA10" s="24">
        <f t="shared" si="210"/>
        <v>4597.2920886851016</v>
      </c>
      <c r="DB10" s="24">
        <f t="shared" si="210"/>
        <v>4612.616395647382</v>
      </c>
      <c r="DC10" s="24">
        <f t="shared" si="210"/>
        <v>7619.138089432874</v>
      </c>
      <c r="DD10" s="24">
        <f t="shared" si="210"/>
        <v>4643.4184229116536</v>
      </c>
      <c r="DE10" s="24">
        <f t="shared" si="210"/>
        <v>4658.8964843213598</v>
      </c>
      <c r="DF10" s="24">
        <f t="shared" si="210"/>
        <v>7665.5724450690968</v>
      </c>
      <c r="DG10" s="24">
        <f t="shared" si="210"/>
        <v>4690.0075597333271</v>
      </c>
      <c r="DH10" s="24">
        <f t="shared" si="210"/>
        <v>4705.6409182657726</v>
      </c>
      <c r="DI10" s="24">
        <f t="shared" si="210"/>
        <v>7712.4726937933256</v>
      </c>
    </row>
    <row r="11" spans="2:129" outlineLevel="1" x14ac:dyDescent="0.3">
      <c r="B11" s="6" t="s">
        <v>61</v>
      </c>
      <c r="C11" s="14" t="s">
        <v>48</v>
      </c>
      <c r="D11" s="27">
        <f t="shared" si="185"/>
        <v>133130.55049018341</v>
      </c>
      <c r="E11" s="27"/>
      <c r="F11" s="27">
        <f t="shared" ref="F11:AK11" si="211">IF(OR(F3&lt;Start,F3&gt;=Finish),0,ServiceCosts/12*MonthlyInflation)</f>
        <v>1639.0833333333333</v>
      </c>
      <c r="G11" s="27">
        <f t="shared" si="211"/>
        <v>1644.5469444444445</v>
      </c>
      <c r="H11" s="27">
        <f t="shared" si="211"/>
        <v>1650.0287675925929</v>
      </c>
      <c r="I11" s="27">
        <f t="shared" si="211"/>
        <v>1655.5288634845685</v>
      </c>
      <c r="J11" s="27">
        <f t="shared" si="211"/>
        <v>1661.0472930295173</v>
      </c>
      <c r="K11" s="27">
        <f t="shared" si="211"/>
        <v>1666.5841173396159</v>
      </c>
      <c r="L11" s="27">
        <f t="shared" si="211"/>
        <v>1672.1393977307482</v>
      </c>
      <c r="M11" s="27">
        <f t="shared" si="211"/>
        <v>1677.7131957231841</v>
      </c>
      <c r="N11" s="27">
        <f t="shared" si="211"/>
        <v>1683.3055730422614</v>
      </c>
      <c r="O11" s="27">
        <f t="shared" si="211"/>
        <v>1688.9165916190691</v>
      </c>
      <c r="P11" s="27">
        <f t="shared" si="211"/>
        <v>1694.5463135911325</v>
      </c>
      <c r="Q11" s="27">
        <f t="shared" si="211"/>
        <v>1700.1948013031031</v>
      </c>
      <c r="R11" s="27">
        <f t="shared" si="211"/>
        <v>1705.8621173074466</v>
      </c>
      <c r="S11" s="27">
        <f t="shared" si="211"/>
        <v>1711.5483243651383</v>
      </c>
      <c r="T11" s="27">
        <f t="shared" si="211"/>
        <v>1717.2534854463559</v>
      </c>
      <c r="U11" s="27">
        <f t="shared" si="211"/>
        <v>1722.977663731177</v>
      </c>
      <c r="V11" s="27">
        <f t="shared" si="211"/>
        <v>1728.7209226102809</v>
      </c>
      <c r="W11" s="27">
        <f t="shared" si="211"/>
        <v>1734.4833256856489</v>
      </c>
      <c r="X11" s="27">
        <f t="shared" si="211"/>
        <v>1740.2649367712677</v>
      </c>
      <c r="Y11" s="27">
        <f t="shared" si="211"/>
        <v>1746.0658198938386</v>
      </c>
      <c r="Z11" s="27">
        <f t="shared" si="211"/>
        <v>1751.8860392934848</v>
      </c>
      <c r="AA11" s="27">
        <f t="shared" si="211"/>
        <v>1757.7256594244632</v>
      </c>
      <c r="AB11" s="27">
        <f t="shared" si="211"/>
        <v>1763.5847449558783</v>
      </c>
      <c r="AC11" s="27">
        <f t="shared" si="211"/>
        <v>1769.4633607723981</v>
      </c>
      <c r="AD11" s="27">
        <f t="shared" si="211"/>
        <v>1775.3615719749728</v>
      </c>
      <c r="AE11" s="27">
        <f t="shared" si="211"/>
        <v>1781.2794438815561</v>
      </c>
      <c r="AF11" s="27">
        <f t="shared" si="211"/>
        <v>1787.217042027828</v>
      </c>
      <c r="AG11" s="27">
        <f t="shared" si="211"/>
        <v>1793.1744321679207</v>
      </c>
      <c r="AH11" s="27">
        <f t="shared" si="211"/>
        <v>1799.1516802751473</v>
      </c>
      <c r="AI11" s="27">
        <f t="shared" si="211"/>
        <v>1805.1488525427312</v>
      </c>
      <c r="AJ11" s="27">
        <f t="shared" si="211"/>
        <v>1811.1660153845407</v>
      </c>
      <c r="AK11" s="27">
        <f t="shared" si="211"/>
        <v>1817.2032354358228</v>
      </c>
      <c r="AL11" s="27">
        <f t="shared" ref="AL11:BQ11" si="212">IF(OR(AL3&lt;Start,AL3&gt;=Finish),0,ServiceCosts/12*MonthlyInflation)</f>
        <v>1823.2605795539425</v>
      </c>
      <c r="AM11" s="27">
        <f t="shared" si="212"/>
        <v>1829.3381148191224</v>
      </c>
      <c r="AN11" s="27">
        <f t="shared" si="212"/>
        <v>1835.4359085351864</v>
      </c>
      <c r="AO11" s="27">
        <f t="shared" si="212"/>
        <v>1841.5540282303039</v>
      </c>
      <c r="AP11" s="27">
        <f t="shared" si="212"/>
        <v>1847.6925416577383</v>
      </c>
      <c r="AQ11" s="27">
        <f t="shared" si="212"/>
        <v>1853.8515167965975</v>
      </c>
      <c r="AR11" s="27">
        <f t="shared" si="212"/>
        <v>1860.0310218525863</v>
      </c>
      <c r="AS11" s="27">
        <f t="shared" si="212"/>
        <v>1866.2311252587615</v>
      </c>
      <c r="AT11" s="27">
        <f t="shared" si="212"/>
        <v>1872.4518956762909</v>
      </c>
      <c r="AU11" s="27">
        <f t="shared" si="212"/>
        <v>1878.6934019952123</v>
      </c>
      <c r="AV11" s="27">
        <f t="shared" si="212"/>
        <v>1884.9557133351964</v>
      </c>
      <c r="AW11" s="27">
        <f t="shared" si="212"/>
        <v>1891.2388990463137</v>
      </c>
      <c r="AX11" s="27">
        <f t="shared" si="212"/>
        <v>1897.5430287098015</v>
      </c>
      <c r="AY11" s="27">
        <f t="shared" si="212"/>
        <v>1903.8681721388343</v>
      </c>
      <c r="AZ11" s="27">
        <f t="shared" si="212"/>
        <v>1910.214399379297</v>
      </c>
      <c r="BA11" s="27">
        <f t="shared" si="212"/>
        <v>1916.5817807105616</v>
      </c>
      <c r="BB11" s="27">
        <f t="shared" si="212"/>
        <v>1922.9703866462635</v>
      </c>
      <c r="BC11" s="27">
        <f t="shared" si="212"/>
        <v>1929.3802879350844</v>
      </c>
      <c r="BD11" s="27">
        <f t="shared" si="212"/>
        <v>1935.8115555615348</v>
      </c>
      <c r="BE11" s="27">
        <f t="shared" si="212"/>
        <v>1942.2642607467401</v>
      </c>
      <c r="BF11" s="27">
        <f t="shared" si="212"/>
        <v>1948.7384749492294</v>
      </c>
      <c r="BG11" s="27">
        <f t="shared" si="212"/>
        <v>1955.2342698657269</v>
      </c>
      <c r="BH11" s="27">
        <f t="shared" si="212"/>
        <v>1961.7517174319462</v>
      </c>
      <c r="BI11" s="27">
        <f t="shared" si="212"/>
        <v>1968.2908898233861</v>
      </c>
      <c r="BJ11" s="27">
        <f t="shared" si="212"/>
        <v>1974.8518594561308</v>
      </c>
      <c r="BK11" s="27">
        <f t="shared" si="212"/>
        <v>1981.4346989876512</v>
      </c>
      <c r="BL11" s="27">
        <f t="shared" si="212"/>
        <v>1988.0394813176104</v>
      </c>
      <c r="BM11" s="27">
        <f t="shared" si="212"/>
        <v>1994.6662795886691</v>
      </c>
      <c r="BN11" s="27">
        <f t="shared" si="212"/>
        <v>2001.3151671872984</v>
      </c>
      <c r="BO11" s="27">
        <f t="shared" si="212"/>
        <v>2007.9862177445898</v>
      </c>
      <c r="BP11" s="27">
        <f t="shared" si="212"/>
        <v>2014.6795051370718</v>
      </c>
      <c r="BQ11" s="27">
        <f t="shared" si="212"/>
        <v>2021.3951034875288</v>
      </c>
      <c r="BR11" s="27">
        <f t="shared" ref="BR11:BY11" si="213">IF(OR(BR3&lt;Start,BR3&gt;=Finish),0,ServiceCosts/12*MonthlyInflation)</f>
        <v>2028.1330871658206</v>
      </c>
      <c r="BS11" s="27">
        <f t="shared" si="213"/>
        <v>2034.8935307897068</v>
      </c>
      <c r="BT11" s="27">
        <f t="shared" si="213"/>
        <v>2041.6765092256726</v>
      </c>
      <c r="BU11" s="27">
        <f t="shared" si="213"/>
        <v>2048.4820975897583</v>
      </c>
      <c r="BV11" s="27">
        <f t="shared" si="213"/>
        <v>2055.3103712483908</v>
      </c>
      <c r="BW11" s="27">
        <f t="shared" si="213"/>
        <v>2062.161405819219</v>
      </c>
      <c r="BX11" s="27">
        <f t="shared" si="213"/>
        <v>2069.0352771719499</v>
      </c>
      <c r="BY11" s="27">
        <f t="shared" si="213"/>
        <v>2075.9320614291896</v>
      </c>
      <c r="BZ11" s="27">
        <f t="shared" ref="BZ11:DI11" si="214">IF(OR(BZ3&lt;Start,BZ3&gt;=Finish),0,ServiceCosts/12*MonthlyInflation)</f>
        <v>2082.8518349672872</v>
      </c>
      <c r="CA11" s="27">
        <f t="shared" si="214"/>
        <v>2089.7946744171786</v>
      </c>
      <c r="CB11" s="27">
        <f t="shared" si="214"/>
        <v>2096.7606566652357</v>
      </c>
      <c r="CC11" s="27">
        <f t="shared" si="214"/>
        <v>2103.7498588541202</v>
      </c>
      <c r="CD11" s="27">
        <f t="shared" si="214"/>
        <v>2110.7623583836344</v>
      </c>
      <c r="CE11" s="27">
        <f t="shared" si="214"/>
        <v>2117.7982329115798</v>
      </c>
      <c r="CF11" s="27">
        <f t="shared" si="214"/>
        <v>2124.8575603546187</v>
      </c>
      <c r="CG11" s="27">
        <f t="shared" si="214"/>
        <v>2131.9404188891344</v>
      </c>
      <c r="CH11" s="27">
        <f t="shared" si="214"/>
        <v>2139.0468869520982</v>
      </c>
      <c r="CI11" s="27">
        <f t="shared" si="214"/>
        <v>2146.1770432419385</v>
      </c>
      <c r="CJ11" s="27">
        <f t="shared" si="214"/>
        <v>2153.3309667194117</v>
      </c>
      <c r="CK11" s="27">
        <f t="shared" si="214"/>
        <v>2160.5087366084763</v>
      </c>
      <c r="CL11" s="27">
        <f t="shared" si="214"/>
        <v>2167.7104323971716</v>
      </c>
      <c r="CM11" s="27">
        <f t="shared" si="214"/>
        <v>2174.9361338384956</v>
      </c>
      <c r="CN11" s="27">
        <f t="shared" si="214"/>
        <v>2182.1859209512904</v>
      </c>
      <c r="CO11" s="27">
        <f t="shared" si="214"/>
        <v>2189.4598740211286</v>
      </c>
      <c r="CP11" s="27">
        <f t="shared" si="214"/>
        <v>2196.7580736011992</v>
      </c>
      <c r="CQ11" s="27">
        <f t="shared" si="214"/>
        <v>2204.0806005132035</v>
      </c>
      <c r="CR11" s="27">
        <f t="shared" si="214"/>
        <v>2211.4275358482473</v>
      </c>
      <c r="CS11" s="27">
        <f t="shared" si="214"/>
        <v>2218.798960967742</v>
      </c>
      <c r="CT11" s="27">
        <f t="shared" si="214"/>
        <v>2226.1949575043013</v>
      </c>
      <c r="CU11" s="27">
        <f t="shared" si="214"/>
        <v>2233.6156073626489</v>
      </c>
      <c r="CV11" s="27">
        <f t="shared" si="214"/>
        <v>2241.0609927205246</v>
      </c>
      <c r="CW11" s="27">
        <f t="shared" si="214"/>
        <v>2248.5311960295935</v>
      </c>
      <c r="CX11" s="27">
        <f t="shared" si="214"/>
        <v>2256.0263000163591</v>
      </c>
      <c r="CY11" s="27">
        <f t="shared" si="214"/>
        <v>2263.5463876830804</v>
      </c>
      <c r="CZ11" s="27">
        <f t="shared" si="214"/>
        <v>2271.0915423086908</v>
      </c>
      <c r="DA11" s="27">
        <f t="shared" si="214"/>
        <v>2278.66184744972</v>
      </c>
      <c r="DB11" s="27">
        <f t="shared" si="214"/>
        <v>2286.257386941219</v>
      </c>
      <c r="DC11" s="27">
        <f t="shared" si="214"/>
        <v>2293.8782448976899</v>
      </c>
      <c r="DD11" s="27">
        <f t="shared" si="214"/>
        <v>2301.524505714016</v>
      </c>
      <c r="DE11" s="27">
        <f t="shared" si="214"/>
        <v>2309.1962540663962</v>
      </c>
      <c r="DF11" s="27">
        <f t="shared" si="214"/>
        <v>2316.8935749132843</v>
      </c>
      <c r="DG11" s="27">
        <f t="shared" si="214"/>
        <v>2324.6165534963288</v>
      </c>
      <c r="DH11" s="27">
        <f t="shared" si="214"/>
        <v>2332.3652753413166</v>
      </c>
      <c r="DI11" s="27">
        <f t="shared" si="214"/>
        <v>2340.139826259121</v>
      </c>
    </row>
    <row r="12" spans="2:129" outlineLevel="1" x14ac:dyDescent="0.3">
      <c r="B12" s="6" t="s">
        <v>126</v>
      </c>
      <c r="C12" s="14" t="s">
        <v>48</v>
      </c>
      <c r="D12" s="27">
        <f t="shared" si="185"/>
        <v>12848.252975184869</v>
      </c>
      <c r="E12" s="27"/>
      <c r="F12" s="27">
        <f t="shared" ref="F12:AK12" si="215">IF(AND(F3&gt;=StartReconception,F3&lt;FinishReconception),ReconceptionCosts*GBA/12/1000*MonthlyInflation,0)</f>
        <v>1051.2</v>
      </c>
      <c r="G12" s="27">
        <f t="shared" si="215"/>
        <v>1054.7040000000002</v>
      </c>
      <c r="H12" s="27">
        <f t="shared" si="215"/>
        <v>1058.2196800000004</v>
      </c>
      <c r="I12" s="27">
        <f t="shared" si="215"/>
        <v>1061.7470789333338</v>
      </c>
      <c r="J12" s="27">
        <f t="shared" si="215"/>
        <v>1065.2862358631119</v>
      </c>
      <c r="K12" s="27">
        <f t="shared" si="215"/>
        <v>1068.8371899826554</v>
      </c>
      <c r="L12" s="27">
        <f t="shared" si="215"/>
        <v>1072.3999806159311</v>
      </c>
      <c r="M12" s="27">
        <f t="shared" si="215"/>
        <v>1075.9746472179843</v>
      </c>
      <c r="N12" s="27">
        <f t="shared" si="215"/>
        <v>1079.5612293753777</v>
      </c>
      <c r="O12" s="27">
        <f t="shared" si="215"/>
        <v>1083.159766806629</v>
      </c>
      <c r="P12" s="27">
        <f t="shared" si="215"/>
        <v>1086.770299362651</v>
      </c>
      <c r="Q12" s="27">
        <f t="shared" si="215"/>
        <v>1090.3928670271932</v>
      </c>
      <c r="R12" s="27">
        <f t="shared" si="215"/>
        <v>0</v>
      </c>
      <c r="S12" s="27">
        <f t="shared" si="215"/>
        <v>0</v>
      </c>
      <c r="T12" s="27">
        <f t="shared" si="215"/>
        <v>0</v>
      </c>
      <c r="U12" s="27">
        <f t="shared" si="215"/>
        <v>0</v>
      </c>
      <c r="V12" s="27">
        <f t="shared" si="215"/>
        <v>0</v>
      </c>
      <c r="W12" s="27">
        <f t="shared" si="215"/>
        <v>0</v>
      </c>
      <c r="X12" s="27">
        <f t="shared" si="215"/>
        <v>0</v>
      </c>
      <c r="Y12" s="27">
        <f t="shared" si="215"/>
        <v>0</v>
      </c>
      <c r="Z12" s="27">
        <f t="shared" si="215"/>
        <v>0</v>
      </c>
      <c r="AA12" s="27">
        <f t="shared" si="215"/>
        <v>0</v>
      </c>
      <c r="AB12" s="27">
        <f t="shared" si="215"/>
        <v>0</v>
      </c>
      <c r="AC12" s="27">
        <f t="shared" si="215"/>
        <v>0</v>
      </c>
      <c r="AD12" s="27">
        <f t="shared" si="215"/>
        <v>0</v>
      </c>
      <c r="AE12" s="27">
        <f t="shared" si="215"/>
        <v>0</v>
      </c>
      <c r="AF12" s="27">
        <f t="shared" si="215"/>
        <v>0</v>
      </c>
      <c r="AG12" s="27">
        <f t="shared" si="215"/>
        <v>0</v>
      </c>
      <c r="AH12" s="27">
        <f t="shared" si="215"/>
        <v>0</v>
      </c>
      <c r="AI12" s="27">
        <f t="shared" si="215"/>
        <v>0</v>
      </c>
      <c r="AJ12" s="27">
        <f t="shared" si="215"/>
        <v>0</v>
      </c>
      <c r="AK12" s="27">
        <f t="shared" si="215"/>
        <v>0</v>
      </c>
      <c r="AL12" s="27">
        <f t="shared" ref="AL12:BQ12" si="216">IF(AND(AL3&gt;=StartReconception,AL3&lt;FinishReconception),ReconceptionCosts*GBA/12/1000*MonthlyInflation,0)</f>
        <v>0</v>
      </c>
      <c r="AM12" s="27">
        <f t="shared" si="216"/>
        <v>0</v>
      </c>
      <c r="AN12" s="27">
        <f t="shared" si="216"/>
        <v>0</v>
      </c>
      <c r="AO12" s="27">
        <f t="shared" si="216"/>
        <v>0</v>
      </c>
      <c r="AP12" s="27">
        <f t="shared" si="216"/>
        <v>0</v>
      </c>
      <c r="AQ12" s="27">
        <f t="shared" si="216"/>
        <v>0</v>
      </c>
      <c r="AR12" s="27">
        <f t="shared" si="216"/>
        <v>0</v>
      </c>
      <c r="AS12" s="27">
        <f t="shared" si="216"/>
        <v>0</v>
      </c>
      <c r="AT12" s="27">
        <f t="shared" si="216"/>
        <v>0</v>
      </c>
      <c r="AU12" s="27">
        <f t="shared" si="216"/>
        <v>0</v>
      </c>
      <c r="AV12" s="27">
        <f t="shared" si="216"/>
        <v>0</v>
      </c>
      <c r="AW12" s="27">
        <f t="shared" si="216"/>
        <v>0</v>
      </c>
      <c r="AX12" s="27">
        <f t="shared" si="216"/>
        <v>0</v>
      </c>
      <c r="AY12" s="27">
        <f t="shared" si="216"/>
        <v>0</v>
      </c>
      <c r="AZ12" s="27">
        <f t="shared" si="216"/>
        <v>0</v>
      </c>
      <c r="BA12" s="27">
        <f t="shared" si="216"/>
        <v>0</v>
      </c>
      <c r="BB12" s="27">
        <f t="shared" si="216"/>
        <v>0</v>
      </c>
      <c r="BC12" s="27">
        <f t="shared" si="216"/>
        <v>0</v>
      </c>
      <c r="BD12" s="27">
        <f t="shared" si="216"/>
        <v>0</v>
      </c>
      <c r="BE12" s="27">
        <f t="shared" si="216"/>
        <v>0</v>
      </c>
      <c r="BF12" s="27">
        <f t="shared" si="216"/>
        <v>0</v>
      </c>
      <c r="BG12" s="27">
        <f t="shared" si="216"/>
        <v>0</v>
      </c>
      <c r="BH12" s="27">
        <f t="shared" si="216"/>
        <v>0</v>
      </c>
      <c r="BI12" s="27">
        <f t="shared" si="216"/>
        <v>0</v>
      </c>
      <c r="BJ12" s="27">
        <f t="shared" si="216"/>
        <v>0</v>
      </c>
      <c r="BK12" s="27">
        <f t="shared" si="216"/>
        <v>0</v>
      </c>
      <c r="BL12" s="27">
        <f t="shared" si="216"/>
        <v>0</v>
      </c>
      <c r="BM12" s="27">
        <f t="shared" si="216"/>
        <v>0</v>
      </c>
      <c r="BN12" s="27">
        <f t="shared" si="216"/>
        <v>0</v>
      </c>
      <c r="BO12" s="27">
        <f t="shared" si="216"/>
        <v>0</v>
      </c>
      <c r="BP12" s="27">
        <f t="shared" si="216"/>
        <v>0</v>
      </c>
      <c r="BQ12" s="27">
        <f t="shared" si="216"/>
        <v>0</v>
      </c>
      <c r="BR12" s="27">
        <f t="shared" ref="BR12:BY12" si="217">IF(AND(BR3&gt;=StartReconception,BR3&lt;FinishReconception),ReconceptionCosts*GBA/12/1000*MonthlyInflation,0)</f>
        <v>0</v>
      </c>
      <c r="BS12" s="27">
        <f t="shared" si="217"/>
        <v>0</v>
      </c>
      <c r="BT12" s="27">
        <f t="shared" si="217"/>
        <v>0</v>
      </c>
      <c r="BU12" s="27">
        <f t="shared" si="217"/>
        <v>0</v>
      </c>
      <c r="BV12" s="27">
        <f t="shared" si="217"/>
        <v>0</v>
      </c>
      <c r="BW12" s="27">
        <f t="shared" si="217"/>
        <v>0</v>
      </c>
      <c r="BX12" s="27">
        <f t="shared" si="217"/>
        <v>0</v>
      </c>
      <c r="BY12" s="27">
        <f t="shared" si="217"/>
        <v>0</v>
      </c>
      <c r="BZ12" s="27">
        <f t="shared" ref="BZ12:DI12" si="218">IF(AND(BZ3&gt;=StartReconception,BZ3&lt;FinishReconception),ReconceptionCosts*GBA/12/1000*MonthlyInflation,0)</f>
        <v>0</v>
      </c>
      <c r="CA12" s="27">
        <f t="shared" si="218"/>
        <v>0</v>
      </c>
      <c r="CB12" s="27">
        <f t="shared" si="218"/>
        <v>0</v>
      </c>
      <c r="CC12" s="27">
        <f t="shared" si="218"/>
        <v>0</v>
      </c>
      <c r="CD12" s="27">
        <f t="shared" si="218"/>
        <v>0</v>
      </c>
      <c r="CE12" s="27">
        <f t="shared" si="218"/>
        <v>0</v>
      </c>
      <c r="CF12" s="27">
        <f t="shared" si="218"/>
        <v>0</v>
      </c>
      <c r="CG12" s="27">
        <f t="shared" si="218"/>
        <v>0</v>
      </c>
      <c r="CH12" s="27">
        <f t="shared" si="218"/>
        <v>0</v>
      </c>
      <c r="CI12" s="27">
        <f t="shared" si="218"/>
        <v>0</v>
      </c>
      <c r="CJ12" s="27">
        <f t="shared" si="218"/>
        <v>0</v>
      </c>
      <c r="CK12" s="27">
        <f t="shared" si="218"/>
        <v>0</v>
      </c>
      <c r="CL12" s="27">
        <f t="shared" si="218"/>
        <v>0</v>
      </c>
      <c r="CM12" s="27">
        <f t="shared" si="218"/>
        <v>0</v>
      </c>
      <c r="CN12" s="27">
        <f t="shared" si="218"/>
        <v>0</v>
      </c>
      <c r="CO12" s="27">
        <f t="shared" si="218"/>
        <v>0</v>
      </c>
      <c r="CP12" s="27">
        <f t="shared" si="218"/>
        <v>0</v>
      </c>
      <c r="CQ12" s="27">
        <f t="shared" si="218"/>
        <v>0</v>
      </c>
      <c r="CR12" s="27">
        <f t="shared" si="218"/>
        <v>0</v>
      </c>
      <c r="CS12" s="27">
        <f t="shared" si="218"/>
        <v>0</v>
      </c>
      <c r="CT12" s="27">
        <f t="shared" si="218"/>
        <v>0</v>
      </c>
      <c r="CU12" s="27">
        <f t="shared" si="218"/>
        <v>0</v>
      </c>
      <c r="CV12" s="27">
        <f t="shared" si="218"/>
        <v>0</v>
      </c>
      <c r="CW12" s="27">
        <f t="shared" si="218"/>
        <v>0</v>
      </c>
      <c r="CX12" s="27">
        <f t="shared" si="218"/>
        <v>0</v>
      </c>
      <c r="CY12" s="27">
        <f t="shared" si="218"/>
        <v>0</v>
      </c>
      <c r="CZ12" s="27">
        <f t="shared" si="218"/>
        <v>0</v>
      </c>
      <c r="DA12" s="27">
        <f t="shared" si="218"/>
        <v>0</v>
      </c>
      <c r="DB12" s="27">
        <f t="shared" si="218"/>
        <v>0</v>
      </c>
      <c r="DC12" s="27">
        <f t="shared" si="218"/>
        <v>0</v>
      </c>
      <c r="DD12" s="27">
        <f t="shared" si="218"/>
        <v>0</v>
      </c>
      <c r="DE12" s="27">
        <f t="shared" si="218"/>
        <v>0</v>
      </c>
      <c r="DF12" s="27">
        <f t="shared" si="218"/>
        <v>0</v>
      </c>
      <c r="DG12" s="27">
        <f t="shared" si="218"/>
        <v>0</v>
      </c>
      <c r="DH12" s="27">
        <f t="shared" si="218"/>
        <v>0</v>
      </c>
      <c r="DI12" s="27">
        <f t="shared" si="218"/>
        <v>0</v>
      </c>
    </row>
    <row r="13" spans="2:129" outlineLevel="1" x14ac:dyDescent="0.3">
      <c r="B13" s="6" t="s">
        <v>62</v>
      </c>
      <c r="C13" s="14" t="s">
        <v>48</v>
      </c>
      <c r="D13" s="27">
        <f t="shared" si="185"/>
        <v>47738.561828626967</v>
      </c>
      <c r="E13" s="27"/>
      <c r="F13" s="27">
        <f t="shared" ref="F13:AK13" si="219">IF(OR(F3&lt;Start,F3&gt;=Finish),0,ElectricityCosts/12*MonthlyInflation)</f>
        <v>587.75</v>
      </c>
      <c r="G13" s="27">
        <f t="shared" si="219"/>
        <v>589.70916666666676</v>
      </c>
      <c r="H13" s="27">
        <f t="shared" si="219"/>
        <v>591.67486388888904</v>
      </c>
      <c r="I13" s="27">
        <f t="shared" si="219"/>
        <v>593.64711343518547</v>
      </c>
      <c r="J13" s="27">
        <f t="shared" si="219"/>
        <v>595.62593714663615</v>
      </c>
      <c r="K13" s="27">
        <f t="shared" si="219"/>
        <v>597.61135693712492</v>
      </c>
      <c r="L13" s="27">
        <f t="shared" si="219"/>
        <v>599.60339479358208</v>
      </c>
      <c r="M13" s="27">
        <f t="shared" si="219"/>
        <v>601.60207277622737</v>
      </c>
      <c r="N13" s="27">
        <f t="shared" si="219"/>
        <v>603.6074130188149</v>
      </c>
      <c r="O13" s="27">
        <f t="shared" si="219"/>
        <v>605.61943772887764</v>
      </c>
      <c r="P13" s="27">
        <f t="shared" si="219"/>
        <v>607.63816918797386</v>
      </c>
      <c r="Q13" s="27">
        <f t="shared" si="219"/>
        <v>609.66362975193385</v>
      </c>
      <c r="R13" s="27">
        <f t="shared" si="219"/>
        <v>611.69584185110693</v>
      </c>
      <c r="S13" s="27">
        <f t="shared" si="219"/>
        <v>613.73482799061071</v>
      </c>
      <c r="T13" s="27">
        <f t="shared" si="219"/>
        <v>615.78061075057951</v>
      </c>
      <c r="U13" s="27">
        <f t="shared" si="219"/>
        <v>617.83321278641472</v>
      </c>
      <c r="V13" s="27">
        <f t="shared" si="219"/>
        <v>619.89265682903613</v>
      </c>
      <c r="W13" s="27">
        <f t="shared" si="219"/>
        <v>621.95896568513308</v>
      </c>
      <c r="X13" s="27">
        <f t="shared" si="219"/>
        <v>624.03216223741686</v>
      </c>
      <c r="Y13" s="27">
        <f t="shared" si="219"/>
        <v>626.11226944487487</v>
      </c>
      <c r="Z13" s="27">
        <f t="shared" si="219"/>
        <v>628.19931034302454</v>
      </c>
      <c r="AA13" s="27">
        <f t="shared" si="219"/>
        <v>630.29330804416793</v>
      </c>
      <c r="AB13" s="27">
        <f t="shared" si="219"/>
        <v>632.3942857376486</v>
      </c>
      <c r="AC13" s="27">
        <f t="shared" si="219"/>
        <v>634.50226669010749</v>
      </c>
      <c r="AD13" s="27">
        <f t="shared" si="219"/>
        <v>636.61727424574121</v>
      </c>
      <c r="AE13" s="27">
        <f t="shared" si="219"/>
        <v>638.73933182656037</v>
      </c>
      <c r="AF13" s="27">
        <f t="shared" si="219"/>
        <v>640.86846293264887</v>
      </c>
      <c r="AG13" s="27">
        <f t="shared" si="219"/>
        <v>643.00469114242446</v>
      </c>
      <c r="AH13" s="27">
        <f t="shared" si="219"/>
        <v>645.14804011289925</v>
      </c>
      <c r="AI13" s="27">
        <f t="shared" si="219"/>
        <v>647.29853357994227</v>
      </c>
      <c r="AJ13" s="27">
        <f t="shared" si="219"/>
        <v>649.45619535854223</v>
      </c>
      <c r="AK13" s="27">
        <f t="shared" si="219"/>
        <v>651.62104934307081</v>
      </c>
      <c r="AL13" s="27">
        <f t="shared" ref="AL13:BQ13" si="220">IF(OR(AL3&lt;Start,AL3&gt;=Finish),0,ElectricityCosts/12*MonthlyInflation)</f>
        <v>653.79311950754777</v>
      </c>
      <c r="AM13" s="27">
        <f t="shared" si="220"/>
        <v>655.97242990590632</v>
      </c>
      <c r="AN13" s="27">
        <f t="shared" si="220"/>
        <v>658.15900467225936</v>
      </c>
      <c r="AO13" s="27">
        <f t="shared" si="220"/>
        <v>660.35286802116696</v>
      </c>
      <c r="AP13" s="27">
        <f t="shared" si="220"/>
        <v>662.55404424790424</v>
      </c>
      <c r="AQ13" s="27">
        <f t="shared" si="220"/>
        <v>664.7625577287306</v>
      </c>
      <c r="AR13" s="27">
        <f t="shared" si="220"/>
        <v>666.97843292115977</v>
      </c>
      <c r="AS13" s="27">
        <f t="shared" si="220"/>
        <v>669.20169436423032</v>
      </c>
      <c r="AT13" s="27">
        <f t="shared" si="220"/>
        <v>671.43236667877784</v>
      </c>
      <c r="AU13" s="27">
        <f t="shared" si="220"/>
        <v>673.67047456770717</v>
      </c>
      <c r="AV13" s="27">
        <f t="shared" si="220"/>
        <v>675.91604281626621</v>
      </c>
      <c r="AW13" s="27">
        <f t="shared" si="220"/>
        <v>678.16909629232043</v>
      </c>
      <c r="AX13" s="27">
        <f t="shared" si="220"/>
        <v>680.42965994662825</v>
      </c>
      <c r="AY13" s="27">
        <f t="shared" si="220"/>
        <v>682.69775881311705</v>
      </c>
      <c r="AZ13" s="27">
        <f t="shared" si="220"/>
        <v>684.9734180091607</v>
      </c>
      <c r="BA13" s="27">
        <f t="shared" si="220"/>
        <v>687.25666273585796</v>
      </c>
      <c r="BB13" s="27">
        <f t="shared" si="220"/>
        <v>689.5475182783108</v>
      </c>
      <c r="BC13" s="27">
        <f t="shared" si="220"/>
        <v>691.84601000590533</v>
      </c>
      <c r="BD13" s="27">
        <f t="shared" si="220"/>
        <v>694.15216337259164</v>
      </c>
      <c r="BE13" s="27">
        <f t="shared" si="220"/>
        <v>696.46600391716709</v>
      </c>
      <c r="BF13" s="27">
        <f t="shared" si="220"/>
        <v>698.78755726355769</v>
      </c>
      <c r="BG13" s="27">
        <f t="shared" si="220"/>
        <v>701.11684912110286</v>
      </c>
      <c r="BH13" s="27">
        <f t="shared" si="220"/>
        <v>703.45390528483995</v>
      </c>
      <c r="BI13" s="27">
        <f t="shared" si="220"/>
        <v>705.79875163578947</v>
      </c>
      <c r="BJ13" s="27">
        <f t="shared" si="220"/>
        <v>708.15141414124207</v>
      </c>
      <c r="BK13" s="27">
        <f t="shared" si="220"/>
        <v>710.51191885504625</v>
      </c>
      <c r="BL13" s="27">
        <f t="shared" si="220"/>
        <v>712.88029191789656</v>
      </c>
      <c r="BM13" s="27">
        <f t="shared" si="220"/>
        <v>715.25655955762295</v>
      </c>
      <c r="BN13" s="27">
        <f t="shared" si="220"/>
        <v>717.6407480894818</v>
      </c>
      <c r="BO13" s="27">
        <f t="shared" si="220"/>
        <v>720.03288391644674</v>
      </c>
      <c r="BP13" s="27">
        <f t="shared" si="220"/>
        <v>722.43299352950169</v>
      </c>
      <c r="BQ13" s="27">
        <f t="shared" si="220"/>
        <v>724.84110350793344</v>
      </c>
      <c r="BR13" s="27">
        <f t="shared" ref="BR13:BY13" si="221">IF(OR(BR3&lt;Start,BR3&gt;=Finish),0,ElectricityCosts/12*MonthlyInflation)</f>
        <v>727.25724051962652</v>
      </c>
      <c r="BS13" s="27">
        <f t="shared" si="221"/>
        <v>729.68143132135867</v>
      </c>
      <c r="BT13" s="27">
        <f t="shared" si="221"/>
        <v>732.11370275909655</v>
      </c>
      <c r="BU13" s="27">
        <f t="shared" si="221"/>
        <v>734.5540817682936</v>
      </c>
      <c r="BV13" s="27">
        <f t="shared" si="221"/>
        <v>737.00259537418788</v>
      </c>
      <c r="BW13" s="27">
        <f t="shared" si="221"/>
        <v>739.45927069210188</v>
      </c>
      <c r="BX13" s="27">
        <f t="shared" si="221"/>
        <v>741.92413492774222</v>
      </c>
      <c r="BY13" s="27">
        <f t="shared" si="221"/>
        <v>744.39721537750142</v>
      </c>
      <c r="BZ13" s="27">
        <f t="shared" ref="BZ13:DI13" si="222">IF(OR(BZ3&lt;Start,BZ3&gt;=Finish),0,ElectricityCosts/12*MonthlyInflation)</f>
        <v>746.87853942875984</v>
      </c>
      <c r="CA13" s="27">
        <f t="shared" si="222"/>
        <v>749.36813456018911</v>
      </c>
      <c r="CB13" s="27">
        <f t="shared" si="222"/>
        <v>751.86602834205655</v>
      </c>
      <c r="CC13" s="27">
        <f t="shared" si="222"/>
        <v>754.37224843653019</v>
      </c>
      <c r="CD13" s="27">
        <f t="shared" si="222"/>
        <v>756.88682259798532</v>
      </c>
      <c r="CE13" s="27">
        <f t="shared" si="222"/>
        <v>759.40977867331196</v>
      </c>
      <c r="CF13" s="27">
        <f t="shared" si="222"/>
        <v>761.94114460222306</v>
      </c>
      <c r="CG13" s="27">
        <f t="shared" si="222"/>
        <v>764.48094841756392</v>
      </c>
      <c r="CH13" s="27">
        <f t="shared" si="222"/>
        <v>767.02921824562247</v>
      </c>
      <c r="CI13" s="27">
        <f t="shared" si="222"/>
        <v>769.58598230644122</v>
      </c>
      <c r="CJ13" s="27">
        <f t="shared" si="222"/>
        <v>772.15126891412933</v>
      </c>
      <c r="CK13" s="27">
        <f t="shared" si="222"/>
        <v>774.7251064771765</v>
      </c>
      <c r="CL13" s="27">
        <f t="shared" si="222"/>
        <v>777.30752349876718</v>
      </c>
      <c r="CM13" s="27">
        <f t="shared" si="222"/>
        <v>779.89854857709645</v>
      </c>
      <c r="CN13" s="27">
        <f t="shared" si="222"/>
        <v>782.49821040568679</v>
      </c>
      <c r="CO13" s="27">
        <f t="shared" si="222"/>
        <v>785.1065377737059</v>
      </c>
      <c r="CP13" s="27">
        <f t="shared" si="222"/>
        <v>787.72355956628496</v>
      </c>
      <c r="CQ13" s="27">
        <f t="shared" si="222"/>
        <v>790.3493047648393</v>
      </c>
      <c r="CR13" s="27">
        <f t="shared" si="222"/>
        <v>792.98380244738883</v>
      </c>
      <c r="CS13" s="27">
        <f t="shared" si="222"/>
        <v>795.62708178888022</v>
      </c>
      <c r="CT13" s="27">
        <f t="shared" si="222"/>
        <v>798.27917206150983</v>
      </c>
      <c r="CU13" s="27">
        <f t="shared" si="222"/>
        <v>800.94010263504833</v>
      </c>
      <c r="CV13" s="27">
        <f t="shared" si="222"/>
        <v>803.60990297716512</v>
      </c>
      <c r="CW13" s="27">
        <f t="shared" si="222"/>
        <v>806.28860265375579</v>
      </c>
      <c r="CX13" s="27">
        <f t="shared" si="222"/>
        <v>808.97623132926844</v>
      </c>
      <c r="CY13" s="27">
        <f t="shared" si="222"/>
        <v>811.67281876703271</v>
      </c>
      <c r="CZ13" s="27">
        <f t="shared" si="222"/>
        <v>814.37839482958952</v>
      </c>
      <c r="DA13" s="27">
        <f t="shared" si="222"/>
        <v>817.09298947902153</v>
      </c>
      <c r="DB13" s="27">
        <f t="shared" si="222"/>
        <v>819.81663277728501</v>
      </c>
      <c r="DC13" s="27">
        <f t="shared" si="222"/>
        <v>822.54935488654269</v>
      </c>
      <c r="DD13" s="27">
        <f t="shared" si="222"/>
        <v>825.29118606949794</v>
      </c>
      <c r="DE13" s="27">
        <f t="shared" si="222"/>
        <v>828.04215668972972</v>
      </c>
      <c r="DF13" s="27">
        <f t="shared" si="222"/>
        <v>830.80229721202875</v>
      </c>
      <c r="DG13" s="27">
        <f t="shared" si="222"/>
        <v>833.57163820273558</v>
      </c>
      <c r="DH13" s="27">
        <f t="shared" si="222"/>
        <v>836.35021033007808</v>
      </c>
      <c r="DI13" s="27">
        <f t="shared" si="222"/>
        <v>839.13804436451187</v>
      </c>
    </row>
    <row r="14" spans="2:129" outlineLevel="1" x14ac:dyDescent="0.3">
      <c r="B14" s="6" t="s">
        <v>63</v>
      </c>
      <c r="D14" s="27">
        <f t="shared" si="185"/>
        <v>71787.511339199991</v>
      </c>
      <c r="E14" s="27">
        <f t="shared" ref="E14:AJ14" si="223">IF(MOD(DAYS360(EDATE(Start,-1),E3)/30,3)=0,CadastralValueOfRealEstate*PropertyTaxRate/4,0)</f>
        <v>0</v>
      </c>
      <c r="F14" s="27">
        <f t="shared" si="223"/>
        <v>0</v>
      </c>
      <c r="G14" s="27">
        <f t="shared" si="223"/>
        <v>0</v>
      </c>
      <c r="H14" s="27">
        <f t="shared" si="223"/>
        <v>2991.1463057999999</v>
      </c>
      <c r="I14" s="27">
        <f t="shared" si="223"/>
        <v>0</v>
      </c>
      <c r="J14" s="27">
        <f t="shared" si="223"/>
        <v>0</v>
      </c>
      <c r="K14" s="27">
        <f t="shared" si="223"/>
        <v>2991.1463057999999</v>
      </c>
      <c r="L14" s="27">
        <f t="shared" si="223"/>
        <v>0</v>
      </c>
      <c r="M14" s="27">
        <f t="shared" si="223"/>
        <v>0</v>
      </c>
      <c r="N14" s="27">
        <f t="shared" si="223"/>
        <v>2991.1463057999999</v>
      </c>
      <c r="O14" s="27">
        <f t="shared" si="223"/>
        <v>0</v>
      </c>
      <c r="P14" s="27">
        <f t="shared" si="223"/>
        <v>0</v>
      </c>
      <c r="Q14" s="27">
        <f t="shared" si="223"/>
        <v>2991.1463057999999</v>
      </c>
      <c r="R14" s="27">
        <f t="shared" si="223"/>
        <v>0</v>
      </c>
      <c r="S14" s="27">
        <f t="shared" si="223"/>
        <v>0</v>
      </c>
      <c r="T14" s="27">
        <f t="shared" si="223"/>
        <v>2991.1463057999999</v>
      </c>
      <c r="U14" s="27">
        <f t="shared" si="223"/>
        <v>0</v>
      </c>
      <c r="V14" s="27">
        <f t="shared" si="223"/>
        <v>0</v>
      </c>
      <c r="W14" s="27">
        <f t="shared" si="223"/>
        <v>2991.1463057999999</v>
      </c>
      <c r="X14" s="27">
        <f t="shared" si="223"/>
        <v>0</v>
      </c>
      <c r="Y14" s="27">
        <f t="shared" si="223"/>
        <v>0</v>
      </c>
      <c r="Z14" s="27">
        <f t="shared" si="223"/>
        <v>2991.1463057999999</v>
      </c>
      <c r="AA14" s="27">
        <f t="shared" si="223"/>
        <v>0</v>
      </c>
      <c r="AB14" s="27">
        <f t="shared" si="223"/>
        <v>0</v>
      </c>
      <c r="AC14" s="27">
        <f t="shared" si="223"/>
        <v>2991.1463057999999</v>
      </c>
      <c r="AD14" s="27">
        <f t="shared" si="223"/>
        <v>0</v>
      </c>
      <c r="AE14" s="27">
        <f t="shared" si="223"/>
        <v>0</v>
      </c>
      <c r="AF14" s="27">
        <f t="shared" si="223"/>
        <v>2991.1463057999999</v>
      </c>
      <c r="AG14" s="27">
        <f t="shared" si="223"/>
        <v>0</v>
      </c>
      <c r="AH14" s="27">
        <f t="shared" si="223"/>
        <v>0</v>
      </c>
      <c r="AI14" s="27">
        <f t="shared" si="223"/>
        <v>2991.1463057999999</v>
      </c>
      <c r="AJ14" s="27">
        <f t="shared" si="223"/>
        <v>0</v>
      </c>
      <c r="AK14" s="27">
        <f t="shared" ref="AK14:BP14" si="224">IF(MOD(DAYS360(EDATE(Start,-1),AK3)/30,3)=0,CadastralValueOfRealEstate*PropertyTaxRate/4,0)</f>
        <v>0</v>
      </c>
      <c r="AL14" s="27">
        <f t="shared" si="224"/>
        <v>2991.1463057999999</v>
      </c>
      <c r="AM14" s="27">
        <f t="shared" si="224"/>
        <v>0</v>
      </c>
      <c r="AN14" s="27">
        <f t="shared" si="224"/>
        <v>0</v>
      </c>
      <c r="AO14" s="27">
        <f t="shared" si="224"/>
        <v>2991.1463057999999</v>
      </c>
      <c r="AP14" s="27">
        <f t="shared" si="224"/>
        <v>0</v>
      </c>
      <c r="AQ14" s="27">
        <f t="shared" si="224"/>
        <v>0</v>
      </c>
      <c r="AR14" s="27">
        <f t="shared" si="224"/>
        <v>2991.1463057999999</v>
      </c>
      <c r="AS14" s="27">
        <f t="shared" si="224"/>
        <v>0</v>
      </c>
      <c r="AT14" s="27">
        <f t="shared" si="224"/>
        <v>0</v>
      </c>
      <c r="AU14" s="27">
        <f t="shared" si="224"/>
        <v>2991.1463057999999</v>
      </c>
      <c r="AV14" s="27">
        <f t="shared" si="224"/>
        <v>0</v>
      </c>
      <c r="AW14" s="27">
        <f t="shared" si="224"/>
        <v>0</v>
      </c>
      <c r="AX14" s="27">
        <f t="shared" si="224"/>
        <v>2991.1463057999999</v>
      </c>
      <c r="AY14" s="27">
        <f t="shared" si="224"/>
        <v>0</v>
      </c>
      <c r="AZ14" s="27">
        <f t="shared" si="224"/>
        <v>0</v>
      </c>
      <c r="BA14" s="27">
        <f t="shared" si="224"/>
        <v>2991.1463057999999</v>
      </c>
      <c r="BB14" s="27">
        <f t="shared" si="224"/>
        <v>0</v>
      </c>
      <c r="BC14" s="27">
        <f t="shared" si="224"/>
        <v>0</v>
      </c>
      <c r="BD14" s="27">
        <f t="shared" si="224"/>
        <v>2991.1463057999999</v>
      </c>
      <c r="BE14" s="27">
        <f t="shared" si="224"/>
        <v>0</v>
      </c>
      <c r="BF14" s="27">
        <f t="shared" si="224"/>
        <v>0</v>
      </c>
      <c r="BG14" s="27">
        <f t="shared" si="224"/>
        <v>2991.1463057999999</v>
      </c>
      <c r="BH14" s="27">
        <f t="shared" si="224"/>
        <v>0</v>
      </c>
      <c r="BI14" s="27">
        <f t="shared" si="224"/>
        <v>0</v>
      </c>
      <c r="BJ14" s="27">
        <f t="shared" si="224"/>
        <v>2991.1463057999999</v>
      </c>
      <c r="BK14" s="27">
        <f t="shared" si="224"/>
        <v>0</v>
      </c>
      <c r="BL14" s="27">
        <f t="shared" si="224"/>
        <v>0</v>
      </c>
      <c r="BM14" s="27">
        <f t="shared" si="224"/>
        <v>2991.1463057999999</v>
      </c>
      <c r="BN14" s="27">
        <f t="shared" si="224"/>
        <v>0</v>
      </c>
      <c r="BO14" s="27">
        <f t="shared" si="224"/>
        <v>0</v>
      </c>
      <c r="BP14" s="27">
        <f t="shared" si="224"/>
        <v>2991.1463057999999</v>
      </c>
      <c r="BQ14" s="27">
        <f t="shared" ref="BQ14:BY14" si="225">IF(MOD(DAYS360(EDATE(Start,-1),BQ3)/30,3)=0,CadastralValueOfRealEstate*PropertyTaxRate/4,0)</f>
        <v>0</v>
      </c>
      <c r="BR14" s="27">
        <f t="shared" si="225"/>
        <v>0</v>
      </c>
      <c r="BS14" s="27">
        <f t="shared" si="225"/>
        <v>2991.1463057999999</v>
      </c>
      <c r="BT14" s="27">
        <f t="shared" si="225"/>
        <v>0</v>
      </c>
      <c r="BU14" s="27">
        <f t="shared" si="225"/>
        <v>0</v>
      </c>
      <c r="BV14" s="27">
        <f t="shared" si="225"/>
        <v>2991.1463057999999</v>
      </c>
      <c r="BW14" s="27">
        <f t="shared" si="225"/>
        <v>0</v>
      </c>
      <c r="BX14" s="27">
        <f t="shared" si="225"/>
        <v>0</v>
      </c>
      <c r="BY14" s="27">
        <f t="shared" si="225"/>
        <v>2991.1463057999999</v>
      </c>
      <c r="BZ14" s="27">
        <f t="shared" ref="BZ14:DI14" si="226">IF(MOD(DAYS360(EDATE(Start,-1),BZ3)/30,3)=0,CadastralValueOfRealEstate*PropertyTaxRate/4,0)</f>
        <v>0</v>
      </c>
      <c r="CA14" s="27">
        <f t="shared" si="226"/>
        <v>0</v>
      </c>
      <c r="CB14" s="27">
        <f t="shared" si="226"/>
        <v>2991.1463057999999</v>
      </c>
      <c r="CC14" s="27">
        <f t="shared" si="226"/>
        <v>0</v>
      </c>
      <c r="CD14" s="27">
        <f t="shared" si="226"/>
        <v>0</v>
      </c>
      <c r="CE14" s="27">
        <f t="shared" si="226"/>
        <v>2991.1463057999999</v>
      </c>
      <c r="CF14" s="27">
        <f t="shared" si="226"/>
        <v>0</v>
      </c>
      <c r="CG14" s="27">
        <f t="shared" si="226"/>
        <v>0</v>
      </c>
      <c r="CH14" s="27">
        <f t="shared" si="226"/>
        <v>2991.1463057999999</v>
      </c>
      <c r="CI14" s="27">
        <f t="shared" si="226"/>
        <v>0</v>
      </c>
      <c r="CJ14" s="27">
        <f t="shared" si="226"/>
        <v>0</v>
      </c>
      <c r="CK14" s="27">
        <f t="shared" si="226"/>
        <v>2991.1463057999999</v>
      </c>
      <c r="CL14" s="27">
        <f t="shared" si="226"/>
        <v>0</v>
      </c>
      <c r="CM14" s="27">
        <f t="shared" si="226"/>
        <v>0</v>
      </c>
      <c r="CN14" s="27">
        <f t="shared" si="226"/>
        <v>2991.1463057999999</v>
      </c>
      <c r="CO14" s="27">
        <f t="shared" si="226"/>
        <v>0</v>
      </c>
      <c r="CP14" s="27">
        <f t="shared" si="226"/>
        <v>0</v>
      </c>
      <c r="CQ14" s="27">
        <f t="shared" si="226"/>
        <v>2991.1463057999999</v>
      </c>
      <c r="CR14" s="27">
        <f t="shared" si="226"/>
        <v>0</v>
      </c>
      <c r="CS14" s="27">
        <f t="shared" si="226"/>
        <v>0</v>
      </c>
      <c r="CT14" s="27">
        <f t="shared" si="226"/>
        <v>2991.1463057999999</v>
      </c>
      <c r="CU14" s="27">
        <f t="shared" si="226"/>
        <v>0</v>
      </c>
      <c r="CV14" s="27">
        <f t="shared" si="226"/>
        <v>0</v>
      </c>
      <c r="CW14" s="27">
        <f t="shared" si="226"/>
        <v>2991.1463057999999</v>
      </c>
      <c r="CX14" s="27">
        <f t="shared" si="226"/>
        <v>0</v>
      </c>
      <c r="CY14" s="27">
        <f t="shared" si="226"/>
        <v>0</v>
      </c>
      <c r="CZ14" s="27">
        <f t="shared" si="226"/>
        <v>2991.1463057999999</v>
      </c>
      <c r="DA14" s="27">
        <f t="shared" si="226"/>
        <v>0</v>
      </c>
      <c r="DB14" s="27">
        <f t="shared" si="226"/>
        <v>0</v>
      </c>
      <c r="DC14" s="27">
        <f t="shared" si="226"/>
        <v>2991.1463057999999</v>
      </c>
      <c r="DD14" s="27">
        <f t="shared" si="226"/>
        <v>0</v>
      </c>
      <c r="DE14" s="27">
        <f t="shared" si="226"/>
        <v>0</v>
      </c>
      <c r="DF14" s="27">
        <f t="shared" si="226"/>
        <v>2991.1463057999999</v>
      </c>
      <c r="DG14" s="27">
        <f t="shared" si="226"/>
        <v>0</v>
      </c>
      <c r="DH14" s="27">
        <f t="shared" si="226"/>
        <v>0</v>
      </c>
      <c r="DI14" s="27">
        <f t="shared" si="226"/>
        <v>2991.1463057999999</v>
      </c>
    </row>
    <row r="15" spans="2:129" outlineLevel="1" x14ac:dyDescent="0.3">
      <c r="B15" s="6" t="s">
        <v>76</v>
      </c>
      <c r="D15" s="27">
        <f t="shared" si="185"/>
        <v>37010.414870116561</v>
      </c>
      <c r="E15" s="27"/>
      <c r="F15" s="27">
        <f t="shared" ref="F15:AK15" si="227">IF(OR(F3&lt;Start,F3&gt;=Finish),0,LaborCosts/12*MonthlyInflation)</f>
        <v>455.66666666666669</v>
      </c>
      <c r="G15" s="27">
        <f t="shared" si="227"/>
        <v>457.1855555555556</v>
      </c>
      <c r="H15" s="27">
        <f t="shared" si="227"/>
        <v>458.70950740740756</v>
      </c>
      <c r="I15" s="27">
        <f t="shared" si="227"/>
        <v>460.23853909876561</v>
      </c>
      <c r="J15" s="27">
        <f t="shared" si="227"/>
        <v>461.77266756242824</v>
      </c>
      <c r="K15" s="27">
        <f t="shared" si="227"/>
        <v>463.31190978763641</v>
      </c>
      <c r="L15" s="27">
        <f t="shared" si="227"/>
        <v>464.85628282026192</v>
      </c>
      <c r="M15" s="27">
        <f t="shared" si="227"/>
        <v>466.40580376299613</v>
      </c>
      <c r="N15" s="27">
        <f t="shared" si="227"/>
        <v>467.96048977553949</v>
      </c>
      <c r="O15" s="27">
        <f t="shared" si="227"/>
        <v>469.52035807479132</v>
      </c>
      <c r="P15" s="27">
        <f t="shared" si="227"/>
        <v>471.08542593504058</v>
      </c>
      <c r="Q15" s="27">
        <f t="shared" si="227"/>
        <v>472.6557106881574</v>
      </c>
      <c r="R15" s="27">
        <f t="shared" si="227"/>
        <v>474.23122972378462</v>
      </c>
      <c r="S15" s="27">
        <f t="shared" si="227"/>
        <v>475.81200048953059</v>
      </c>
      <c r="T15" s="27">
        <f t="shared" si="227"/>
        <v>477.39804049116242</v>
      </c>
      <c r="U15" s="27">
        <f t="shared" si="227"/>
        <v>478.98936729279967</v>
      </c>
      <c r="V15" s="27">
        <f t="shared" si="227"/>
        <v>480.58599851710898</v>
      </c>
      <c r="W15" s="27">
        <f t="shared" si="227"/>
        <v>482.18795184549947</v>
      </c>
      <c r="X15" s="27">
        <f t="shared" si="227"/>
        <v>483.79524501831776</v>
      </c>
      <c r="Y15" s="27">
        <f t="shared" si="227"/>
        <v>485.40789583504551</v>
      </c>
      <c r="Z15" s="27">
        <f t="shared" si="227"/>
        <v>487.02592215449567</v>
      </c>
      <c r="AA15" s="27">
        <f t="shared" si="227"/>
        <v>488.64934189501071</v>
      </c>
      <c r="AB15" s="27">
        <f t="shared" si="227"/>
        <v>490.27817303466082</v>
      </c>
      <c r="AC15" s="27">
        <f t="shared" si="227"/>
        <v>491.91243361144308</v>
      </c>
      <c r="AD15" s="27">
        <f t="shared" si="227"/>
        <v>493.55214172348121</v>
      </c>
      <c r="AE15" s="27">
        <f t="shared" si="227"/>
        <v>495.19731552922616</v>
      </c>
      <c r="AF15" s="27">
        <f t="shared" si="227"/>
        <v>496.84797324765697</v>
      </c>
      <c r="AG15" s="27">
        <f t="shared" si="227"/>
        <v>498.50413315848249</v>
      </c>
      <c r="AH15" s="27">
        <f t="shared" si="227"/>
        <v>500.16581360234414</v>
      </c>
      <c r="AI15" s="27">
        <f t="shared" si="227"/>
        <v>501.83303298101862</v>
      </c>
      <c r="AJ15" s="27">
        <f t="shared" si="227"/>
        <v>503.5058097576221</v>
      </c>
      <c r="AK15" s="27">
        <f t="shared" si="227"/>
        <v>505.18416245681425</v>
      </c>
      <c r="AL15" s="27">
        <f t="shared" ref="AL15:BQ15" si="228">IF(OR(AL3&lt;Start,AL3&gt;=Finish),0,LaborCosts/12*MonthlyInflation)</f>
        <v>506.86810966500371</v>
      </c>
      <c r="AM15" s="27">
        <f t="shared" si="228"/>
        <v>508.55767003055382</v>
      </c>
      <c r="AN15" s="27">
        <f t="shared" si="228"/>
        <v>510.25286226398902</v>
      </c>
      <c r="AO15" s="27">
        <f t="shared" si="228"/>
        <v>511.95370513820239</v>
      </c>
      <c r="AP15" s="27">
        <f t="shared" si="228"/>
        <v>513.66021748866308</v>
      </c>
      <c r="AQ15" s="27">
        <f t="shared" si="228"/>
        <v>515.37241821362534</v>
      </c>
      <c r="AR15" s="27">
        <f t="shared" si="228"/>
        <v>517.09032627433737</v>
      </c>
      <c r="AS15" s="27">
        <f t="shared" si="228"/>
        <v>518.81396069525192</v>
      </c>
      <c r="AT15" s="27">
        <f t="shared" si="228"/>
        <v>520.54334056423613</v>
      </c>
      <c r="AU15" s="27">
        <f t="shared" si="228"/>
        <v>522.27848503278358</v>
      </c>
      <c r="AV15" s="27">
        <f t="shared" si="228"/>
        <v>524.01941331622629</v>
      </c>
      <c r="AW15" s="27">
        <f t="shared" si="228"/>
        <v>525.76614469394701</v>
      </c>
      <c r="AX15" s="27">
        <f t="shared" si="228"/>
        <v>527.51869850959361</v>
      </c>
      <c r="AY15" s="27">
        <f t="shared" si="228"/>
        <v>529.27709417129222</v>
      </c>
      <c r="AZ15" s="27">
        <f t="shared" si="228"/>
        <v>531.04135115186318</v>
      </c>
      <c r="BA15" s="27">
        <f t="shared" si="228"/>
        <v>532.81148898903609</v>
      </c>
      <c r="BB15" s="27">
        <f t="shared" si="228"/>
        <v>534.58752728566628</v>
      </c>
      <c r="BC15" s="27">
        <f t="shared" si="228"/>
        <v>536.36948570995185</v>
      </c>
      <c r="BD15" s="27">
        <f t="shared" si="228"/>
        <v>538.15738399565168</v>
      </c>
      <c r="BE15" s="27">
        <f t="shared" si="228"/>
        <v>539.95124194230391</v>
      </c>
      <c r="BF15" s="27">
        <f t="shared" si="228"/>
        <v>541.75107941544502</v>
      </c>
      <c r="BG15" s="27">
        <f t="shared" si="228"/>
        <v>543.55691634682978</v>
      </c>
      <c r="BH15" s="27">
        <f t="shared" si="228"/>
        <v>545.36877273465257</v>
      </c>
      <c r="BI15" s="27">
        <f t="shared" si="228"/>
        <v>547.18666864376814</v>
      </c>
      <c r="BJ15" s="27">
        <f t="shared" si="228"/>
        <v>549.01062420591404</v>
      </c>
      <c r="BK15" s="27">
        <f t="shared" si="228"/>
        <v>550.84065961993383</v>
      </c>
      <c r="BL15" s="27">
        <f t="shared" si="228"/>
        <v>552.6767951520003</v>
      </c>
      <c r="BM15" s="27">
        <f t="shared" si="228"/>
        <v>554.51905113584041</v>
      </c>
      <c r="BN15" s="27">
        <f t="shared" si="228"/>
        <v>556.36744797295989</v>
      </c>
      <c r="BO15" s="27">
        <f t="shared" si="228"/>
        <v>558.22200613286986</v>
      </c>
      <c r="BP15" s="27">
        <f t="shared" si="228"/>
        <v>560.08274615331277</v>
      </c>
      <c r="BQ15" s="27">
        <f t="shared" si="228"/>
        <v>561.94968864049054</v>
      </c>
      <c r="BR15" s="27">
        <f t="shared" ref="BR15:BY15" si="229">IF(OR(BR3&lt;Start,BR3&gt;=Finish),0,LaborCosts/12*MonthlyInflation)</f>
        <v>563.82285426929218</v>
      </c>
      <c r="BS15" s="27">
        <f t="shared" si="229"/>
        <v>565.70226378352322</v>
      </c>
      <c r="BT15" s="27">
        <f t="shared" si="229"/>
        <v>567.587937996135</v>
      </c>
      <c r="BU15" s="27">
        <f t="shared" si="229"/>
        <v>569.47989778945544</v>
      </c>
      <c r="BV15" s="27">
        <f t="shared" si="229"/>
        <v>571.3781641154203</v>
      </c>
      <c r="BW15" s="27">
        <f t="shared" si="229"/>
        <v>573.28275799580501</v>
      </c>
      <c r="BX15" s="27">
        <f t="shared" si="229"/>
        <v>575.19370052245779</v>
      </c>
      <c r="BY15" s="27">
        <f t="shared" si="229"/>
        <v>577.11101285753273</v>
      </c>
      <c r="BZ15" s="27">
        <f t="shared" ref="BZ15:DI15" si="230">IF(OR(BZ3&lt;Start,BZ3&gt;=Finish),0,LaborCosts/12*MonthlyInflation)</f>
        <v>579.03471623372457</v>
      </c>
      <c r="CA15" s="27">
        <f t="shared" si="230"/>
        <v>580.96483195450367</v>
      </c>
      <c r="CB15" s="27">
        <f t="shared" si="230"/>
        <v>582.90138139435203</v>
      </c>
      <c r="CC15" s="27">
        <f t="shared" si="230"/>
        <v>584.844385999</v>
      </c>
      <c r="CD15" s="27">
        <f t="shared" si="230"/>
        <v>586.7938672856634</v>
      </c>
      <c r="CE15" s="27">
        <f t="shared" si="230"/>
        <v>588.74984684328228</v>
      </c>
      <c r="CF15" s="27">
        <f t="shared" si="230"/>
        <v>590.71234633275992</v>
      </c>
      <c r="CG15" s="27">
        <f t="shared" si="230"/>
        <v>592.68138748720253</v>
      </c>
      <c r="CH15" s="27">
        <f t="shared" si="230"/>
        <v>594.65699211215997</v>
      </c>
      <c r="CI15" s="27">
        <f t="shared" si="230"/>
        <v>596.63918208586711</v>
      </c>
      <c r="CJ15" s="27">
        <f t="shared" si="230"/>
        <v>598.62797935948674</v>
      </c>
      <c r="CK15" s="27">
        <f t="shared" si="230"/>
        <v>600.62340595735168</v>
      </c>
      <c r="CL15" s="27">
        <f t="shared" si="230"/>
        <v>602.62548397720957</v>
      </c>
      <c r="CM15" s="27">
        <f t="shared" si="230"/>
        <v>604.63423559046691</v>
      </c>
      <c r="CN15" s="27">
        <f t="shared" si="230"/>
        <v>606.64968304243519</v>
      </c>
      <c r="CO15" s="27">
        <f t="shared" si="230"/>
        <v>608.67184865257673</v>
      </c>
      <c r="CP15" s="27">
        <f t="shared" si="230"/>
        <v>610.70075481475203</v>
      </c>
      <c r="CQ15" s="27">
        <f t="shared" si="230"/>
        <v>612.73642399746791</v>
      </c>
      <c r="CR15" s="27">
        <f t="shared" si="230"/>
        <v>614.77887874412625</v>
      </c>
      <c r="CS15" s="27">
        <f t="shared" si="230"/>
        <v>616.82814167327342</v>
      </c>
      <c r="CT15" s="27">
        <f t="shared" si="230"/>
        <v>618.884235478851</v>
      </c>
      <c r="CU15" s="27">
        <f t="shared" si="230"/>
        <v>620.94718293044718</v>
      </c>
      <c r="CV15" s="27">
        <f t="shared" si="230"/>
        <v>623.01700687354878</v>
      </c>
      <c r="CW15" s="27">
        <f t="shared" si="230"/>
        <v>625.09373022979401</v>
      </c>
      <c r="CX15" s="27">
        <f t="shared" si="230"/>
        <v>627.1773759972267</v>
      </c>
      <c r="CY15" s="27">
        <f t="shared" si="230"/>
        <v>629.26796725055078</v>
      </c>
      <c r="CZ15" s="27">
        <f t="shared" si="230"/>
        <v>631.36552714138611</v>
      </c>
      <c r="DA15" s="27">
        <f t="shared" si="230"/>
        <v>633.47007889852409</v>
      </c>
      <c r="DB15" s="27">
        <f t="shared" si="230"/>
        <v>635.58164582818574</v>
      </c>
      <c r="DC15" s="27">
        <f t="shared" si="230"/>
        <v>637.70025131427985</v>
      </c>
      <c r="DD15" s="27">
        <f t="shared" si="230"/>
        <v>639.82591881866085</v>
      </c>
      <c r="DE15" s="27">
        <f t="shared" si="230"/>
        <v>641.95867188138982</v>
      </c>
      <c r="DF15" s="27">
        <f t="shared" si="230"/>
        <v>644.09853412099437</v>
      </c>
      <c r="DG15" s="27">
        <f t="shared" si="230"/>
        <v>646.24552923473118</v>
      </c>
      <c r="DH15" s="27">
        <f t="shared" si="230"/>
        <v>648.39968099884686</v>
      </c>
      <c r="DI15" s="27">
        <f t="shared" si="230"/>
        <v>650.56101326884311</v>
      </c>
    </row>
    <row r="16" spans="2:129" outlineLevel="1" x14ac:dyDescent="0.3">
      <c r="B16" s="6" t="s">
        <v>204</v>
      </c>
      <c r="D16" s="27">
        <f t="shared" si="185"/>
        <v>25564.801932046495</v>
      </c>
      <c r="E16" s="27"/>
      <c r="F16" s="27">
        <f t="shared" ref="F16:AK16" si="231">IF(OR(F3&lt;Start,F3&gt;=Finish),0,LandRent/12*MonthlyInflation)</f>
        <v>314.75</v>
      </c>
      <c r="G16" s="27">
        <f t="shared" si="231"/>
        <v>315.79916666666668</v>
      </c>
      <c r="H16" s="27">
        <f t="shared" si="231"/>
        <v>316.85183055555564</v>
      </c>
      <c r="I16" s="27">
        <f t="shared" si="231"/>
        <v>317.90800332407423</v>
      </c>
      <c r="J16" s="27">
        <f t="shared" si="231"/>
        <v>318.96769666848786</v>
      </c>
      <c r="K16" s="27">
        <f t="shared" si="231"/>
        <v>320.03092232404947</v>
      </c>
      <c r="L16" s="27">
        <f t="shared" si="231"/>
        <v>321.09769206512971</v>
      </c>
      <c r="M16" s="27">
        <f t="shared" si="231"/>
        <v>322.16801770534681</v>
      </c>
      <c r="N16" s="27">
        <f t="shared" si="231"/>
        <v>323.24191109769799</v>
      </c>
      <c r="O16" s="27">
        <f t="shared" si="231"/>
        <v>324.31938413469032</v>
      </c>
      <c r="P16" s="27">
        <f t="shared" si="231"/>
        <v>325.40044874847263</v>
      </c>
      <c r="Q16" s="27">
        <f t="shared" si="231"/>
        <v>326.48511691096752</v>
      </c>
      <c r="R16" s="27">
        <f t="shared" si="231"/>
        <v>327.57340063400409</v>
      </c>
      <c r="S16" s="27">
        <f t="shared" si="231"/>
        <v>328.66531196945078</v>
      </c>
      <c r="T16" s="27">
        <f t="shared" si="231"/>
        <v>329.76086300934901</v>
      </c>
      <c r="U16" s="27">
        <f t="shared" si="231"/>
        <v>330.86006588604687</v>
      </c>
      <c r="V16" s="27">
        <f t="shared" si="231"/>
        <v>331.96293277233372</v>
      </c>
      <c r="W16" s="27">
        <f t="shared" si="231"/>
        <v>333.06947588157487</v>
      </c>
      <c r="X16" s="27">
        <f t="shared" si="231"/>
        <v>334.17970746784675</v>
      </c>
      <c r="Y16" s="27">
        <f t="shared" si="231"/>
        <v>335.29363982607293</v>
      </c>
      <c r="Z16" s="27">
        <f t="shared" si="231"/>
        <v>336.41128529215985</v>
      </c>
      <c r="AA16" s="27">
        <f t="shared" si="231"/>
        <v>337.53265624313377</v>
      </c>
      <c r="AB16" s="27">
        <f t="shared" si="231"/>
        <v>338.6577650972776</v>
      </c>
      <c r="AC16" s="27">
        <f t="shared" si="231"/>
        <v>339.78662431426852</v>
      </c>
      <c r="AD16" s="27">
        <f t="shared" si="231"/>
        <v>340.91924639531607</v>
      </c>
      <c r="AE16" s="27">
        <f t="shared" si="231"/>
        <v>342.05564388330049</v>
      </c>
      <c r="AF16" s="27">
        <f t="shared" si="231"/>
        <v>343.19582936291152</v>
      </c>
      <c r="AG16" s="27">
        <f t="shared" si="231"/>
        <v>344.33981546078792</v>
      </c>
      <c r="AH16" s="27">
        <f t="shared" si="231"/>
        <v>345.48761484565722</v>
      </c>
      <c r="AI16" s="27">
        <f t="shared" si="231"/>
        <v>346.63924022847613</v>
      </c>
      <c r="AJ16" s="27">
        <f t="shared" si="231"/>
        <v>347.79470436257105</v>
      </c>
      <c r="AK16" s="27">
        <f t="shared" si="231"/>
        <v>348.95402004377968</v>
      </c>
      <c r="AL16" s="27">
        <f t="shared" ref="AL16:BQ16" si="232">IF(OR(AL3&lt;Start,AL3&gt;=Finish),0,LandRent/12*MonthlyInflation)</f>
        <v>350.11720011059236</v>
      </c>
      <c r="AM16" s="27">
        <f t="shared" si="232"/>
        <v>351.28425744429438</v>
      </c>
      <c r="AN16" s="27">
        <f t="shared" si="232"/>
        <v>352.45520496910871</v>
      </c>
      <c r="AO16" s="27">
        <f t="shared" si="232"/>
        <v>353.63005565233914</v>
      </c>
      <c r="AP16" s="27">
        <f t="shared" si="232"/>
        <v>354.80882250451356</v>
      </c>
      <c r="AQ16" s="27">
        <f t="shared" si="232"/>
        <v>355.99151857952864</v>
      </c>
      <c r="AR16" s="27">
        <f t="shared" si="232"/>
        <v>357.17815697479375</v>
      </c>
      <c r="AS16" s="27">
        <f t="shared" si="232"/>
        <v>358.36875083137642</v>
      </c>
      <c r="AT16" s="27">
        <f t="shared" si="232"/>
        <v>359.56331333414772</v>
      </c>
      <c r="AU16" s="27">
        <f t="shared" si="232"/>
        <v>360.76185771192826</v>
      </c>
      <c r="AV16" s="27">
        <f t="shared" si="232"/>
        <v>361.96439723763473</v>
      </c>
      <c r="AW16" s="27">
        <f t="shared" si="232"/>
        <v>363.17094522842683</v>
      </c>
      <c r="AX16" s="27">
        <f t="shared" si="232"/>
        <v>364.38151504585494</v>
      </c>
      <c r="AY16" s="27">
        <f t="shared" si="232"/>
        <v>365.59612009600778</v>
      </c>
      <c r="AZ16" s="27">
        <f t="shared" si="232"/>
        <v>366.81477382966114</v>
      </c>
      <c r="BA16" s="27">
        <f t="shared" si="232"/>
        <v>368.03748974242671</v>
      </c>
      <c r="BB16" s="27">
        <f t="shared" si="232"/>
        <v>369.26428137490149</v>
      </c>
      <c r="BC16" s="27">
        <f t="shared" si="232"/>
        <v>370.49516231281785</v>
      </c>
      <c r="BD16" s="27">
        <f t="shared" si="232"/>
        <v>371.73014618719395</v>
      </c>
      <c r="BE16" s="27">
        <f t="shared" si="232"/>
        <v>372.96924667448462</v>
      </c>
      <c r="BF16" s="27">
        <f t="shared" si="232"/>
        <v>374.21247749673296</v>
      </c>
      <c r="BG16" s="27">
        <f t="shared" si="232"/>
        <v>375.45985242172208</v>
      </c>
      <c r="BH16" s="27">
        <f t="shared" si="232"/>
        <v>376.7113852631278</v>
      </c>
      <c r="BI16" s="27">
        <f t="shared" si="232"/>
        <v>377.96708988067161</v>
      </c>
      <c r="BJ16" s="27">
        <f t="shared" si="232"/>
        <v>379.22698018027387</v>
      </c>
      <c r="BK16" s="27">
        <f t="shared" si="232"/>
        <v>380.49107011420813</v>
      </c>
      <c r="BL16" s="27">
        <f t="shared" si="232"/>
        <v>381.75937368125551</v>
      </c>
      <c r="BM16" s="27">
        <f t="shared" si="232"/>
        <v>383.03190492685974</v>
      </c>
      <c r="BN16" s="27">
        <f t="shared" si="232"/>
        <v>384.30867794328265</v>
      </c>
      <c r="BO16" s="27">
        <f t="shared" si="232"/>
        <v>385.58970686976033</v>
      </c>
      <c r="BP16" s="27">
        <f t="shared" si="232"/>
        <v>386.87500589265954</v>
      </c>
      <c r="BQ16" s="27">
        <f t="shared" si="232"/>
        <v>388.16458924563511</v>
      </c>
      <c r="BR16" s="27">
        <f t="shared" ref="BR16:BY16" si="233">IF(OR(BR3&lt;Start,BR3&gt;=Finish),0,LandRent/12*MonthlyInflation)</f>
        <v>389.45847120978721</v>
      </c>
      <c r="BS16" s="27">
        <f t="shared" si="233"/>
        <v>390.75666611381985</v>
      </c>
      <c r="BT16" s="27">
        <f t="shared" si="233"/>
        <v>392.05918833419929</v>
      </c>
      <c r="BU16" s="27">
        <f t="shared" si="233"/>
        <v>393.3660522953133</v>
      </c>
      <c r="BV16" s="27">
        <f t="shared" si="233"/>
        <v>394.67727246963102</v>
      </c>
      <c r="BW16" s="27">
        <f t="shared" si="233"/>
        <v>395.99286337786316</v>
      </c>
      <c r="BX16" s="27">
        <f t="shared" si="233"/>
        <v>397.31283958912269</v>
      </c>
      <c r="BY16" s="27">
        <f t="shared" si="233"/>
        <v>398.63721572108648</v>
      </c>
      <c r="BZ16" s="27">
        <f t="shared" ref="BZ16:DI16" si="234">IF(OR(BZ3&lt;Start,BZ3&gt;=Finish),0,LandRent/12*MonthlyInflation)</f>
        <v>399.96600644015683</v>
      </c>
      <c r="CA16" s="27">
        <f t="shared" si="234"/>
        <v>401.29922646162402</v>
      </c>
      <c r="CB16" s="27">
        <f t="shared" si="234"/>
        <v>402.6368905498295</v>
      </c>
      <c r="CC16" s="27">
        <f t="shared" si="234"/>
        <v>403.979013518329</v>
      </c>
      <c r="CD16" s="27">
        <f t="shared" si="234"/>
        <v>405.32561023005678</v>
      </c>
      <c r="CE16" s="27">
        <f t="shared" si="234"/>
        <v>406.67669559749032</v>
      </c>
      <c r="CF16" s="27">
        <f t="shared" si="234"/>
        <v>408.03228458281535</v>
      </c>
      <c r="CG16" s="27">
        <f t="shared" si="234"/>
        <v>409.39239219809144</v>
      </c>
      <c r="CH16" s="27">
        <f t="shared" si="234"/>
        <v>410.75703350541841</v>
      </c>
      <c r="CI16" s="27">
        <f t="shared" si="234"/>
        <v>412.12622361710316</v>
      </c>
      <c r="CJ16" s="27">
        <f t="shared" si="234"/>
        <v>413.49997769582683</v>
      </c>
      <c r="CK16" s="27">
        <f t="shared" si="234"/>
        <v>414.87831095481295</v>
      </c>
      <c r="CL16" s="27">
        <f t="shared" si="234"/>
        <v>416.26123865799565</v>
      </c>
      <c r="CM16" s="27">
        <f t="shared" si="234"/>
        <v>417.64877612018904</v>
      </c>
      <c r="CN16" s="27">
        <f t="shared" si="234"/>
        <v>419.04093870725637</v>
      </c>
      <c r="CO16" s="27">
        <f t="shared" si="234"/>
        <v>420.43774183628062</v>
      </c>
      <c r="CP16" s="27">
        <f t="shared" si="234"/>
        <v>421.83920097573491</v>
      </c>
      <c r="CQ16" s="27">
        <f t="shared" si="234"/>
        <v>423.24533164565406</v>
      </c>
      <c r="CR16" s="27">
        <f t="shared" si="234"/>
        <v>424.65614941780626</v>
      </c>
      <c r="CS16" s="27">
        <f t="shared" si="234"/>
        <v>426.07166991586564</v>
      </c>
      <c r="CT16" s="27">
        <f t="shared" si="234"/>
        <v>427.49190881558525</v>
      </c>
      <c r="CU16" s="27">
        <f t="shared" si="234"/>
        <v>428.91688184497059</v>
      </c>
      <c r="CV16" s="27">
        <f t="shared" si="234"/>
        <v>430.3466047844538</v>
      </c>
      <c r="CW16" s="27">
        <f t="shared" si="234"/>
        <v>431.78109346706873</v>
      </c>
      <c r="CX16" s="27">
        <f t="shared" si="234"/>
        <v>433.22036377862565</v>
      </c>
      <c r="CY16" s="27">
        <f t="shared" si="234"/>
        <v>434.6644316578878</v>
      </c>
      <c r="CZ16" s="27">
        <f t="shared" si="234"/>
        <v>436.11331309674745</v>
      </c>
      <c r="DA16" s="27">
        <f t="shared" si="234"/>
        <v>437.5670241404033</v>
      </c>
      <c r="DB16" s="27">
        <f t="shared" si="234"/>
        <v>439.02558088753796</v>
      </c>
      <c r="DC16" s="27">
        <f t="shared" si="234"/>
        <v>440.4889994904965</v>
      </c>
      <c r="DD16" s="27">
        <f t="shared" si="234"/>
        <v>441.95729615546486</v>
      </c>
      <c r="DE16" s="27">
        <f t="shared" si="234"/>
        <v>443.43048714264978</v>
      </c>
      <c r="DF16" s="27">
        <f t="shared" si="234"/>
        <v>444.90858876645865</v>
      </c>
      <c r="DG16" s="27">
        <f t="shared" si="234"/>
        <v>446.39161739568021</v>
      </c>
      <c r="DH16" s="27">
        <f t="shared" si="234"/>
        <v>447.8795894536658</v>
      </c>
      <c r="DI16" s="27">
        <f t="shared" si="234"/>
        <v>449.37252141851144</v>
      </c>
    </row>
    <row r="17" spans="2:113" outlineLevel="1" x14ac:dyDescent="0.3">
      <c r="B17" s="6" t="s">
        <v>64</v>
      </c>
      <c r="C17" s="14" t="s">
        <v>48</v>
      </c>
      <c r="D17" s="27">
        <f t="shared" si="185"/>
        <v>18132.937351324497</v>
      </c>
      <c r="E17" s="27"/>
      <c r="F17" s="27">
        <f t="shared" ref="F17:AK17" si="235">IF(OR(F3&lt;Start,F3&gt;=Finish),0,SecurityCosts/12*MonthlyInflation)</f>
        <v>223.25</v>
      </c>
      <c r="G17" s="27">
        <f t="shared" si="235"/>
        <v>223.99416666666667</v>
      </c>
      <c r="H17" s="27">
        <f t="shared" si="235"/>
        <v>224.74081388888894</v>
      </c>
      <c r="I17" s="27">
        <f t="shared" si="235"/>
        <v>225.48994993518528</v>
      </c>
      <c r="J17" s="27">
        <f t="shared" si="235"/>
        <v>226.24158310163594</v>
      </c>
      <c r="K17" s="27">
        <f t="shared" si="235"/>
        <v>226.99572171197474</v>
      </c>
      <c r="L17" s="27">
        <f t="shared" si="235"/>
        <v>227.75237411768134</v>
      </c>
      <c r="M17" s="27">
        <f t="shared" si="235"/>
        <v>228.51154869807363</v>
      </c>
      <c r="N17" s="27">
        <f t="shared" si="235"/>
        <v>229.27325386040056</v>
      </c>
      <c r="O17" s="27">
        <f t="shared" si="235"/>
        <v>230.03749803993523</v>
      </c>
      <c r="P17" s="27">
        <f t="shared" si="235"/>
        <v>230.80428970006835</v>
      </c>
      <c r="Q17" s="27">
        <f t="shared" si="235"/>
        <v>231.57363733240192</v>
      </c>
      <c r="R17" s="27">
        <f t="shared" si="235"/>
        <v>232.34554945684326</v>
      </c>
      <c r="S17" s="27">
        <f t="shared" si="235"/>
        <v>233.1200346216994</v>
      </c>
      <c r="T17" s="27">
        <f t="shared" si="235"/>
        <v>233.89710140377179</v>
      </c>
      <c r="U17" s="27">
        <f t="shared" si="235"/>
        <v>234.67675840845104</v>
      </c>
      <c r="V17" s="27">
        <f t="shared" si="235"/>
        <v>235.45901426981254</v>
      </c>
      <c r="W17" s="27">
        <f t="shared" si="235"/>
        <v>236.24387765071197</v>
      </c>
      <c r="X17" s="27">
        <f t="shared" si="235"/>
        <v>237.031357242881</v>
      </c>
      <c r="Y17" s="27">
        <f t="shared" si="235"/>
        <v>237.82146176702392</v>
      </c>
      <c r="Z17" s="27">
        <f t="shared" si="235"/>
        <v>238.61419997291404</v>
      </c>
      <c r="AA17" s="27">
        <f t="shared" si="235"/>
        <v>239.40958063949043</v>
      </c>
      <c r="AB17" s="27">
        <f t="shared" si="235"/>
        <v>240.20761257495542</v>
      </c>
      <c r="AC17" s="27">
        <f t="shared" si="235"/>
        <v>241.00830461687195</v>
      </c>
      <c r="AD17" s="27">
        <f t="shared" si="235"/>
        <v>241.81166563226154</v>
      </c>
      <c r="AE17" s="27">
        <f t="shared" si="235"/>
        <v>242.61770451770241</v>
      </c>
      <c r="AF17" s="27">
        <f t="shared" si="235"/>
        <v>243.4264301994281</v>
      </c>
      <c r="AG17" s="27">
        <f t="shared" si="235"/>
        <v>244.2378516334262</v>
      </c>
      <c r="AH17" s="27">
        <f t="shared" si="235"/>
        <v>245.05197780553766</v>
      </c>
      <c r="AI17" s="27">
        <f t="shared" si="235"/>
        <v>245.86881773155613</v>
      </c>
      <c r="AJ17" s="27">
        <f t="shared" si="235"/>
        <v>246.68838045732801</v>
      </c>
      <c r="AK17" s="27">
        <f t="shared" si="235"/>
        <v>247.51067505885248</v>
      </c>
      <c r="AL17" s="27">
        <f t="shared" ref="AL17:BQ17" si="236">IF(OR(AL3&lt;Start,AL3&gt;=Finish),0,SecurityCosts/12*MonthlyInflation)</f>
        <v>248.33571064238203</v>
      </c>
      <c r="AM17" s="27">
        <f t="shared" si="236"/>
        <v>249.16349634452334</v>
      </c>
      <c r="AN17" s="27">
        <f t="shared" si="236"/>
        <v>249.99404133233844</v>
      </c>
      <c r="AO17" s="27">
        <f t="shared" si="236"/>
        <v>250.82735480344624</v>
      </c>
      <c r="AP17" s="27">
        <f t="shared" si="236"/>
        <v>251.6634459861244</v>
      </c>
      <c r="AQ17" s="27">
        <f t="shared" si="236"/>
        <v>252.50232413941151</v>
      </c>
      <c r="AR17" s="27">
        <f t="shared" si="236"/>
        <v>253.34399855320956</v>
      </c>
      <c r="AS17" s="27">
        <f t="shared" si="236"/>
        <v>254.18847854838694</v>
      </c>
      <c r="AT17" s="27">
        <f t="shared" si="236"/>
        <v>255.03577347688156</v>
      </c>
      <c r="AU17" s="27">
        <f t="shared" si="236"/>
        <v>255.88589272180454</v>
      </c>
      <c r="AV17" s="27">
        <f t="shared" si="236"/>
        <v>256.73884569754392</v>
      </c>
      <c r="AW17" s="27">
        <f t="shared" si="236"/>
        <v>257.59464184986905</v>
      </c>
      <c r="AX17" s="27">
        <f t="shared" si="236"/>
        <v>258.45329065603534</v>
      </c>
      <c r="AY17" s="27">
        <f t="shared" si="236"/>
        <v>259.31480162488879</v>
      </c>
      <c r="AZ17" s="27">
        <f t="shared" si="236"/>
        <v>260.17918429697175</v>
      </c>
      <c r="BA17" s="27">
        <f t="shared" si="236"/>
        <v>261.04644824462832</v>
      </c>
      <c r="BB17" s="27">
        <f t="shared" si="236"/>
        <v>261.91660307211043</v>
      </c>
      <c r="BC17" s="27">
        <f t="shared" si="236"/>
        <v>262.78965841568413</v>
      </c>
      <c r="BD17" s="27">
        <f t="shared" si="236"/>
        <v>263.66562394373642</v>
      </c>
      <c r="BE17" s="27">
        <f t="shared" si="236"/>
        <v>264.54450935688226</v>
      </c>
      <c r="BF17" s="27">
        <f t="shared" si="236"/>
        <v>265.42632438807186</v>
      </c>
      <c r="BG17" s="27">
        <f t="shared" si="236"/>
        <v>266.31107880269883</v>
      </c>
      <c r="BH17" s="27">
        <f t="shared" si="236"/>
        <v>267.19878239870781</v>
      </c>
      <c r="BI17" s="27">
        <f t="shared" si="236"/>
        <v>268.08944500670356</v>
      </c>
      <c r="BJ17" s="27">
        <f t="shared" si="236"/>
        <v>268.9830764900592</v>
      </c>
      <c r="BK17" s="27">
        <f t="shared" si="236"/>
        <v>269.87968674502611</v>
      </c>
      <c r="BL17" s="27">
        <f t="shared" si="236"/>
        <v>270.77928570084288</v>
      </c>
      <c r="BM17" s="27">
        <f t="shared" si="236"/>
        <v>271.68188331984572</v>
      </c>
      <c r="BN17" s="27">
        <f t="shared" si="236"/>
        <v>272.58748959757855</v>
      </c>
      <c r="BO17" s="27">
        <f t="shared" si="236"/>
        <v>273.49611456290387</v>
      </c>
      <c r="BP17" s="27">
        <f t="shared" si="236"/>
        <v>274.40776827811356</v>
      </c>
      <c r="BQ17" s="27">
        <f t="shared" si="236"/>
        <v>275.32246083904062</v>
      </c>
      <c r="BR17" s="27">
        <f t="shared" ref="BR17:BY17" si="237">IF(OR(BR3&lt;Start,BR3&gt;=Finish),0,SecurityCosts/12*MonthlyInflation)</f>
        <v>276.24020237517078</v>
      </c>
      <c r="BS17" s="27">
        <f t="shared" si="237"/>
        <v>277.1610030497547</v>
      </c>
      <c r="BT17" s="27">
        <f t="shared" si="237"/>
        <v>278.08487305992054</v>
      </c>
      <c r="BU17" s="27">
        <f t="shared" si="237"/>
        <v>279.01182263678697</v>
      </c>
      <c r="BV17" s="27">
        <f t="shared" si="237"/>
        <v>279.94186204557627</v>
      </c>
      <c r="BW17" s="27">
        <f t="shared" si="237"/>
        <v>280.87500158572817</v>
      </c>
      <c r="BX17" s="27">
        <f t="shared" si="237"/>
        <v>281.81125159101396</v>
      </c>
      <c r="BY17" s="27">
        <f t="shared" si="237"/>
        <v>282.75062242965072</v>
      </c>
      <c r="BZ17" s="27">
        <f t="shared" ref="BZ17:DI17" si="238">IF(OR(BZ3&lt;Start,BZ3&gt;=Finish),0,SecurityCosts/12*MonthlyInflation)</f>
        <v>283.69312450441623</v>
      </c>
      <c r="CA17" s="27">
        <f t="shared" si="238"/>
        <v>284.63876825276429</v>
      </c>
      <c r="CB17" s="27">
        <f t="shared" si="238"/>
        <v>285.58756414694022</v>
      </c>
      <c r="CC17" s="27">
        <f t="shared" si="238"/>
        <v>286.53952269409672</v>
      </c>
      <c r="CD17" s="27">
        <f t="shared" si="238"/>
        <v>287.49465443641043</v>
      </c>
      <c r="CE17" s="27">
        <f t="shared" si="238"/>
        <v>288.45296995119844</v>
      </c>
      <c r="CF17" s="27">
        <f t="shared" si="238"/>
        <v>289.41447985103582</v>
      </c>
      <c r="CG17" s="27">
        <f t="shared" si="238"/>
        <v>290.37919478387266</v>
      </c>
      <c r="CH17" s="27">
        <f t="shared" si="238"/>
        <v>291.34712543315226</v>
      </c>
      <c r="CI17" s="27">
        <f t="shared" si="238"/>
        <v>292.31828251792939</v>
      </c>
      <c r="CJ17" s="27">
        <f t="shared" si="238"/>
        <v>293.2926767929892</v>
      </c>
      <c r="CK17" s="27">
        <f t="shared" si="238"/>
        <v>294.2703190489658</v>
      </c>
      <c r="CL17" s="27">
        <f t="shared" si="238"/>
        <v>295.25122011246236</v>
      </c>
      <c r="CM17" s="27">
        <f t="shared" si="238"/>
        <v>296.23539084617062</v>
      </c>
      <c r="CN17" s="27">
        <f t="shared" si="238"/>
        <v>297.22284214899122</v>
      </c>
      <c r="CO17" s="27">
        <f t="shared" si="238"/>
        <v>298.21358495615453</v>
      </c>
      <c r="CP17" s="27">
        <f t="shared" si="238"/>
        <v>299.20763023934177</v>
      </c>
      <c r="CQ17" s="27">
        <f t="shared" si="238"/>
        <v>300.20498900680627</v>
      </c>
      <c r="CR17" s="27">
        <f t="shared" si="238"/>
        <v>301.20567230349559</v>
      </c>
      <c r="CS17" s="27">
        <f t="shared" si="238"/>
        <v>302.20969121117395</v>
      </c>
      <c r="CT17" s="27">
        <f t="shared" si="238"/>
        <v>303.21705684854459</v>
      </c>
      <c r="CU17" s="27">
        <f t="shared" si="238"/>
        <v>304.22778037137306</v>
      </c>
      <c r="CV17" s="27">
        <f t="shared" si="238"/>
        <v>305.24187297261102</v>
      </c>
      <c r="CW17" s="27">
        <f t="shared" si="238"/>
        <v>306.25934588251977</v>
      </c>
      <c r="CX17" s="27">
        <f t="shared" si="238"/>
        <v>307.28021036879483</v>
      </c>
      <c r="CY17" s="27">
        <f t="shared" si="238"/>
        <v>308.30447773669084</v>
      </c>
      <c r="CZ17" s="27">
        <f t="shared" si="238"/>
        <v>309.33215932914652</v>
      </c>
      <c r="DA17" s="27">
        <f t="shared" si="238"/>
        <v>310.36326652691037</v>
      </c>
      <c r="DB17" s="27">
        <f t="shared" si="238"/>
        <v>311.39781074866676</v>
      </c>
      <c r="DC17" s="27">
        <f t="shared" si="238"/>
        <v>312.43580345116231</v>
      </c>
      <c r="DD17" s="27">
        <f t="shared" si="238"/>
        <v>313.47725612933289</v>
      </c>
      <c r="DE17" s="27">
        <f t="shared" si="238"/>
        <v>314.52218031643071</v>
      </c>
      <c r="DF17" s="27">
        <f t="shared" si="238"/>
        <v>315.57058758415212</v>
      </c>
      <c r="DG17" s="27">
        <f t="shared" si="238"/>
        <v>316.622489542766</v>
      </c>
      <c r="DH17" s="27">
        <f t="shared" si="238"/>
        <v>317.67789784124193</v>
      </c>
      <c r="DI17" s="27">
        <f t="shared" si="238"/>
        <v>318.73682416737944</v>
      </c>
    </row>
    <row r="18" spans="2:113" outlineLevel="1" x14ac:dyDescent="0.3">
      <c r="B18" s="6" t="s">
        <v>65</v>
      </c>
      <c r="C18" s="14" t="s">
        <v>48</v>
      </c>
      <c r="D18" s="27">
        <f t="shared" si="185"/>
        <v>2186.2406735639447</v>
      </c>
      <c r="E18" s="27"/>
      <c r="F18" s="27">
        <f t="shared" ref="F18:AK18" si="239">IF(OR(F3&lt;Start,F3&gt;=Finish),0,WaterSupplyCosts/12*MonthlyInflation)</f>
        <v>26.916666666666668</v>
      </c>
      <c r="G18" s="27">
        <f t="shared" si="239"/>
        <v>27.006388888888893</v>
      </c>
      <c r="H18" s="27">
        <f t="shared" si="239"/>
        <v>27.096410185185192</v>
      </c>
      <c r="I18" s="27">
        <f t="shared" si="239"/>
        <v>27.186731552469148</v>
      </c>
      <c r="J18" s="27">
        <f t="shared" si="239"/>
        <v>27.277353990977382</v>
      </c>
      <c r="K18" s="27">
        <f t="shared" si="239"/>
        <v>27.368278504280642</v>
      </c>
      <c r="L18" s="27">
        <f t="shared" si="239"/>
        <v>27.459506099294916</v>
      </c>
      <c r="M18" s="27">
        <f t="shared" si="239"/>
        <v>27.551037786292564</v>
      </c>
      <c r="N18" s="27">
        <f t="shared" si="239"/>
        <v>27.642874578913545</v>
      </c>
      <c r="O18" s="27">
        <f t="shared" si="239"/>
        <v>27.735017494176589</v>
      </c>
      <c r="P18" s="27">
        <f t="shared" si="239"/>
        <v>27.827467552490511</v>
      </c>
      <c r="Q18" s="27">
        <f t="shared" si="239"/>
        <v>27.920225777665479</v>
      </c>
      <c r="R18" s="27">
        <f t="shared" si="239"/>
        <v>28.013293196924366</v>
      </c>
      <c r="S18" s="27">
        <f t="shared" si="239"/>
        <v>28.106670840914116</v>
      </c>
      <c r="T18" s="27">
        <f t="shared" si="239"/>
        <v>28.200359743717168</v>
      </c>
      <c r="U18" s="27">
        <f t="shared" si="239"/>
        <v>28.294360942862891</v>
      </c>
      <c r="V18" s="27">
        <f t="shared" si="239"/>
        <v>28.388675479339103</v>
      </c>
      <c r="W18" s="27">
        <f t="shared" si="239"/>
        <v>28.483304397603572</v>
      </c>
      <c r="X18" s="27">
        <f t="shared" si="239"/>
        <v>28.57824874559558</v>
      </c>
      <c r="Y18" s="27">
        <f t="shared" si="239"/>
        <v>28.673509574747566</v>
      </c>
      <c r="Z18" s="27">
        <f t="shared" si="239"/>
        <v>28.769087939996727</v>
      </c>
      <c r="AA18" s="27">
        <f t="shared" si="239"/>
        <v>28.86498489979672</v>
      </c>
      <c r="AB18" s="27">
        <f t="shared" si="239"/>
        <v>28.961201516129378</v>
      </c>
      <c r="AC18" s="27">
        <f t="shared" si="239"/>
        <v>29.057738854516479</v>
      </c>
      <c r="AD18" s="27">
        <f t="shared" si="239"/>
        <v>29.154597984031533</v>
      </c>
      <c r="AE18" s="27">
        <f t="shared" si="239"/>
        <v>29.251779977311639</v>
      </c>
      <c r="AF18" s="27">
        <f t="shared" si="239"/>
        <v>29.349285910569346</v>
      </c>
      <c r="AG18" s="27">
        <f t="shared" si="239"/>
        <v>29.447116863604577</v>
      </c>
      <c r="AH18" s="27">
        <f t="shared" si="239"/>
        <v>29.545273919816598</v>
      </c>
      <c r="AI18" s="27">
        <f t="shared" si="239"/>
        <v>29.643758166215989</v>
      </c>
      <c r="AJ18" s="27">
        <f t="shared" si="239"/>
        <v>29.742570693436711</v>
      </c>
      <c r="AK18" s="27">
        <f t="shared" si="239"/>
        <v>29.841712595748174</v>
      </c>
      <c r="AL18" s="27">
        <f t="shared" ref="AL18:BQ18" si="240">IF(OR(AL3&lt;Start,AL3&gt;=Finish),0,WaterSupplyCosts/12*MonthlyInflation)</f>
        <v>29.941184971067337</v>
      </c>
      <c r="AM18" s="27">
        <f t="shared" si="240"/>
        <v>30.0409889209709</v>
      </c>
      <c r="AN18" s="27">
        <f t="shared" si="240"/>
        <v>30.141125550707471</v>
      </c>
      <c r="AO18" s="27">
        <f t="shared" si="240"/>
        <v>30.241595969209833</v>
      </c>
      <c r="AP18" s="27">
        <f t="shared" si="240"/>
        <v>30.342401289107197</v>
      </c>
      <c r="AQ18" s="27">
        <f t="shared" si="240"/>
        <v>30.44354262673756</v>
      </c>
      <c r="AR18" s="27">
        <f t="shared" si="240"/>
        <v>30.545021102160018</v>
      </c>
      <c r="AS18" s="27">
        <f t="shared" si="240"/>
        <v>30.646837839167219</v>
      </c>
      <c r="AT18" s="27">
        <f t="shared" si="240"/>
        <v>30.748993965297778</v>
      </c>
      <c r="AU18" s="27">
        <f t="shared" si="240"/>
        <v>30.851490611848778</v>
      </c>
      <c r="AV18" s="27">
        <f t="shared" si="240"/>
        <v>30.954328913888276</v>
      </c>
      <c r="AW18" s="27">
        <f t="shared" si="240"/>
        <v>31.057510010267904</v>
      </c>
      <c r="AX18" s="27">
        <f t="shared" si="240"/>
        <v>31.161035043635465</v>
      </c>
      <c r="AY18" s="27">
        <f t="shared" si="240"/>
        <v>31.264905160447583</v>
      </c>
      <c r="AZ18" s="27">
        <f t="shared" si="240"/>
        <v>31.36912151098241</v>
      </c>
      <c r="BA18" s="27">
        <f t="shared" si="240"/>
        <v>31.473685249352354</v>
      </c>
      <c r="BB18" s="27">
        <f t="shared" si="240"/>
        <v>31.578597533516859</v>
      </c>
      <c r="BC18" s="27">
        <f t="shared" si="240"/>
        <v>31.683859525295254</v>
      </c>
      <c r="BD18" s="27">
        <f t="shared" si="240"/>
        <v>31.789472390379572</v>
      </c>
      <c r="BE18" s="27">
        <f t="shared" si="240"/>
        <v>31.895437298347506</v>
      </c>
      <c r="BF18" s="27">
        <f t="shared" si="240"/>
        <v>32.001755422675338</v>
      </c>
      <c r="BG18" s="27">
        <f t="shared" si="240"/>
        <v>32.108427940750921</v>
      </c>
      <c r="BH18" s="27">
        <f t="shared" si="240"/>
        <v>32.21545603388676</v>
      </c>
      <c r="BI18" s="27">
        <f t="shared" si="240"/>
        <v>32.322840887333051</v>
      </c>
      <c r="BJ18" s="27">
        <f t="shared" si="240"/>
        <v>32.430583690290831</v>
      </c>
      <c r="BK18" s="27">
        <f t="shared" si="240"/>
        <v>32.538685635925134</v>
      </c>
      <c r="BL18" s="27">
        <f t="shared" si="240"/>
        <v>32.64714792137822</v>
      </c>
      <c r="BM18" s="27">
        <f t="shared" si="240"/>
        <v>32.755971747782816</v>
      </c>
      <c r="BN18" s="27">
        <f t="shared" si="240"/>
        <v>32.865158320275434</v>
      </c>
      <c r="BO18" s="27">
        <f t="shared" si="240"/>
        <v>32.974708848009691</v>
      </c>
      <c r="BP18" s="27">
        <f t="shared" si="240"/>
        <v>33.084624544169721</v>
      </c>
      <c r="BQ18" s="27">
        <f t="shared" si="240"/>
        <v>33.19490662598362</v>
      </c>
      <c r="BR18" s="27">
        <f t="shared" ref="BR18:BY18" si="241">IF(OR(BR3&lt;Start,BR3&gt;=Finish),0,WaterSupplyCosts/12*MonthlyInflation)</f>
        <v>33.305556314736904</v>
      </c>
      <c r="BS18" s="27">
        <f t="shared" si="241"/>
        <v>33.416574835786029</v>
      </c>
      <c r="BT18" s="27">
        <f t="shared" si="241"/>
        <v>33.527963418571979</v>
      </c>
      <c r="BU18" s="27">
        <f t="shared" si="241"/>
        <v>33.639723296633889</v>
      </c>
      <c r="BV18" s="27">
        <f t="shared" si="241"/>
        <v>33.751855707622674</v>
      </c>
      <c r="BW18" s="27">
        <f t="shared" si="241"/>
        <v>33.864361893314744</v>
      </c>
      <c r="BX18" s="27">
        <f t="shared" si="241"/>
        <v>33.977243099625795</v>
      </c>
      <c r="BY18" s="27">
        <f t="shared" si="241"/>
        <v>34.090500576624557</v>
      </c>
      <c r="BZ18" s="27">
        <f t="shared" ref="BZ18:DI18" si="242">IF(OR(BZ3&lt;Start,BZ3&gt;=Finish),0,WaterSupplyCosts/12*MonthlyInflation)</f>
        <v>34.204135578546641</v>
      </c>
      <c r="CA18" s="27">
        <f t="shared" si="242"/>
        <v>34.318149363808466</v>
      </c>
      <c r="CB18" s="27">
        <f t="shared" si="242"/>
        <v>34.432543195021161</v>
      </c>
      <c r="CC18" s="27">
        <f t="shared" si="242"/>
        <v>34.547318339004569</v>
      </c>
      <c r="CD18" s="27">
        <f t="shared" si="242"/>
        <v>34.662476066801261</v>
      </c>
      <c r="CE18" s="27">
        <f t="shared" si="242"/>
        <v>34.778017653690597</v>
      </c>
      <c r="CF18" s="27">
        <f t="shared" si="242"/>
        <v>34.8939443792029</v>
      </c>
      <c r="CG18" s="27">
        <f t="shared" si="242"/>
        <v>35.010257527133582</v>
      </c>
      <c r="CH18" s="27">
        <f t="shared" si="242"/>
        <v>35.126958385557366</v>
      </c>
      <c r="CI18" s="27">
        <f t="shared" si="242"/>
        <v>35.244048246842553</v>
      </c>
      <c r="CJ18" s="27">
        <f t="shared" si="242"/>
        <v>35.361528407665361</v>
      </c>
      <c r="CK18" s="27">
        <f t="shared" si="242"/>
        <v>35.479400169024252</v>
      </c>
      <c r="CL18" s="27">
        <f t="shared" si="242"/>
        <v>35.597664836254332</v>
      </c>
      <c r="CM18" s="27">
        <f t="shared" si="242"/>
        <v>35.716323719041846</v>
      </c>
      <c r="CN18" s="27">
        <f t="shared" si="242"/>
        <v>35.835378131438659</v>
      </c>
      <c r="CO18" s="27">
        <f t="shared" si="242"/>
        <v>35.954829391876792</v>
      </c>
      <c r="CP18" s="27">
        <f t="shared" si="242"/>
        <v>36.074678823183049</v>
      </c>
      <c r="CQ18" s="27">
        <f t="shared" si="242"/>
        <v>36.194927752593664</v>
      </c>
      <c r="CR18" s="27">
        <f t="shared" si="242"/>
        <v>36.315577511768979</v>
      </c>
      <c r="CS18" s="27">
        <f t="shared" si="242"/>
        <v>36.436629436808211</v>
      </c>
      <c r="CT18" s="27">
        <f t="shared" si="242"/>
        <v>36.558084868264245</v>
      </c>
      <c r="CU18" s="27">
        <f t="shared" si="242"/>
        <v>36.679945151158456</v>
      </c>
      <c r="CV18" s="27">
        <f t="shared" si="242"/>
        <v>36.802211634995658</v>
      </c>
      <c r="CW18" s="27">
        <f t="shared" si="242"/>
        <v>36.924885673778981</v>
      </c>
      <c r="CX18" s="27">
        <f t="shared" si="242"/>
        <v>37.047968626024911</v>
      </c>
      <c r="CY18" s="27">
        <f t="shared" si="242"/>
        <v>37.171461854778329</v>
      </c>
      <c r="CZ18" s="27">
        <f t="shared" si="242"/>
        <v>37.295366727627595</v>
      </c>
      <c r="DA18" s="27">
        <f t="shared" si="242"/>
        <v>37.419684616719692</v>
      </c>
      <c r="DB18" s="27">
        <f t="shared" si="242"/>
        <v>37.544416898775424</v>
      </c>
      <c r="DC18" s="27">
        <f t="shared" si="242"/>
        <v>37.669564955104683</v>
      </c>
      <c r="DD18" s="27">
        <f t="shared" si="242"/>
        <v>37.7951301716217</v>
      </c>
      <c r="DE18" s="27">
        <f t="shared" si="242"/>
        <v>37.921113938860444</v>
      </c>
      <c r="DF18" s="27">
        <f t="shared" si="242"/>
        <v>38.047517651989978</v>
      </c>
      <c r="DG18" s="27">
        <f t="shared" si="242"/>
        <v>38.174342710829947</v>
      </c>
      <c r="DH18" s="27">
        <f t="shared" si="242"/>
        <v>38.301590519866046</v>
      </c>
      <c r="DI18" s="27">
        <f t="shared" si="242"/>
        <v>38.429262488265607</v>
      </c>
    </row>
    <row r="19" spans="2:113" outlineLevel="1" x14ac:dyDescent="0.3">
      <c r="B19" s="6" t="s">
        <v>66</v>
      </c>
      <c r="C19" s="14" t="s">
        <v>48</v>
      </c>
      <c r="D19" s="27">
        <f t="shared" si="185"/>
        <v>250.43623814819182</v>
      </c>
      <c r="E19" s="27"/>
      <c r="F19" s="27">
        <f t="shared" ref="F19:AK19" si="243">IF(OR(F3&lt;Start,F3&gt;=Finish),0,TelecommunicationCosts/12*MonthlyInflation)</f>
        <v>3.0833333333333335</v>
      </c>
      <c r="G19" s="27">
        <f t="shared" si="243"/>
        <v>3.0936111111111115</v>
      </c>
      <c r="H19" s="27">
        <f t="shared" si="243"/>
        <v>3.1039231481481488</v>
      </c>
      <c r="I19" s="27">
        <f t="shared" si="243"/>
        <v>3.1142695586419769</v>
      </c>
      <c r="J19" s="27">
        <f t="shared" si="243"/>
        <v>3.1246504571707838</v>
      </c>
      <c r="K19" s="27">
        <f t="shared" si="243"/>
        <v>3.1350659586946867</v>
      </c>
      <c r="L19" s="27">
        <f t="shared" si="243"/>
        <v>3.1455161785570027</v>
      </c>
      <c r="M19" s="27">
        <f t="shared" si="243"/>
        <v>3.1560012324855262</v>
      </c>
      <c r="N19" s="27">
        <f t="shared" si="243"/>
        <v>3.1665212365938116</v>
      </c>
      <c r="O19" s="27">
        <f t="shared" si="243"/>
        <v>3.1770763073824577</v>
      </c>
      <c r="P19" s="27">
        <f t="shared" si="243"/>
        <v>3.1876665617403992</v>
      </c>
      <c r="Q19" s="27">
        <f t="shared" si="243"/>
        <v>3.1982921169462006</v>
      </c>
      <c r="R19" s="27">
        <f t="shared" si="243"/>
        <v>3.2089530906693544</v>
      </c>
      <c r="S19" s="27">
        <f t="shared" si="243"/>
        <v>3.2196496009715858</v>
      </c>
      <c r="T19" s="27">
        <f t="shared" si="243"/>
        <v>3.2303817663081587</v>
      </c>
      <c r="U19" s="27">
        <f t="shared" si="243"/>
        <v>3.2411497055291858</v>
      </c>
      <c r="V19" s="27">
        <f t="shared" si="243"/>
        <v>3.2519535378809499</v>
      </c>
      <c r="W19" s="27">
        <f t="shared" si="243"/>
        <v>3.26279338300722</v>
      </c>
      <c r="X19" s="27">
        <f t="shared" si="243"/>
        <v>3.2736693609505774</v>
      </c>
      <c r="Y19" s="27">
        <f t="shared" si="243"/>
        <v>3.2845815921537462</v>
      </c>
      <c r="Z19" s="27">
        <f t="shared" si="243"/>
        <v>3.2955301974609257</v>
      </c>
      <c r="AA19" s="27">
        <f t="shared" si="243"/>
        <v>3.306515298119129</v>
      </c>
      <c r="AB19" s="27">
        <f t="shared" si="243"/>
        <v>3.3175370157795263</v>
      </c>
      <c r="AC19" s="27">
        <f t="shared" si="243"/>
        <v>3.3285954724987916</v>
      </c>
      <c r="AD19" s="27">
        <f t="shared" si="243"/>
        <v>3.3396907907404545</v>
      </c>
      <c r="AE19" s="27">
        <f t="shared" si="243"/>
        <v>3.3508230933762562</v>
      </c>
      <c r="AF19" s="27">
        <f t="shared" si="243"/>
        <v>3.3619925036875102</v>
      </c>
      <c r="AG19" s="27">
        <f t="shared" si="243"/>
        <v>3.3731991453664687</v>
      </c>
      <c r="AH19" s="27">
        <f t="shared" si="243"/>
        <v>3.3844431425176906</v>
      </c>
      <c r="AI19" s="27">
        <f t="shared" si="243"/>
        <v>3.3957246196594166</v>
      </c>
      <c r="AJ19" s="27">
        <f t="shared" si="243"/>
        <v>3.4070437017249486</v>
      </c>
      <c r="AK19" s="27">
        <f t="shared" si="243"/>
        <v>3.4184005140640323</v>
      </c>
      <c r="AL19" s="27">
        <f t="shared" ref="AL19:BQ19" si="244">IF(OR(AL3&lt;Start,AL3&gt;=Finish),0,TelecommunicationCosts/12*MonthlyInflation)</f>
        <v>3.4297951824442463</v>
      </c>
      <c r="AM19" s="27">
        <f t="shared" si="244"/>
        <v>3.4412278330523942</v>
      </c>
      <c r="AN19" s="27">
        <f t="shared" si="244"/>
        <v>3.4526985924959024</v>
      </c>
      <c r="AO19" s="27">
        <f t="shared" si="244"/>
        <v>3.4642075878042222</v>
      </c>
      <c r="AP19" s="27">
        <f t="shared" si="244"/>
        <v>3.4757549464302362</v>
      </c>
      <c r="AQ19" s="27">
        <f t="shared" si="244"/>
        <v>3.4873407962516709</v>
      </c>
      <c r="AR19" s="27">
        <f t="shared" si="244"/>
        <v>3.4989652655725099</v>
      </c>
      <c r="AS19" s="27">
        <f t="shared" si="244"/>
        <v>3.5106284831244183</v>
      </c>
      <c r="AT19" s="27">
        <f t="shared" si="244"/>
        <v>3.5223305780681669</v>
      </c>
      <c r="AU19" s="27">
        <f t="shared" si="244"/>
        <v>3.5340716799950611</v>
      </c>
      <c r="AV19" s="27">
        <f t="shared" si="244"/>
        <v>3.5458519189283781</v>
      </c>
      <c r="AW19" s="27">
        <f t="shared" si="244"/>
        <v>3.5576714253248061</v>
      </c>
      <c r="AX19" s="27">
        <f t="shared" si="244"/>
        <v>3.5695303300758892</v>
      </c>
      <c r="AY19" s="27">
        <f t="shared" si="244"/>
        <v>3.5814287645094756</v>
      </c>
      <c r="AZ19" s="27">
        <f t="shared" si="244"/>
        <v>3.5933668603911739</v>
      </c>
      <c r="BA19" s="27">
        <f t="shared" si="244"/>
        <v>3.6053447499258113</v>
      </c>
      <c r="BB19" s="27">
        <f t="shared" si="244"/>
        <v>3.6173625657588975</v>
      </c>
      <c r="BC19" s="27">
        <f t="shared" si="244"/>
        <v>3.6294204409780941</v>
      </c>
      <c r="BD19" s="27">
        <f t="shared" si="244"/>
        <v>3.6415185091146878</v>
      </c>
      <c r="BE19" s="27">
        <f t="shared" si="244"/>
        <v>3.6536569041450702</v>
      </c>
      <c r="BF19" s="27">
        <f t="shared" si="244"/>
        <v>3.6658357604922212</v>
      </c>
      <c r="BG19" s="27">
        <f t="shared" si="244"/>
        <v>3.6780552130271955</v>
      </c>
      <c r="BH19" s="27">
        <f t="shared" si="244"/>
        <v>3.6903153970706195</v>
      </c>
      <c r="BI19" s="27">
        <f t="shared" si="244"/>
        <v>3.7026164483941884</v>
      </c>
      <c r="BJ19" s="27">
        <f t="shared" si="244"/>
        <v>3.714958503222169</v>
      </c>
      <c r="BK19" s="27">
        <f t="shared" si="244"/>
        <v>3.7273416982329097</v>
      </c>
      <c r="BL19" s="27">
        <f t="shared" si="244"/>
        <v>3.7397661705603533</v>
      </c>
      <c r="BM19" s="27">
        <f t="shared" si="244"/>
        <v>3.7522320577955548</v>
      </c>
      <c r="BN19" s="27">
        <f t="shared" si="244"/>
        <v>3.7647394979882072</v>
      </c>
      <c r="BO19" s="27">
        <f t="shared" si="244"/>
        <v>3.7772886296481687</v>
      </c>
      <c r="BP19" s="27">
        <f t="shared" si="244"/>
        <v>3.7898795917469958</v>
      </c>
      <c r="BQ19" s="27">
        <f t="shared" si="244"/>
        <v>3.8025125237194861</v>
      </c>
      <c r="BR19" s="27">
        <f t="shared" ref="BR19:BY19" si="245">IF(OR(BR3&lt;Start,BR3&gt;=Finish),0,TelecommunicationCosts/12*MonthlyInflation)</f>
        <v>3.8151875654652181</v>
      </c>
      <c r="BS19" s="27">
        <f t="shared" si="245"/>
        <v>3.8279048573501022</v>
      </c>
      <c r="BT19" s="27">
        <f t="shared" si="245"/>
        <v>3.840664540207936</v>
      </c>
      <c r="BU19" s="27">
        <f t="shared" si="245"/>
        <v>3.8534667553419628</v>
      </c>
      <c r="BV19" s="27">
        <f t="shared" si="245"/>
        <v>3.8663116445264358</v>
      </c>
      <c r="BW19" s="27">
        <f t="shared" si="245"/>
        <v>3.8791993500081907</v>
      </c>
      <c r="BX19" s="27">
        <f t="shared" si="245"/>
        <v>3.8921300145082185</v>
      </c>
      <c r="BY19" s="27">
        <f t="shared" si="245"/>
        <v>3.9051037812232461</v>
      </c>
      <c r="BZ19" s="27">
        <f t="shared" ref="BZ19:DI19" si="246">IF(OR(BZ3&lt;Start,BZ3&gt;=Finish),0,TelecommunicationCosts/12*MonthlyInflation)</f>
        <v>3.9181207938273239</v>
      </c>
      <c r="CA19" s="27">
        <f t="shared" si="246"/>
        <v>3.9311811964734154</v>
      </c>
      <c r="CB19" s="27">
        <f t="shared" si="246"/>
        <v>3.944285133794994</v>
      </c>
      <c r="CC19" s="27">
        <f t="shared" si="246"/>
        <v>3.9574327509076443</v>
      </c>
      <c r="CD19" s="27">
        <f t="shared" si="246"/>
        <v>3.9706241934106705</v>
      </c>
      <c r="CE19" s="27">
        <f t="shared" si="246"/>
        <v>3.9838596073887063</v>
      </c>
      <c r="CF19" s="27">
        <f t="shared" si="246"/>
        <v>3.9971391394133358</v>
      </c>
      <c r="CG19" s="27">
        <f t="shared" si="246"/>
        <v>4.0104629365447142</v>
      </c>
      <c r="CH19" s="27">
        <f t="shared" si="246"/>
        <v>4.0238311463331966</v>
      </c>
      <c r="CI19" s="27">
        <f t="shared" si="246"/>
        <v>4.0372439168209739</v>
      </c>
      <c r="CJ19" s="27">
        <f t="shared" si="246"/>
        <v>4.05070139654371</v>
      </c>
      <c r="CK19" s="27">
        <f t="shared" si="246"/>
        <v>4.0642037345321897</v>
      </c>
      <c r="CL19" s="27">
        <f t="shared" si="246"/>
        <v>4.0777510803139636</v>
      </c>
      <c r="CM19" s="27">
        <f t="shared" si="246"/>
        <v>4.0913435839150107</v>
      </c>
      <c r="CN19" s="27">
        <f t="shared" si="246"/>
        <v>4.1049813958613939</v>
      </c>
      <c r="CO19" s="27">
        <f t="shared" si="246"/>
        <v>4.1186646671809326</v>
      </c>
      <c r="CP19" s="27">
        <f t="shared" si="246"/>
        <v>4.1323935494048696</v>
      </c>
      <c r="CQ19" s="27">
        <f t="shared" si="246"/>
        <v>4.1461681945695528</v>
      </c>
      <c r="CR19" s="27">
        <f t="shared" si="246"/>
        <v>4.1599887552181185</v>
      </c>
      <c r="CS19" s="27">
        <f t="shared" si="246"/>
        <v>4.1738553844021791</v>
      </c>
      <c r="CT19" s="27">
        <f t="shared" si="246"/>
        <v>4.18776823568352</v>
      </c>
      <c r="CU19" s="27">
        <f t="shared" si="246"/>
        <v>4.201727463135799</v>
      </c>
      <c r="CV19" s="27">
        <f t="shared" si="246"/>
        <v>4.2157332213462517</v>
      </c>
      <c r="CW19" s="27">
        <f t="shared" si="246"/>
        <v>4.2297856654174062</v>
      </c>
      <c r="CX19" s="27">
        <f t="shared" si="246"/>
        <v>4.2438849509687984</v>
      </c>
      <c r="CY19" s="27">
        <f t="shared" si="246"/>
        <v>4.2580312341386941</v>
      </c>
      <c r="CZ19" s="27">
        <f t="shared" si="246"/>
        <v>4.2722246715858239</v>
      </c>
      <c r="DA19" s="27">
        <f t="shared" si="246"/>
        <v>4.2864654204911101</v>
      </c>
      <c r="DB19" s="27">
        <f t="shared" si="246"/>
        <v>4.3007536385594136</v>
      </c>
      <c r="DC19" s="27">
        <f t="shared" si="246"/>
        <v>4.3150894840212795</v>
      </c>
      <c r="DD19" s="27">
        <f t="shared" si="246"/>
        <v>4.3294731156346842</v>
      </c>
      <c r="DE19" s="27">
        <f t="shared" si="246"/>
        <v>4.3439046926867997</v>
      </c>
      <c r="DF19" s="27">
        <f t="shared" si="246"/>
        <v>4.3583843749957563</v>
      </c>
      <c r="DG19" s="27">
        <f t="shared" si="246"/>
        <v>4.3729123229124092</v>
      </c>
      <c r="DH19" s="27">
        <f t="shared" si="246"/>
        <v>4.3874886973221168</v>
      </c>
      <c r="DI19" s="27">
        <f t="shared" si="246"/>
        <v>4.4021136596465249</v>
      </c>
    </row>
    <row r="20" spans="2:113" outlineLevel="1" x14ac:dyDescent="0.3">
      <c r="B20" s="6" t="s">
        <v>67</v>
      </c>
      <c r="D20" s="27">
        <f t="shared" si="185"/>
        <v>2673.5760559063719</v>
      </c>
      <c r="E20" s="27"/>
      <c r="F20" s="27">
        <f t="shared" ref="F20:AK20" si="247">IF(OR(F3&lt;Start,F3&gt;=Finish),0,InsurancePremiums/12*MonthlyInflation)</f>
        <v>32.916666666666664</v>
      </c>
      <c r="G20" s="27">
        <f t="shared" si="247"/>
        <v>33.026388888888889</v>
      </c>
      <c r="H20" s="27">
        <f t="shared" si="247"/>
        <v>33.13647685185186</v>
      </c>
      <c r="I20" s="27">
        <f t="shared" si="247"/>
        <v>33.246931774691369</v>
      </c>
      <c r="J20" s="27">
        <f t="shared" si="247"/>
        <v>33.357754880607011</v>
      </c>
      <c r="K20" s="27">
        <f t="shared" si="247"/>
        <v>33.468947396875706</v>
      </c>
      <c r="L20" s="27">
        <f t="shared" si="247"/>
        <v>33.580510554865292</v>
      </c>
      <c r="M20" s="27">
        <f t="shared" si="247"/>
        <v>33.69244559004818</v>
      </c>
      <c r="N20" s="27">
        <f t="shared" si="247"/>
        <v>33.804753742015009</v>
      </c>
      <c r="O20" s="27">
        <f t="shared" si="247"/>
        <v>33.917436254488393</v>
      </c>
      <c r="P20" s="27">
        <f t="shared" si="247"/>
        <v>34.030494375336687</v>
      </c>
      <c r="Q20" s="27">
        <f t="shared" si="247"/>
        <v>34.143929356587812</v>
      </c>
      <c r="R20" s="27">
        <f t="shared" si="247"/>
        <v>34.257742454443104</v>
      </c>
      <c r="S20" s="27">
        <f t="shared" si="247"/>
        <v>34.37193492929125</v>
      </c>
      <c r="T20" s="27">
        <f t="shared" si="247"/>
        <v>34.486508045722225</v>
      </c>
      <c r="U20" s="27">
        <f t="shared" si="247"/>
        <v>34.6014630725413</v>
      </c>
      <c r="V20" s="27">
        <f t="shared" si="247"/>
        <v>34.716801282783109</v>
      </c>
      <c r="W20" s="27">
        <f t="shared" si="247"/>
        <v>34.832523953725726</v>
      </c>
      <c r="X20" s="27">
        <f t="shared" si="247"/>
        <v>34.94863236690481</v>
      </c>
      <c r="Y20" s="27">
        <f t="shared" si="247"/>
        <v>35.065127808127826</v>
      </c>
      <c r="Z20" s="27">
        <f t="shared" si="247"/>
        <v>35.182011567488253</v>
      </c>
      <c r="AA20" s="27">
        <f t="shared" si="247"/>
        <v>35.299284939379888</v>
      </c>
      <c r="AB20" s="27">
        <f t="shared" si="247"/>
        <v>35.416949222511157</v>
      </c>
      <c r="AC20" s="27">
        <f t="shared" si="247"/>
        <v>35.535005719919532</v>
      </c>
      <c r="AD20" s="27">
        <f t="shared" si="247"/>
        <v>35.653455738985926</v>
      </c>
      <c r="AE20" s="27">
        <f t="shared" si="247"/>
        <v>35.772300591449216</v>
      </c>
      <c r="AF20" s="27">
        <f t="shared" si="247"/>
        <v>35.891541593420719</v>
      </c>
      <c r="AG20" s="27">
        <f t="shared" si="247"/>
        <v>36.011180065398783</v>
      </c>
      <c r="AH20" s="27">
        <f t="shared" si="247"/>
        <v>36.131217332283448</v>
      </c>
      <c r="AI20" s="27">
        <f t="shared" si="247"/>
        <v>36.251654723391063</v>
      </c>
      <c r="AJ20" s="27">
        <f t="shared" si="247"/>
        <v>36.37249357246904</v>
      </c>
      <c r="AK20" s="27">
        <f t="shared" si="247"/>
        <v>36.493735217710608</v>
      </c>
      <c r="AL20" s="27">
        <f t="shared" ref="AL20:BQ20" si="248">IF(OR(AL3&lt;Start,AL3&gt;=Finish),0,InsurancePremiums/12*MonthlyInflation)</f>
        <v>36.615381001769649</v>
      </c>
      <c r="AM20" s="27">
        <f t="shared" si="248"/>
        <v>36.737432271775553</v>
      </c>
      <c r="AN20" s="27">
        <f t="shared" si="248"/>
        <v>36.859890379348144</v>
      </c>
      <c r="AO20" s="27">
        <f t="shared" si="248"/>
        <v>36.982756680612638</v>
      </c>
      <c r="AP20" s="27">
        <f t="shared" si="248"/>
        <v>37.106032536214684</v>
      </c>
      <c r="AQ20" s="27">
        <f t="shared" si="248"/>
        <v>37.229719311335401</v>
      </c>
      <c r="AR20" s="27">
        <f t="shared" si="248"/>
        <v>37.353818375706517</v>
      </c>
      <c r="AS20" s="27">
        <f t="shared" si="248"/>
        <v>37.478331103625543</v>
      </c>
      <c r="AT20" s="27">
        <f t="shared" si="248"/>
        <v>37.603258873970965</v>
      </c>
      <c r="AU20" s="27">
        <f t="shared" si="248"/>
        <v>37.728603070217538</v>
      </c>
      <c r="AV20" s="27">
        <f t="shared" si="248"/>
        <v>37.854365080451601</v>
      </c>
      <c r="AW20" s="27">
        <f t="shared" si="248"/>
        <v>37.980546297386439</v>
      </c>
      <c r="AX20" s="27">
        <f t="shared" si="248"/>
        <v>38.107148118377729</v>
      </c>
      <c r="AY20" s="27">
        <f t="shared" si="248"/>
        <v>38.234171945438995</v>
      </c>
      <c r="AZ20" s="27">
        <f t="shared" si="248"/>
        <v>38.361619185257119</v>
      </c>
      <c r="BA20" s="27">
        <f t="shared" si="248"/>
        <v>38.48949124920798</v>
      </c>
      <c r="BB20" s="27">
        <f t="shared" si="248"/>
        <v>38.617789553372006</v>
      </c>
      <c r="BC20" s="27">
        <f t="shared" si="248"/>
        <v>38.74651551854992</v>
      </c>
      <c r="BD20" s="27">
        <f t="shared" si="248"/>
        <v>38.875670570278423</v>
      </c>
      <c r="BE20" s="27">
        <f t="shared" si="248"/>
        <v>39.005256138846015</v>
      </c>
      <c r="BF20" s="27">
        <f t="shared" si="248"/>
        <v>39.135273659308844</v>
      </c>
      <c r="BG20" s="27">
        <f t="shared" si="248"/>
        <v>39.265724571506539</v>
      </c>
      <c r="BH20" s="27">
        <f t="shared" si="248"/>
        <v>39.396610320078231</v>
      </c>
      <c r="BI20" s="27">
        <f t="shared" si="248"/>
        <v>39.527932354478494</v>
      </c>
      <c r="BJ20" s="27">
        <f t="shared" si="248"/>
        <v>39.65969212899342</v>
      </c>
      <c r="BK20" s="27">
        <f t="shared" si="248"/>
        <v>39.791891102756736</v>
      </c>
      <c r="BL20" s="27">
        <f t="shared" si="248"/>
        <v>39.924530739765927</v>
      </c>
      <c r="BM20" s="27">
        <f t="shared" si="248"/>
        <v>40.057612508898487</v>
      </c>
      <c r="BN20" s="27">
        <f t="shared" si="248"/>
        <v>40.191137883928157</v>
      </c>
      <c r="BO20" s="27">
        <f t="shared" si="248"/>
        <v>40.325108343541253</v>
      </c>
      <c r="BP20" s="27">
        <f t="shared" si="248"/>
        <v>40.45952537135306</v>
      </c>
      <c r="BQ20" s="27">
        <f t="shared" si="248"/>
        <v>40.594390455924241</v>
      </c>
      <c r="BR20" s="27">
        <f t="shared" ref="BR20:BY20" si="249">IF(OR(BR3&lt;Start,BR3&gt;=Finish),0,InsurancePremiums/12*MonthlyInflation)</f>
        <v>40.729705090777323</v>
      </c>
      <c r="BS20" s="27">
        <f t="shared" si="249"/>
        <v>40.865470774413247</v>
      </c>
      <c r="BT20" s="27">
        <f t="shared" si="249"/>
        <v>41.001689010327958</v>
      </c>
      <c r="BU20" s="27">
        <f t="shared" si="249"/>
        <v>41.138361307029058</v>
      </c>
      <c r="BV20" s="27">
        <f t="shared" si="249"/>
        <v>41.275489178052489</v>
      </c>
      <c r="BW20" s="27">
        <f t="shared" si="249"/>
        <v>41.41307414197933</v>
      </c>
      <c r="BX20" s="27">
        <f t="shared" si="249"/>
        <v>41.551117722452595</v>
      </c>
      <c r="BY20" s="27">
        <f t="shared" si="249"/>
        <v>41.68962144819411</v>
      </c>
      <c r="BZ20" s="27">
        <f t="shared" ref="BZ20:DI20" si="250">IF(OR(BZ3&lt;Start,BZ3&gt;=Finish),0,InsurancePremiums/12*MonthlyInflation)</f>
        <v>41.828586853021427</v>
      </c>
      <c r="CA20" s="27">
        <f t="shared" si="250"/>
        <v>41.968015475864838</v>
      </c>
      <c r="CB20" s="27">
        <f t="shared" si="250"/>
        <v>42.107908860784391</v>
      </c>
      <c r="CC20" s="27">
        <f t="shared" si="250"/>
        <v>42.248268556987007</v>
      </c>
      <c r="CD20" s="27">
        <f t="shared" si="250"/>
        <v>42.389096118843639</v>
      </c>
      <c r="CE20" s="27">
        <f t="shared" si="250"/>
        <v>42.530393105906448</v>
      </c>
      <c r="CF20" s="27">
        <f t="shared" si="250"/>
        <v>42.672161082926145</v>
      </c>
      <c r="CG20" s="27">
        <f t="shared" si="250"/>
        <v>42.814401619869237</v>
      </c>
      <c r="CH20" s="27">
        <f t="shared" si="250"/>
        <v>42.957116291935471</v>
      </c>
      <c r="CI20" s="27">
        <f t="shared" si="250"/>
        <v>43.100306679575255</v>
      </c>
      <c r="CJ20" s="27">
        <f t="shared" si="250"/>
        <v>43.243974368507175</v>
      </c>
      <c r="CK20" s="27">
        <f t="shared" si="250"/>
        <v>43.38812094973553</v>
      </c>
      <c r="CL20" s="27">
        <f t="shared" si="250"/>
        <v>43.532748019567983</v>
      </c>
      <c r="CM20" s="27">
        <f t="shared" si="250"/>
        <v>43.677857179633214</v>
      </c>
      <c r="CN20" s="27">
        <f t="shared" si="250"/>
        <v>43.823450036898663</v>
      </c>
      <c r="CO20" s="27">
        <f t="shared" si="250"/>
        <v>43.969528203688327</v>
      </c>
      <c r="CP20" s="27">
        <f t="shared" si="250"/>
        <v>44.11609329770063</v>
      </c>
      <c r="CQ20" s="27">
        <f t="shared" si="250"/>
        <v>44.263146942026303</v>
      </c>
      <c r="CR20" s="27">
        <f t="shared" si="250"/>
        <v>44.410690765166393</v>
      </c>
      <c r="CS20" s="27">
        <f t="shared" si="250"/>
        <v>44.558726401050286</v>
      </c>
      <c r="CT20" s="27">
        <f t="shared" si="250"/>
        <v>44.707255489053786</v>
      </c>
      <c r="CU20" s="27">
        <f t="shared" si="250"/>
        <v>44.856279674017301</v>
      </c>
      <c r="CV20" s="27">
        <f t="shared" si="250"/>
        <v>45.005800606264032</v>
      </c>
      <c r="CW20" s="27">
        <f t="shared" si="250"/>
        <v>45.155819941618255</v>
      </c>
      <c r="CX20" s="27">
        <f t="shared" si="250"/>
        <v>45.306339341423651</v>
      </c>
      <c r="CY20" s="27">
        <f t="shared" si="250"/>
        <v>45.457360472561732</v>
      </c>
      <c r="CZ20" s="27">
        <f t="shared" si="250"/>
        <v>45.608885007470278</v>
      </c>
      <c r="DA20" s="27">
        <f t="shared" si="250"/>
        <v>45.760914624161842</v>
      </c>
      <c r="DB20" s="27">
        <f t="shared" si="250"/>
        <v>45.913451006242383</v>
      </c>
      <c r="DC20" s="27">
        <f t="shared" si="250"/>
        <v>46.066495842929868</v>
      </c>
      <c r="DD20" s="27">
        <f t="shared" si="250"/>
        <v>46.220050829072967</v>
      </c>
      <c r="DE20" s="27">
        <f t="shared" si="250"/>
        <v>46.374117665169884</v>
      </c>
      <c r="DF20" s="27">
        <f t="shared" si="250"/>
        <v>46.528698057387118</v>
      </c>
      <c r="DG20" s="27">
        <f t="shared" si="250"/>
        <v>46.683793717578411</v>
      </c>
      <c r="DH20" s="27">
        <f t="shared" si="250"/>
        <v>46.839406363303674</v>
      </c>
      <c r="DI20" s="27">
        <f t="shared" si="250"/>
        <v>46.99553771784803</v>
      </c>
    </row>
    <row r="21" spans="2:113" outlineLevel="1" x14ac:dyDescent="0.3">
      <c r="B21" s="6" t="s">
        <v>68</v>
      </c>
      <c r="C21" s="14" t="s">
        <v>48</v>
      </c>
      <c r="D21" s="27">
        <f t="shared" si="185"/>
        <v>1265.7182846949152</v>
      </c>
      <c r="E21" s="27"/>
      <c r="F21" s="27">
        <f t="shared" ref="F21:AK21" si="251">IF(OR(F3&lt;Start,F3&gt;=Finish),0,AdministrativeExpences/12*MonthlyInflation)</f>
        <v>15.583333333333334</v>
      </c>
      <c r="G21" s="27">
        <f t="shared" si="251"/>
        <v>15.63527777777778</v>
      </c>
      <c r="H21" s="27">
        <f t="shared" si="251"/>
        <v>15.687395370370375</v>
      </c>
      <c r="I21" s="27">
        <f t="shared" si="251"/>
        <v>15.739686688271611</v>
      </c>
      <c r="J21" s="27">
        <f t="shared" si="251"/>
        <v>15.792152310565854</v>
      </c>
      <c r="K21" s="27">
        <f t="shared" si="251"/>
        <v>15.84479281826774</v>
      </c>
      <c r="L21" s="27">
        <f t="shared" si="251"/>
        <v>15.897608794328635</v>
      </c>
      <c r="M21" s="27">
        <f t="shared" si="251"/>
        <v>15.950600823643065</v>
      </c>
      <c r="N21" s="27">
        <f t="shared" si="251"/>
        <v>16.003769493055209</v>
      </c>
      <c r="O21" s="27">
        <f t="shared" si="251"/>
        <v>16.057115391365393</v>
      </c>
      <c r="P21" s="27">
        <f t="shared" si="251"/>
        <v>16.11063910933661</v>
      </c>
      <c r="Q21" s="27">
        <f t="shared" si="251"/>
        <v>16.164341239701066</v>
      </c>
      <c r="R21" s="27">
        <f t="shared" si="251"/>
        <v>16.218222377166736</v>
      </c>
      <c r="S21" s="27">
        <f t="shared" si="251"/>
        <v>16.27228311842396</v>
      </c>
      <c r="T21" s="27">
        <f t="shared" si="251"/>
        <v>16.326524062152043</v>
      </c>
      <c r="U21" s="27">
        <f t="shared" si="251"/>
        <v>16.380945809025885</v>
      </c>
      <c r="V21" s="27">
        <f t="shared" si="251"/>
        <v>16.435548961722638</v>
      </c>
      <c r="W21" s="27">
        <f t="shared" si="251"/>
        <v>16.490334124928381</v>
      </c>
      <c r="X21" s="27">
        <f t="shared" si="251"/>
        <v>16.545301905344811</v>
      </c>
      <c r="Y21" s="27">
        <f t="shared" si="251"/>
        <v>16.60045291169596</v>
      </c>
      <c r="Z21" s="27">
        <f t="shared" si="251"/>
        <v>16.655787754734948</v>
      </c>
      <c r="AA21" s="27">
        <f t="shared" si="251"/>
        <v>16.711307047250731</v>
      </c>
      <c r="AB21" s="27">
        <f t="shared" si="251"/>
        <v>16.767011404074903</v>
      </c>
      <c r="AC21" s="27">
        <f t="shared" si="251"/>
        <v>16.822901442088487</v>
      </c>
      <c r="AD21" s="27">
        <f t="shared" si="251"/>
        <v>16.878977780228784</v>
      </c>
      <c r="AE21" s="27">
        <f t="shared" si="251"/>
        <v>16.935241039496212</v>
      </c>
      <c r="AF21" s="27">
        <f t="shared" si="251"/>
        <v>16.991691842961202</v>
      </c>
      <c r="AG21" s="27">
        <f t="shared" si="251"/>
        <v>17.048330815771074</v>
      </c>
      <c r="AH21" s="27">
        <f t="shared" si="251"/>
        <v>17.105158585156978</v>
      </c>
      <c r="AI21" s="27">
        <f t="shared" si="251"/>
        <v>17.162175780440833</v>
      </c>
      <c r="AJ21" s="27">
        <f t="shared" si="251"/>
        <v>17.219383033042305</v>
      </c>
      <c r="AK21" s="27">
        <f t="shared" si="251"/>
        <v>17.276780976485785</v>
      </c>
      <c r="AL21" s="27">
        <f t="shared" ref="AL21:BQ21" si="252">IF(OR(AL3&lt;Start,AL3&gt;=Finish),0,AdministrativeExpences/12*MonthlyInflation)</f>
        <v>17.334370246407406</v>
      </c>
      <c r="AM21" s="27">
        <f t="shared" si="252"/>
        <v>17.392151480562099</v>
      </c>
      <c r="AN21" s="27">
        <f t="shared" si="252"/>
        <v>17.45012531883064</v>
      </c>
      <c r="AO21" s="27">
        <f t="shared" si="252"/>
        <v>17.508292403226744</v>
      </c>
      <c r="AP21" s="27">
        <f t="shared" si="252"/>
        <v>17.566653377904167</v>
      </c>
      <c r="AQ21" s="27">
        <f t="shared" si="252"/>
        <v>17.625208889163851</v>
      </c>
      <c r="AR21" s="27">
        <f t="shared" si="252"/>
        <v>17.683959585461064</v>
      </c>
      <c r="AS21" s="27">
        <f t="shared" si="252"/>
        <v>17.742906117412602</v>
      </c>
      <c r="AT21" s="27">
        <f t="shared" si="252"/>
        <v>17.802049137803976</v>
      </c>
      <c r="AU21" s="27">
        <f t="shared" si="252"/>
        <v>17.86138930159666</v>
      </c>
      <c r="AV21" s="27">
        <f t="shared" si="252"/>
        <v>17.920927265935315</v>
      </c>
      <c r="AW21" s="27">
        <f t="shared" si="252"/>
        <v>17.980663690155101</v>
      </c>
      <c r="AX21" s="27">
        <f t="shared" si="252"/>
        <v>18.040599235788953</v>
      </c>
      <c r="AY21" s="27">
        <f t="shared" si="252"/>
        <v>18.100734566574918</v>
      </c>
      <c r="AZ21" s="27">
        <f t="shared" si="252"/>
        <v>18.1610703484635</v>
      </c>
      <c r="BA21" s="27">
        <f t="shared" si="252"/>
        <v>18.221607249625045</v>
      </c>
      <c r="BB21" s="27">
        <f t="shared" si="252"/>
        <v>18.28234594045713</v>
      </c>
      <c r="BC21" s="27">
        <f t="shared" si="252"/>
        <v>18.343287093591989</v>
      </c>
      <c r="BD21" s="27">
        <f t="shared" si="252"/>
        <v>18.404431383903962</v>
      </c>
      <c r="BE21" s="27">
        <f t="shared" si="252"/>
        <v>18.465779488516976</v>
      </c>
      <c r="BF21" s="27">
        <f t="shared" si="252"/>
        <v>18.527332086812038</v>
      </c>
      <c r="BG21" s="27">
        <f t="shared" si="252"/>
        <v>18.589089860434743</v>
      </c>
      <c r="BH21" s="27">
        <f t="shared" si="252"/>
        <v>18.651053493302861</v>
      </c>
      <c r="BI21" s="27">
        <f t="shared" si="252"/>
        <v>18.713223671613871</v>
      </c>
      <c r="BJ21" s="27">
        <f t="shared" si="252"/>
        <v>18.775601083852585</v>
      </c>
      <c r="BK21" s="27">
        <f t="shared" si="252"/>
        <v>18.83818642079876</v>
      </c>
      <c r="BL21" s="27">
        <f t="shared" si="252"/>
        <v>18.900980375534758</v>
      </c>
      <c r="BM21" s="27">
        <f t="shared" si="252"/>
        <v>18.963983643453208</v>
      </c>
      <c r="BN21" s="27">
        <f t="shared" si="252"/>
        <v>19.027196922264725</v>
      </c>
      <c r="BO21" s="27">
        <f t="shared" si="252"/>
        <v>19.090620912005608</v>
      </c>
      <c r="BP21" s="27">
        <f t="shared" si="252"/>
        <v>19.154256315045629</v>
      </c>
      <c r="BQ21" s="27">
        <f t="shared" si="252"/>
        <v>19.218103836095782</v>
      </c>
      <c r="BR21" s="27">
        <f t="shared" ref="BR21:BY21" si="253">IF(OR(BR3&lt;Start,BR3&gt;=Finish),0,AdministrativeExpences/12*MonthlyInflation)</f>
        <v>19.2821641822161</v>
      </c>
      <c r="BS21" s="27">
        <f t="shared" si="253"/>
        <v>19.346438062823488</v>
      </c>
      <c r="BT21" s="27">
        <f t="shared" si="253"/>
        <v>19.41092618969957</v>
      </c>
      <c r="BU21" s="27">
        <f t="shared" si="253"/>
        <v>19.475629276998568</v>
      </c>
      <c r="BV21" s="27">
        <f t="shared" si="253"/>
        <v>19.540548041255231</v>
      </c>
      <c r="BW21" s="27">
        <f t="shared" si="253"/>
        <v>19.605683201392747</v>
      </c>
      <c r="BX21" s="27">
        <f t="shared" si="253"/>
        <v>19.671035478730726</v>
      </c>
      <c r="BY21" s="27">
        <f t="shared" si="253"/>
        <v>19.736605596993162</v>
      </c>
      <c r="BZ21" s="27">
        <f t="shared" ref="BZ21:DI21" si="254">IF(OR(BZ3&lt;Start,BZ3&gt;=Finish),0,AdministrativeExpences/12*MonthlyInflation)</f>
        <v>19.802394282316474</v>
      </c>
      <c r="CA21" s="27">
        <f t="shared" si="254"/>
        <v>19.868402263257533</v>
      </c>
      <c r="CB21" s="27">
        <f t="shared" si="254"/>
        <v>19.934630270801726</v>
      </c>
      <c r="CC21" s="27">
        <f t="shared" si="254"/>
        <v>20.001079038371067</v>
      </c>
      <c r="CD21" s="27">
        <f t="shared" si="254"/>
        <v>20.067749301832308</v>
      </c>
      <c r="CE21" s="27">
        <f t="shared" si="254"/>
        <v>20.134641799505083</v>
      </c>
      <c r="CF21" s="27">
        <f t="shared" si="254"/>
        <v>20.201757272170102</v>
      </c>
      <c r="CG21" s="27">
        <f t="shared" si="254"/>
        <v>20.269096463077339</v>
      </c>
      <c r="CH21" s="27">
        <f t="shared" si="254"/>
        <v>20.336660117954263</v>
      </c>
      <c r="CI21" s="27">
        <f t="shared" si="254"/>
        <v>20.40444898501411</v>
      </c>
      <c r="CJ21" s="27">
        <f t="shared" si="254"/>
        <v>20.472463814964158</v>
      </c>
      <c r="CK21" s="27">
        <f t="shared" si="254"/>
        <v>20.540705361014037</v>
      </c>
      <c r="CL21" s="27">
        <f t="shared" si="254"/>
        <v>20.609174378884088</v>
      </c>
      <c r="CM21" s="27">
        <f t="shared" si="254"/>
        <v>20.677871626813701</v>
      </c>
      <c r="CN21" s="27">
        <f t="shared" si="254"/>
        <v>20.74679786556975</v>
      </c>
      <c r="CO21" s="27">
        <f t="shared" si="254"/>
        <v>20.815953858454986</v>
      </c>
      <c r="CP21" s="27">
        <f t="shared" si="254"/>
        <v>20.885340371316502</v>
      </c>
      <c r="CQ21" s="27">
        <f t="shared" si="254"/>
        <v>20.954958172554225</v>
      </c>
      <c r="CR21" s="27">
        <f t="shared" si="254"/>
        <v>21.024808033129407</v>
      </c>
      <c r="CS21" s="27">
        <f t="shared" si="254"/>
        <v>21.094890726573176</v>
      </c>
      <c r="CT21" s="27">
        <f t="shared" si="254"/>
        <v>21.165207028995088</v>
      </c>
      <c r="CU21" s="27">
        <f t="shared" si="254"/>
        <v>21.23575771909174</v>
      </c>
      <c r="CV21" s="27">
        <f t="shared" si="254"/>
        <v>21.306543578155381</v>
      </c>
      <c r="CW21" s="27">
        <f t="shared" si="254"/>
        <v>21.377565390082566</v>
      </c>
      <c r="CX21" s="27">
        <f t="shared" si="254"/>
        <v>21.448823941382845</v>
      </c>
      <c r="CY21" s="27">
        <f t="shared" si="254"/>
        <v>21.520320021187455</v>
      </c>
      <c r="CZ21" s="27">
        <f t="shared" si="254"/>
        <v>21.592054421258084</v>
      </c>
      <c r="DA21" s="27">
        <f t="shared" si="254"/>
        <v>21.664027935995609</v>
      </c>
      <c r="DB21" s="27">
        <f t="shared" si="254"/>
        <v>21.736241362448929</v>
      </c>
      <c r="DC21" s="27">
        <f t="shared" si="254"/>
        <v>21.808695500323761</v>
      </c>
      <c r="DD21" s="27">
        <f t="shared" si="254"/>
        <v>21.881391151991512</v>
      </c>
      <c r="DE21" s="27">
        <f t="shared" si="254"/>
        <v>21.954329122498152</v>
      </c>
      <c r="DF21" s="27">
        <f t="shared" si="254"/>
        <v>22.027510219573145</v>
      </c>
      <c r="DG21" s="27">
        <f t="shared" si="254"/>
        <v>22.10093525363839</v>
      </c>
      <c r="DH21" s="27">
        <f t="shared" si="254"/>
        <v>22.174605037817187</v>
      </c>
      <c r="DI21" s="27">
        <f t="shared" si="254"/>
        <v>22.248520387943245</v>
      </c>
    </row>
    <row r="22" spans="2:113" outlineLevel="1" x14ac:dyDescent="0.3">
      <c r="B22" s="6" t="s">
        <v>69</v>
      </c>
      <c r="C22" s="14" t="s">
        <v>48</v>
      </c>
      <c r="D22" s="27">
        <f t="shared" si="185"/>
        <v>277.51042605610445</v>
      </c>
      <c r="E22" s="27"/>
      <c r="F22" s="27">
        <f t="shared" ref="F22:AK22" si="255">IF(OR(F3&lt;Start,F3&gt;=Finish),0,OfficeSuppliesExpences/12*MonthlyInflation)</f>
        <v>3.4166666666666665</v>
      </c>
      <c r="G22" s="27">
        <f t="shared" si="255"/>
        <v>3.4280555555555559</v>
      </c>
      <c r="H22" s="27">
        <f t="shared" si="255"/>
        <v>3.4394824074074082</v>
      </c>
      <c r="I22" s="27">
        <f t="shared" si="255"/>
        <v>3.4509473487654332</v>
      </c>
      <c r="J22" s="27">
        <f t="shared" si="255"/>
        <v>3.462450506594652</v>
      </c>
      <c r="K22" s="27">
        <f t="shared" si="255"/>
        <v>3.4739920082833011</v>
      </c>
      <c r="L22" s="27">
        <f t="shared" si="255"/>
        <v>3.4855719816442461</v>
      </c>
      <c r="M22" s="27">
        <f t="shared" si="255"/>
        <v>3.4971905549163935</v>
      </c>
      <c r="N22" s="27">
        <f t="shared" si="255"/>
        <v>3.5088478567661152</v>
      </c>
      <c r="O22" s="27">
        <f t="shared" si="255"/>
        <v>3.5205440162886692</v>
      </c>
      <c r="P22" s="27">
        <f t="shared" si="255"/>
        <v>3.5322791630096311</v>
      </c>
      <c r="Q22" s="27">
        <f t="shared" si="255"/>
        <v>3.5440534268863302</v>
      </c>
      <c r="R22" s="27">
        <f t="shared" si="255"/>
        <v>3.5558669383092845</v>
      </c>
      <c r="S22" s="27">
        <f t="shared" si="255"/>
        <v>3.5677198281036491</v>
      </c>
      <c r="T22" s="27">
        <f t="shared" si="255"/>
        <v>3.5796122275306619</v>
      </c>
      <c r="U22" s="27">
        <f t="shared" si="255"/>
        <v>3.5915442682890975</v>
      </c>
      <c r="V22" s="27">
        <f t="shared" si="255"/>
        <v>3.6035160825167276</v>
      </c>
      <c r="W22" s="27">
        <f t="shared" si="255"/>
        <v>3.6155278027917843</v>
      </c>
      <c r="X22" s="27">
        <f t="shared" si="255"/>
        <v>3.6275795621344233</v>
      </c>
      <c r="Y22" s="27">
        <f t="shared" si="255"/>
        <v>3.6396714940082049</v>
      </c>
      <c r="Z22" s="27">
        <f t="shared" si="255"/>
        <v>3.6518037323215657</v>
      </c>
      <c r="AA22" s="27">
        <f t="shared" si="255"/>
        <v>3.6639764114293047</v>
      </c>
      <c r="AB22" s="27">
        <f t="shared" si="255"/>
        <v>3.6761896661340696</v>
      </c>
      <c r="AC22" s="27">
        <f t="shared" si="255"/>
        <v>3.6884436316878499</v>
      </c>
      <c r="AD22" s="27">
        <f t="shared" si="255"/>
        <v>3.7007384437934761</v>
      </c>
      <c r="AE22" s="27">
        <f t="shared" si="255"/>
        <v>3.7130742386061213</v>
      </c>
      <c r="AF22" s="27">
        <f t="shared" si="255"/>
        <v>3.7254511527348084</v>
      </c>
      <c r="AG22" s="27">
        <f t="shared" si="255"/>
        <v>3.7378693232439244</v>
      </c>
      <c r="AH22" s="27">
        <f t="shared" si="255"/>
        <v>3.7503288876547383</v>
      </c>
      <c r="AI22" s="27">
        <f t="shared" si="255"/>
        <v>3.7628299839469208</v>
      </c>
      <c r="AJ22" s="27">
        <f t="shared" si="255"/>
        <v>3.7753727505600776</v>
      </c>
      <c r="AK22" s="27">
        <f t="shared" si="255"/>
        <v>3.7879573263952788</v>
      </c>
      <c r="AL22" s="27">
        <f t="shared" ref="AL22:BQ22" si="256">IF(OR(AL3&lt;Start,AL3&gt;=Finish),0,OfficeSuppliesExpences/12*MonthlyInflation)</f>
        <v>3.8005838508165968</v>
      </c>
      <c r="AM22" s="27">
        <f t="shared" si="256"/>
        <v>3.8132524636526526</v>
      </c>
      <c r="AN22" s="27">
        <f t="shared" si="256"/>
        <v>3.8259633051981616</v>
      </c>
      <c r="AO22" s="27">
        <f t="shared" si="256"/>
        <v>3.8387165162154893</v>
      </c>
      <c r="AP22" s="27">
        <f t="shared" si="256"/>
        <v>3.8515122379362077</v>
      </c>
      <c r="AQ22" s="27">
        <f t="shared" si="256"/>
        <v>3.8643506120626618</v>
      </c>
      <c r="AR22" s="27">
        <f t="shared" si="256"/>
        <v>3.8772317807695376</v>
      </c>
      <c r="AS22" s="27">
        <f t="shared" si="256"/>
        <v>3.8901558867054362</v>
      </c>
      <c r="AT22" s="27">
        <f t="shared" si="256"/>
        <v>3.9031230729944544</v>
      </c>
      <c r="AU22" s="27">
        <f t="shared" si="256"/>
        <v>3.9161334832377701</v>
      </c>
      <c r="AV22" s="27">
        <f t="shared" si="256"/>
        <v>3.9291872615152297</v>
      </c>
      <c r="AW22" s="27">
        <f t="shared" si="256"/>
        <v>3.9422845523869472</v>
      </c>
      <c r="AX22" s="27">
        <f t="shared" si="256"/>
        <v>3.9554255008949037</v>
      </c>
      <c r="AY22" s="27">
        <f t="shared" si="256"/>
        <v>3.9686102525645537</v>
      </c>
      <c r="AZ22" s="27">
        <f t="shared" si="256"/>
        <v>3.9818389534064353</v>
      </c>
      <c r="BA22" s="27">
        <f t="shared" si="256"/>
        <v>3.9951117499177906</v>
      </c>
      <c r="BB22" s="27">
        <f t="shared" si="256"/>
        <v>4.0084287890841832</v>
      </c>
      <c r="BC22" s="27">
        <f t="shared" si="256"/>
        <v>4.0217902183811312</v>
      </c>
      <c r="BD22" s="27">
        <f t="shared" si="256"/>
        <v>4.0351961857757352</v>
      </c>
      <c r="BE22" s="27">
        <f t="shared" si="256"/>
        <v>4.0486468397283213</v>
      </c>
      <c r="BF22" s="27">
        <f t="shared" si="256"/>
        <v>4.0621423291940824</v>
      </c>
      <c r="BG22" s="27">
        <f t="shared" si="256"/>
        <v>4.0756828036247299</v>
      </c>
      <c r="BH22" s="27">
        <f t="shared" si="256"/>
        <v>4.0892684129701458</v>
      </c>
      <c r="BI22" s="27">
        <f t="shared" si="256"/>
        <v>4.1028993076800466</v>
      </c>
      <c r="BJ22" s="27">
        <f t="shared" si="256"/>
        <v>4.1165756387056467</v>
      </c>
      <c r="BK22" s="27">
        <f t="shared" si="256"/>
        <v>4.1302975575013319</v>
      </c>
      <c r="BL22" s="27">
        <f t="shared" si="256"/>
        <v>4.1440652160263367</v>
      </c>
      <c r="BM22" s="27">
        <f t="shared" si="256"/>
        <v>4.1578787667464256</v>
      </c>
      <c r="BN22" s="27">
        <f t="shared" si="256"/>
        <v>4.1717383626355806</v>
      </c>
      <c r="BO22" s="27">
        <f t="shared" si="256"/>
        <v>4.1856441571777001</v>
      </c>
      <c r="BP22" s="27">
        <f t="shared" si="256"/>
        <v>4.199596304368292</v>
      </c>
      <c r="BQ22" s="27">
        <f t="shared" si="256"/>
        <v>4.2135949587161869</v>
      </c>
      <c r="BR22" s="27">
        <f t="shared" ref="BR22:BY22" si="257">IF(OR(BR3&lt;Start,BR3&gt;=Finish),0,OfficeSuppliesExpences/12*MonthlyInflation)</f>
        <v>4.2276402752452409</v>
      </c>
      <c r="BS22" s="27">
        <f t="shared" si="257"/>
        <v>4.2417324094960591</v>
      </c>
      <c r="BT22" s="27">
        <f t="shared" si="257"/>
        <v>4.2558715175277122</v>
      </c>
      <c r="BU22" s="27">
        <f t="shared" si="257"/>
        <v>4.2700577559194715</v>
      </c>
      <c r="BV22" s="27">
        <f t="shared" si="257"/>
        <v>4.2842912817725365</v>
      </c>
      <c r="BW22" s="27">
        <f t="shared" si="257"/>
        <v>4.2985722527117787</v>
      </c>
      <c r="BX22" s="27">
        <f t="shared" si="257"/>
        <v>4.3129008268874847</v>
      </c>
      <c r="BY22" s="27">
        <f t="shared" si="257"/>
        <v>4.3272771629771105</v>
      </c>
      <c r="BZ22" s="27">
        <f t="shared" ref="BZ22:DI22" si="258">IF(OR(BZ3&lt;Start,BZ3&gt;=Finish),0,OfficeSuppliesExpences/12*MonthlyInflation)</f>
        <v>4.3417014201870341</v>
      </c>
      <c r="CA22" s="27">
        <f t="shared" si="258"/>
        <v>4.3561737582543252</v>
      </c>
      <c r="CB22" s="27">
        <f t="shared" si="258"/>
        <v>4.3706943374485068</v>
      </c>
      <c r="CC22" s="27">
        <f t="shared" si="258"/>
        <v>4.385263318573335</v>
      </c>
      <c r="CD22" s="27">
        <f t="shared" si="258"/>
        <v>4.3998808629685806</v>
      </c>
      <c r="CE22" s="27">
        <f t="shared" si="258"/>
        <v>4.4145471325118093</v>
      </c>
      <c r="CF22" s="27">
        <f t="shared" si="258"/>
        <v>4.4292622896201825</v>
      </c>
      <c r="CG22" s="27">
        <f t="shared" si="258"/>
        <v>4.4440264972522501</v>
      </c>
      <c r="CH22" s="27">
        <f t="shared" si="258"/>
        <v>4.4588399189097574</v>
      </c>
      <c r="CI22" s="27">
        <f t="shared" si="258"/>
        <v>4.4737027186394567</v>
      </c>
      <c r="CJ22" s="27">
        <f t="shared" si="258"/>
        <v>4.4886150610349222</v>
      </c>
      <c r="CK22" s="27">
        <f t="shared" si="258"/>
        <v>4.5035771112383713</v>
      </c>
      <c r="CL22" s="27">
        <f t="shared" si="258"/>
        <v>4.5185890349425</v>
      </c>
      <c r="CM22" s="27">
        <f t="shared" si="258"/>
        <v>4.5336509983923081</v>
      </c>
      <c r="CN22" s="27">
        <f t="shared" si="258"/>
        <v>4.5487631683869498</v>
      </c>
      <c r="CO22" s="27">
        <f t="shared" si="258"/>
        <v>4.5639257122815735</v>
      </c>
      <c r="CP22" s="27">
        <f t="shared" si="258"/>
        <v>4.5791387979891791</v>
      </c>
      <c r="CQ22" s="27">
        <f t="shared" si="258"/>
        <v>4.5944025939824771</v>
      </c>
      <c r="CR22" s="27">
        <f t="shared" si="258"/>
        <v>4.6097172692957518</v>
      </c>
      <c r="CS22" s="27">
        <f t="shared" si="258"/>
        <v>4.6250829935267381</v>
      </c>
      <c r="CT22" s="27">
        <f t="shared" si="258"/>
        <v>4.6404999368384949</v>
      </c>
      <c r="CU22" s="27">
        <f t="shared" si="258"/>
        <v>4.6559682699612903</v>
      </c>
      <c r="CV22" s="27">
        <f t="shared" si="258"/>
        <v>4.6714881641944945</v>
      </c>
      <c r="CW22" s="27">
        <f t="shared" si="258"/>
        <v>4.6870597914084771</v>
      </c>
      <c r="CX22" s="27">
        <f t="shared" si="258"/>
        <v>4.7026833240465056</v>
      </c>
      <c r="CY22" s="27">
        <f t="shared" si="258"/>
        <v>4.7183589351266608</v>
      </c>
      <c r="CZ22" s="27">
        <f t="shared" si="258"/>
        <v>4.7340867982437507</v>
      </c>
      <c r="DA22" s="27">
        <f t="shared" si="258"/>
        <v>4.7498670875712294</v>
      </c>
      <c r="DB22" s="27">
        <f t="shared" si="258"/>
        <v>4.7656999778631342</v>
      </c>
      <c r="DC22" s="27">
        <f t="shared" si="258"/>
        <v>4.7815856444560119</v>
      </c>
      <c r="DD22" s="27">
        <f t="shared" si="258"/>
        <v>4.7975242632708657</v>
      </c>
      <c r="DE22" s="27">
        <f t="shared" si="258"/>
        <v>4.8135160108151025</v>
      </c>
      <c r="DF22" s="27">
        <f t="shared" si="258"/>
        <v>4.8295610641844862</v>
      </c>
      <c r="DG22" s="27">
        <f t="shared" si="258"/>
        <v>4.8456596010651012</v>
      </c>
      <c r="DH22" s="27">
        <f t="shared" si="258"/>
        <v>4.8618117997353183</v>
      </c>
      <c r="DI22" s="27">
        <f t="shared" si="258"/>
        <v>4.8780178390677698</v>
      </c>
    </row>
    <row r="23" spans="2:113" outlineLevel="1" x14ac:dyDescent="0.3">
      <c r="B23" s="6" t="s">
        <v>70</v>
      </c>
      <c r="C23" s="14" t="s">
        <v>48</v>
      </c>
      <c r="D23" s="27">
        <f t="shared" si="185"/>
        <v>270.74187907912631</v>
      </c>
      <c r="E23" s="27"/>
      <c r="F23" s="27">
        <f t="shared" ref="F23:AK23" si="259">IF(OR(F3&lt;Start,F3&gt;=Finish),0,IT_expences/12*MonthlyInflation)</f>
        <v>3.3333333333333335</v>
      </c>
      <c r="G23" s="27">
        <f t="shared" si="259"/>
        <v>3.344444444444445</v>
      </c>
      <c r="H23" s="27">
        <f t="shared" si="259"/>
        <v>3.3555925925925933</v>
      </c>
      <c r="I23" s="27">
        <f t="shared" si="259"/>
        <v>3.3667779012345695</v>
      </c>
      <c r="J23" s="27">
        <f t="shared" si="259"/>
        <v>3.3780004942386852</v>
      </c>
      <c r="K23" s="27">
        <f t="shared" si="259"/>
        <v>3.3892604958861479</v>
      </c>
      <c r="L23" s="27">
        <f t="shared" si="259"/>
        <v>3.4005580308724355</v>
      </c>
      <c r="M23" s="27">
        <f t="shared" si="259"/>
        <v>3.411893224308677</v>
      </c>
      <c r="N23" s="27">
        <f t="shared" si="259"/>
        <v>3.4232662017230395</v>
      </c>
      <c r="O23" s="27">
        <f t="shared" si="259"/>
        <v>3.4346770890621166</v>
      </c>
      <c r="P23" s="27">
        <f t="shared" si="259"/>
        <v>3.4461260126923232</v>
      </c>
      <c r="Q23" s="27">
        <f t="shared" si="259"/>
        <v>3.4576130994012977</v>
      </c>
      <c r="R23" s="27">
        <f t="shared" si="259"/>
        <v>3.4691384763993023</v>
      </c>
      <c r="S23" s="27">
        <f t="shared" si="259"/>
        <v>3.4807022713206335</v>
      </c>
      <c r="T23" s="27">
        <f t="shared" si="259"/>
        <v>3.4923046122250363</v>
      </c>
      <c r="U23" s="27">
        <f t="shared" si="259"/>
        <v>3.5039456275991196</v>
      </c>
      <c r="V23" s="27">
        <f t="shared" si="259"/>
        <v>3.5156254463577836</v>
      </c>
      <c r="W23" s="27">
        <f t="shared" si="259"/>
        <v>3.5273441978456432</v>
      </c>
      <c r="X23" s="27">
        <f t="shared" si="259"/>
        <v>3.539102011838462</v>
      </c>
      <c r="Y23" s="27">
        <f t="shared" si="259"/>
        <v>3.5508990185445906</v>
      </c>
      <c r="Z23" s="27">
        <f t="shared" si="259"/>
        <v>3.5627353486064059</v>
      </c>
      <c r="AA23" s="27">
        <f t="shared" si="259"/>
        <v>3.5746111331017612</v>
      </c>
      <c r="AB23" s="27">
        <f t="shared" si="259"/>
        <v>3.5865265035454339</v>
      </c>
      <c r="AC23" s="27">
        <f t="shared" si="259"/>
        <v>3.5984815918905855</v>
      </c>
      <c r="AD23" s="27">
        <f t="shared" si="259"/>
        <v>3.6104765305302209</v>
      </c>
      <c r="AE23" s="27">
        <f t="shared" si="259"/>
        <v>3.6225114522986552</v>
      </c>
      <c r="AF23" s="27">
        <f t="shared" si="259"/>
        <v>3.6345864904729841</v>
      </c>
      <c r="AG23" s="27">
        <f t="shared" si="259"/>
        <v>3.646701778774561</v>
      </c>
      <c r="AH23" s="27">
        <f t="shared" si="259"/>
        <v>3.6588574513704764</v>
      </c>
      <c r="AI23" s="27">
        <f t="shared" si="259"/>
        <v>3.6710536428750449</v>
      </c>
      <c r="AJ23" s="27">
        <f t="shared" si="259"/>
        <v>3.6832904883512958</v>
      </c>
      <c r="AK23" s="27">
        <f t="shared" si="259"/>
        <v>3.6955681233124671</v>
      </c>
      <c r="AL23" s="27">
        <f t="shared" ref="AL23:BQ23" si="260">IF(OR(AL3&lt;Start,AL3&gt;=Finish),0,IT_expences/12*MonthlyInflation)</f>
        <v>3.7078866837235092</v>
      </c>
      <c r="AM23" s="27">
        <f t="shared" si="260"/>
        <v>3.7202463060025881</v>
      </c>
      <c r="AN23" s="27">
        <f t="shared" si="260"/>
        <v>3.7326471270225969</v>
      </c>
      <c r="AO23" s="27">
        <f t="shared" si="260"/>
        <v>3.7450892841126726</v>
      </c>
      <c r="AP23" s="27">
        <f t="shared" si="260"/>
        <v>3.7575729150597148</v>
      </c>
      <c r="AQ23" s="27">
        <f t="shared" si="260"/>
        <v>3.7700981581099144</v>
      </c>
      <c r="AR23" s="27">
        <f t="shared" si="260"/>
        <v>3.782665151970281</v>
      </c>
      <c r="AS23" s="27">
        <f t="shared" si="260"/>
        <v>3.795274035810182</v>
      </c>
      <c r="AT23" s="27">
        <f t="shared" si="260"/>
        <v>3.8079249492628828</v>
      </c>
      <c r="AU23" s="27">
        <f t="shared" si="260"/>
        <v>3.8206180324270931</v>
      </c>
      <c r="AV23" s="27">
        <f t="shared" si="260"/>
        <v>3.8333534258685171</v>
      </c>
      <c r="AW23" s="27">
        <f t="shared" si="260"/>
        <v>3.8461312706214121</v>
      </c>
      <c r="AX23" s="27">
        <f t="shared" si="260"/>
        <v>3.8589517081901503</v>
      </c>
      <c r="AY23" s="27">
        <f t="shared" si="260"/>
        <v>3.8718148805507844</v>
      </c>
      <c r="AZ23" s="27">
        <f t="shared" si="260"/>
        <v>3.8847209301526204</v>
      </c>
      <c r="BA23" s="27">
        <f t="shared" si="260"/>
        <v>3.8976699999197959</v>
      </c>
      <c r="BB23" s="27">
        <f t="shared" si="260"/>
        <v>3.9106622332528618</v>
      </c>
      <c r="BC23" s="27">
        <f t="shared" si="260"/>
        <v>3.923697774030372</v>
      </c>
      <c r="BD23" s="27">
        <f t="shared" si="260"/>
        <v>3.9367767666104734</v>
      </c>
      <c r="BE23" s="27">
        <f t="shared" si="260"/>
        <v>3.9498993558325086</v>
      </c>
      <c r="BF23" s="27">
        <f t="shared" si="260"/>
        <v>3.9630656870186174</v>
      </c>
      <c r="BG23" s="27">
        <f t="shared" si="260"/>
        <v>3.9762759059753461</v>
      </c>
      <c r="BH23" s="27">
        <f t="shared" si="260"/>
        <v>3.9895301589952643</v>
      </c>
      <c r="BI23" s="27">
        <f t="shared" si="260"/>
        <v>4.0028285928585818</v>
      </c>
      <c r="BJ23" s="27">
        <f t="shared" si="260"/>
        <v>4.0161713548347775</v>
      </c>
      <c r="BK23" s="27">
        <f t="shared" si="260"/>
        <v>4.0295585926842268</v>
      </c>
      <c r="BL23" s="27">
        <f t="shared" si="260"/>
        <v>4.0429904546598419</v>
      </c>
      <c r="BM23" s="27">
        <f t="shared" si="260"/>
        <v>4.0564670895087076</v>
      </c>
      <c r="BN23" s="27">
        <f t="shared" si="260"/>
        <v>4.069988646473738</v>
      </c>
      <c r="BO23" s="27">
        <f t="shared" si="260"/>
        <v>4.0835552752953177</v>
      </c>
      <c r="BP23" s="27">
        <f t="shared" si="260"/>
        <v>4.0971671262129687</v>
      </c>
      <c r="BQ23" s="27">
        <f t="shared" si="260"/>
        <v>4.1108243499670118</v>
      </c>
      <c r="BR23" s="27">
        <f t="shared" ref="BR23:BY23" si="261">IF(OR(BR3&lt;Start,BR3&gt;=Finish),0,IT_expences/12*MonthlyInflation)</f>
        <v>4.124527097800236</v>
      </c>
      <c r="BS23" s="27">
        <f t="shared" si="261"/>
        <v>4.1382755214595699</v>
      </c>
      <c r="BT23" s="27">
        <f t="shared" si="261"/>
        <v>4.1520697731977689</v>
      </c>
      <c r="BU23" s="27">
        <f t="shared" si="261"/>
        <v>4.1659100057750944</v>
      </c>
      <c r="BV23" s="27">
        <f t="shared" si="261"/>
        <v>4.1797963724610119</v>
      </c>
      <c r="BW23" s="27">
        <f t="shared" si="261"/>
        <v>4.1937290270358822</v>
      </c>
      <c r="BX23" s="27">
        <f t="shared" si="261"/>
        <v>4.2077081237926688</v>
      </c>
      <c r="BY23" s="27">
        <f t="shared" si="261"/>
        <v>4.2217338175386443</v>
      </c>
      <c r="BZ23" s="27">
        <f t="shared" ref="BZ23:DI23" si="262">IF(OR(BZ3&lt;Start,BZ3&gt;=Finish),0,IT_expences/12*MonthlyInflation)</f>
        <v>4.235806263597107</v>
      </c>
      <c r="CA23" s="27">
        <f t="shared" si="262"/>
        <v>4.2499256178090974</v>
      </c>
      <c r="CB23" s="27">
        <f t="shared" si="262"/>
        <v>4.2640920365351285</v>
      </c>
      <c r="CC23" s="27">
        <f t="shared" si="262"/>
        <v>4.2783056766569132</v>
      </c>
      <c r="CD23" s="27">
        <f t="shared" si="262"/>
        <v>4.2925666955791035</v>
      </c>
      <c r="CE23" s="27">
        <f t="shared" si="262"/>
        <v>4.306875251231034</v>
      </c>
      <c r="CF23" s="27">
        <f t="shared" si="262"/>
        <v>4.3212315020684713</v>
      </c>
      <c r="CG23" s="27">
        <f t="shared" si="262"/>
        <v>4.3356356070753668</v>
      </c>
      <c r="CH23" s="27">
        <f t="shared" si="262"/>
        <v>4.3500877257656176</v>
      </c>
      <c r="CI23" s="27">
        <f t="shared" si="262"/>
        <v>4.3645880181848362</v>
      </c>
      <c r="CJ23" s="27">
        <f t="shared" si="262"/>
        <v>4.3791366449121192</v>
      </c>
      <c r="CK23" s="27">
        <f t="shared" si="262"/>
        <v>4.3937337670618266</v>
      </c>
      <c r="CL23" s="27">
        <f t="shared" si="262"/>
        <v>4.4083795462853663</v>
      </c>
      <c r="CM23" s="27">
        <f t="shared" si="262"/>
        <v>4.4230741447729844</v>
      </c>
      <c r="CN23" s="27">
        <f t="shared" si="262"/>
        <v>4.4378177252555613</v>
      </c>
      <c r="CO23" s="27">
        <f t="shared" si="262"/>
        <v>4.4526104510064135</v>
      </c>
      <c r="CP23" s="27">
        <f t="shared" si="262"/>
        <v>4.4674524858431024</v>
      </c>
      <c r="CQ23" s="27">
        <f t="shared" si="262"/>
        <v>4.4823439941292467</v>
      </c>
      <c r="CR23" s="27">
        <f t="shared" si="262"/>
        <v>4.4972851407763441</v>
      </c>
      <c r="CS23" s="27">
        <f t="shared" si="262"/>
        <v>4.5122760912455986</v>
      </c>
      <c r="CT23" s="27">
        <f t="shared" si="262"/>
        <v>4.5273170115497514</v>
      </c>
      <c r="CU23" s="27">
        <f t="shared" si="262"/>
        <v>4.5424080682549173</v>
      </c>
      <c r="CV23" s="27">
        <f t="shared" si="262"/>
        <v>4.5575494284824343</v>
      </c>
      <c r="CW23" s="27">
        <f t="shared" si="262"/>
        <v>4.5727412599107096</v>
      </c>
      <c r="CX23" s="27">
        <f t="shared" si="262"/>
        <v>4.5879837307770792</v>
      </c>
      <c r="CY23" s="27">
        <f t="shared" si="262"/>
        <v>4.6032770098796698</v>
      </c>
      <c r="CZ23" s="27">
        <f t="shared" si="262"/>
        <v>4.618621266579269</v>
      </c>
      <c r="DA23" s="27">
        <f t="shared" si="262"/>
        <v>4.6340166708012003</v>
      </c>
      <c r="DB23" s="27">
        <f t="shared" si="262"/>
        <v>4.6494633930372045</v>
      </c>
      <c r="DC23" s="27">
        <f t="shared" si="262"/>
        <v>4.6649616043473285</v>
      </c>
      <c r="DD23" s="27">
        <f t="shared" si="262"/>
        <v>4.6805114763618203</v>
      </c>
      <c r="DE23" s="27">
        <f t="shared" si="262"/>
        <v>4.6961131812830272</v>
      </c>
      <c r="DF23" s="27">
        <f t="shared" si="262"/>
        <v>4.7117668918873035</v>
      </c>
      <c r="DG23" s="27">
        <f t="shared" si="262"/>
        <v>4.7274727815269282</v>
      </c>
      <c r="DH23" s="27">
        <f t="shared" si="262"/>
        <v>4.7432310241320188</v>
      </c>
      <c r="DI23" s="27">
        <f t="shared" si="262"/>
        <v>4.7590417942124592</v>
      </c>
    </row>
    <row r="24" spans="2:113" outlineLevel="1" x14ac:dyDescent="0.3">
      <c r="B24" s="6" t="s">
        <v>71</v>
      </c>
      <c r="D24" s="27">
        <f t="shared" si="185"/>
        <v>54.148375815825261</v>
      </c>
      <c r="E24" s="27"/>
      <c r="F24" s="27">
        <f t="shared" ref="F24:AK24" si="263">IF(OR(F3&lt;Start,F3&gt;=Finish),0,PaimentForEnvironmentalPollution/12*MonthlyInflation)</f>
        <v>0.66666666666666663</v>
      </c>
      <c r="G24" s="27">
        <f t="shared" si="263"/>
        <v>0.66888888888888887</v>
      </c>
      <c r="H24" s="27">
        <f t="shared" si="263"/>
        <v>0.67111851851851867</v>
      </c>
      <c r="I24" s="27">
        <f t="shared" si="263"/>
        <v>0.67335558024691378</v>
      </c>
      <c r="J24" s="27">
        <f t="shared" si="263"/>
        <v>0.67560009884773697</v>
      </c>
      <c r="K24" s="27">
        <f t="shared" si="263"/>
        <v>0.67785209917722944</v>
      </c>
      <c r="L24" s="27">
        <f t="shared" si="263"/>
        <v>0.68011160617448696</v>
      </c>
      <c r="M24" s="27">
        <f t="shared" si="263"/>
        <v>0.68237864486173527</v>
      </c>
      <c r="N24" s="27">
        <f t="shared" si="263"/>
        <v>0.68465324034460784</v>
      </c>
      <c r="O24" s="27">
        <f t="shared" si="263"/>
        <v>0.68693541781242318</v>
      </c>
      <c r="P24" s="27">
        <f t="shared" si="263"/>
        <v>0.68922520253846464</v>
      </c>
      <c r="Q24" s="27">
        <f t="shared" si="263"/>
        <v>0.69152261988025954</v>
      </c>
      <c r="R24" s="27">
        <f t="shared" si="263"/>
        <v>0.69382769527986032</v>
      </c>
      <c r="S24" s="27">
        <f t="shared" si="263"/>
        <v>0.69614045426412663</v>
      </c>
      <c r="T24" s="27">
        <f t="shared" si="263"/>
        <v>0.69846092244500713</v>
      </c>
      <c r="U24" s="27">
        <f t="shared" si="263"/>
        <v>0.70078912551982386</v>
      </c>
      <c r="V24" s="27">
        <f t="shared" si="263"/>
        <v>0.70312508927155659</v>
      </c>
      <c r="W24" s="27">
        <f t="shared" si="263"/>
        <v>0.70546883956912865</v>
      </c>
      <c r="X24" s="27">
        <f t="shared" si="263"/>
        <v>0.70782040236769239</v>
      </c>
      <c r="Y24" s="27">
        <f t="shared" si="263"/>
        <v>0.71017980370891798</v>
      </c>
      <c r="Z24" s="27">
        <f t="shared" si="263"/>
        <v>0.71254706972128112</v>
      </c>
      <c r="AA24" s="27">
        <f t="shared" si="263"/>
        <v>0.7149222266203521</v>
      </c>
      <c r="AB24" s="27">
        <f t="shared" si="263"/>
        <v>0.71730530070908671</v>
      </c>
      <c r="AC24" s="27">
        <f t="shared" si="263"/>
        <v>0.71969631837811709</v>
      </c>
      <c r="AD24" s="27">
        <f t="shared" si="263"/>
        <v>0.72209530610604411</v>
      </c>
      <c r="AE24" s="27">
        <f t="shared" si="263"/>
        <v>0.72450229045973091</v>
      </c>
      <c r="AF24" s="27">
        <f t="shared" si="263"/>
        <v>0.72691729809459682</v>
      </c>
      <c r="AG24" s="27">
        <f t="shared" si="263"/>
        <v>0.72934035575491207</v>
      </c>
      <c r="AH24" s="27">
        <f t="shared" si="263"/>
        <v>0.73177149027409527</v>
      </c>
      <c r="AI24" s="27">
        <f t="shared" si="263"/>
        <v>0.73421072857500891</v>
      </c>
      <c r="AJ24" s="27">
        <f t="shared" si="263"/>
        <v>0.73665809767025903</v>
      </c>
      <c r="AK24" s="27">
        <f t="shared" si="263"/>
        <v>0.73911362466249342</v>
      </c>
      <c r="AL24" s="27">
        <f t="shared" ref="AL24:BQ24" si="264">IF(OR(AL3&lt;Start,AL3&gt;=Finish),0,PaimentForEnvironmentalPollution/12*MonthlyInflation)</f>
        <v>0.74157733674470183</v>
      </c>
      <c r="AM24" s="27">
        <f t="shared" si="264"/>
        <v>0.74404926120051762</v>
      </c>
      <c r="AN24" s="27">
        <f t="shared" si="264"/>
        <v>0.74652942540451939</v>
      </c>
      <c r="AO24" s="27">
        <f t="shared" si="264"/>
        <v>0.74901785682253452</v>
      </c>
      <c r="AP24" s="27">
        <f t="shared" si="264"/>
        <v>0.75151458301194296</v>
      </c>
      <c r="AQ24" s="27">
        <f t="shared" si="264"/>
        <v>0.75401963162198282</v>
      </c>
      <c r="AR24" s="27">
        <f t="shared" si="264"/>
        <v>0.75653303039405606</v>
      </c>
      <c r="AS24" s="27">
        <f t="shared" si="264"/>
        <v>0.75905480716203633</v>
      </c>
      <c r="AT24" s="27">
        <f t="shared" si="264"/>
        <v>0.7615849898525765</v>
      </c>
      <c r="AU24" s="27">
        <f t="shared" si="264"/>
        <v>0.76412360648541855</v>
      </c>
      <c r="AV24" s="27">
        <f t="shared" si="264"/>
        <v>0.76667068517370329</v>
      </c>
      <c r="AW24" s="27">
        <f t="shared" si="264"/>
        <v>0.76922625412428236</v>
      </c>
      <c r="AX24" s="27">
        <f t="shared" si="264"/>
        <v>0.77179034163803006</v>
      </c>
      <c r="AY24" s="27">
        <f t="shared" si="264"/>
        <v>0.77436297611015681</v>
      </c>
      <c r="AZ24" s="27">
        <f t="shared" si="264"/>
        <v>0.77694418603052395</v>
      </c>
      <c r="BA24" s="27">
        <f t="shared" si="264"/>
        <v>0.77953399998395911</v>
      </c>
      <c r="BB24" s="27">
        <f t="shared" si="264"/>
        <v>0.78213244665057235</v>
      </c>
      <c r="BC24" s="27">
        <f t="shared" si="264"/>
        <v>0.78473955480607427</v>
      </c>
      <c r="BD24" s="27">
        <f t="shared" si="264"/>
        <v>0.78735535332209461</v>
      </c>
      <c r="BE24" s="27">
        <f t="shared" si="264"/>
        <v>0.78997987116650159</v>
      </c>
      <c r="BF24" s="27">
        <f t="shared" si="264"/>
        <v>0.79261313740372341</v>
      </c>
      <c r="BG24" s="27">
        <f t="shared" si="264"/>
        <v>0.79525518119506922</v>
      </c>
      <c r="BH24" s="27">
        <f t="shared" si="264"/>
        <v>0.79790603179905273</v>
      </c>
      <c r="BI24" s="27">
        <f t="shared" si="264"/>
        <v>0.80056571857171632</v>
      </c>
      <c r="BJ24" s="27">
        <f t="shared" si="264"/>
        <v>0.80323427096695543</v>
      </c>
      <c r="BK24" s="27">
        <f t="shared" si="264"/>
        <v>0.80591171853684529</v>
      </c>
      <c r="BL24" s="27">
        <f t="shared" si="264"/>
        <v>0.80859809093196822</v>
      </c>
      <c r="BM24" s="27">
        <f t="shared" si="264"/>
        <v>0.81129341790174148</v>
      </c>
      <c r="BN24" s="27">
        <f t="shared" si="264"/>
        <v>0.81399772929474745</v>
      </c>
      <c r="BO24" s="27">
        <f t="shared" si="264"/>
        <v>0.81671105505906338</v>
      </c>
      <c r="BP24" s="27">
        <f t="shared" si="264"/>
        <v>0.81943342524259366</v>
      </c>
      <c r="BQ24" s="27">
        <f t="shared" si="264"/>
        <v>0.82216486999340233</v>
      </c>
      <c r="BR24" s="27">
        <f t="shared" ref="BR24:BY24" si="265">IF(OR(BR3&lt;Start,BR3&gt;=Finish),0,PaimentForEnvironmentalPollution/12*MonthlyInflation)</f>
        <v>0.82490541956004704</v>
      </c>
      <c r="BS24" s="27">
        <f t="shared" si="265"/>
        <v>0.82765510429191391</v>
      </c>
      <c r="BT24" s="27">
        <f t="shared" si="265"/>
        <v>0.8304139546395537</v>
      </c>
      <c r="BU24" s="27">
        <f t="shared" si="265"/>
        <v>0.83318200115501884</v>
      </c>
      <c r="BV24" s="27">
        <f t="shared" si="265"/>
        <v>0.83595927449220231</v>
      </c>
      <c r="BW24" s="27">
        <f t="shared" si="265"/>
        <v>0.83874580540717636</v>
      </c>
      <c r="BX24" s="27">
        <f t="shared" si="265"/>
        <v>0.84154162475853367</v>
      </c>
      <c r="BY24" s="27">
        <f t="shared" si="265"/>
        <v>0.84434676350772886</v>
      </c>
      <c r="BZ24" s="27">
        <f t="shared" ref="BZ24:DI24" si="266">IF(OR(BZ3&lt;Start,BZ3&gt;=Finish),0,PaimentForEnvironmentalPollution/12*MonthlyInflation)</f>
        <v>0.84716125271942133</v>
      </c>
      <c r="CA24" s="27">
        <f t="shared" si="266"/>
        <v>0.84998512356181943</v>
      </c>
      <c r="CB24" s="27">
        <f t="shared" si="266"/>
        <v>0.85281840730702563</v>
      </c>
      <c r="CC24" s="27">
        <f t="shared" si="266"/>
        <v>0.85566113533138255</v>
      </c>
      <c r="CD24" s="27">
        <f t="shared" si="266"/>
        <v>0.85851333911582062</v>
      </c>
      <c r="CE24" s="27">
        <f t="shared" si="266"/>
        <v>0.86137505024620664</v>
      </c>
      <c r="CF24" s="27">
        <f t="shared" si="266"/>
        <v>0.8642463004136941</v>
      </c>
      <c r="CG24" s="27">
        <f t="shared" si="266"/>
        <v>0.8671271214150732</v>
      </c>
      <c r="CH24" s="27">
        <f t="shared" si="266"/>
        <v>0.87001754515312346</v>
      </c>
      <c r="CI24" s="27">
        <f t="shared" si="266"/>
        <v>0.87291760363696724</v>
      </c>
      <c r="CJ24" s="27">
        <f t="shared" si="266"/>
        <v>0.87582732898242377</v>
      </c>
      <c r="CK24" s="27">
        <f t="shared" si="266"/>
        <v>0.87874675341236519</v>
      </c>
      <c r="CL24" s="27">
        <f t="shared" si="266"/>
        <v>0.88167590925707318</v>
      </c>
      <c r="CM24" s="27">
        <f t="shared" si="266"/>
        <v>0.88461482895459675</v>
      </c>
      <c r="CN24" s="27">
        <f t="shared" si="266"/>
        <v>0.88756354505111212</v>
      </c>
      <c r="CO24" s="27">
        <f t="shared" si="266"/>
        <v>0.8905220902012827</v>
      </c>
      <c r="CP24" s="27">
        <f t="shared" si="266"/>
        <v>0.89349049716862039</v>
      </c>
      <c r="CQ24" s="27">
        <f t="shared" si="266"/>
        <v>0.89646879882584918</v>
      </c>
      <c r="CR24" s="27">
        <f t="shared" si="266"/>
        <v>0.89945702815526873</v>
      </c>
      <c r="CS24" s="27">
        <f t="shared" si="266"/>
        <v>0.90245521824911967</v>
      </c>
      <c r="CT24" s="27">
        <f t="shared" si="266"/>
        <v>0.90546340230995015</v>
      </c>
      <c r="CU24" s="27">
        <f t="shared" si="266"/>
        <v>0.90848161365098345</v>
      </c>
      <c r="CV24" s="27">
        <f t="shared" si="266"/>
        <v>0.91150988569648672</v>
      </c>
      <c r="CW24" s="27">
        <f t="shared" si="266"/>
        <v>0.91454825198214185</v>
      </c>
      <c r="CX24" s="27">
        <f t="shared" si="266"/>
        <v>0.91759674615541575</v>
      </c>
      <c r="CY24" s="27">
        <f t="shared" si="266"/>
        <v>0.92065540197593387</v>
      </c>
      <c r="CZ24" s="27">
        <f t="shared" si="266"/>
        <v>0.92372425331585373</v>
      </c>
      <c r="DA24" s="27">
        <f t="shared" si="266"/>
        <v>0.92680333416023997</v>
      </c>
      <c r="DB24" s="27">
        <f t="shared" si="266"/>
        <v>0.92989267860744074</v>
      </c>
      <c r="DC24" s="27">
        <f t="shared" si="266"/>
        <v>0.93299232086946571</v>
      </c>
      <c r="DD24" s="27">
        <f t="shared" si="266"/>
        <v>0.93610229527236399</v>
      </c>
      <c r="DE24" s="27">
        <f t="shared" si="266"/>
        <v>0.93922263625660529</v>
      </c>
      <c r="DF24" s="27">
        <f t="shared" si="266"/>
        <v>0.94235337837746069</v>
      </c>
      <c r="DG24" s="27">
        <f t="shared" si="266"/>
        <v>0.94549455630538559</v>
      </c>
      <c r="DH24" s="27">
        <f t="shared" si="266"/>
        <v>0.94864620482640361</v>
      </c>
      <c r="DI24" s="27">
        <f t="shared" si="266"/>
        <v>0.95180835884249171</v>
      </c>
    </row>
    <row r="25" spans="2:113" outlineLevel="1" x14ac:dyDescent="0.3">
      <c r="B25" s="6" t="s">
        <v>72</v>
      </c>
      <c r="C25" s="14" t="s">
        <v>48</v>
      </c>
      <c r="D25" s="27">
        <f t="shared" si="185"/>
        <v>27.074187907912631</v>
      </c>
      <c r="E25" s="27"/>
      <c r="F25" s="27">
        <f t="shared" ref="F25:AK25" si="267">IF(OR(F3&lt;Start,F3&gt;=Finish),0,MarketingCosts/12*MonthlyInflation)</f>
        <v>0.33333333333333331</v>
      </c>
      <c r="G25" s="27">
        <f t="shared" si="267"/>
        <v>0.33444444444444443</v>
      </c>
      <c r="H25" s="27">
        <f t="shared" si="267"/>
        <v>0.33555925925925933</v>
      </c>
      <c r="I25" s="27">
        <f t="shared" si="267"/>
        <v>0.33667779012345689</v>
      </c>
      <c r="J25" s="27">
        <f t="shared" si="267"/>
        <v>0.33780004942386849</v>
      </c>
      <c r="K25" s="27">
        <f t="shared" si="267"/>
        <v>0.33892604958861472</v>
      </c>
      <c r="L25" s="27">
        <f t="shared" si="267"/>
        <v>0.34005580308724348</v>
      </c>
      <c r="M25" s="27">
        <f t="shared" si="267"/>
        <v>0.34118932243086764</v>
      </c>
      <c r="N25" s="27">
        <f t="shared" si="267"/>
        <v>0.34232662017230392</v>
      </c>
      <c r="O25" s="27">
        <f t="shared" si="267"/>
        <v>0.34346770890621159</v>
      </c>
      <c r="P25" s="27">
        <f t="shared" si="267"/>
        <v>0.34461260126923232</v>
      </c>
      <c r="Q25" s="27">
        <f t="shared" si="267"/>
        <v>0.34576130994012977</v>
      </c>
      <c r="R25" s="27">
        <f t="shared" si="267"/>
        <v>0.34691384763993016</v>
      </c>
      <c r="S25" s="27">
        <f t="shared" si="267"/>
        <v>0.34807022713206331</v>
      </c>
      <c r="T25" s="27">
        <f t="shared" si="267"/>
        <v>0.34923046122250356</v>
      </c>
      <c r="U25" s="27">
        <f t="shared" si="267"/>
        <v>0.35039456275991193</v>
      </c>
      <c r="V25" s="27">
        <f t="shared" si="267"/>
        <v>0.3515625446357783</v>
      </c>
      <c r="W25" s="27">
        <f t="shared" si="267"/>
        <v>0.35273441978456432</v>
      </c>
      <c r="X25" s="27">
        <f t="shared" si="267"/>
        <v>0.3539102011838462</v>
      </c>
      <c r="Y25" s="27">
        <f t="shared" si="267"/>
        <v>0.35508990185445899</v>
      </c>
      <c r="Z25" s="27">
        <f t="shared" si="267"/>
        <v>0.35627353486064056</v>
      </c>
      <c r="AA25" s="27">
        <f t="shared" si="267"/>
        <v>0.35746111331017605</v>
      </c>
      <c r="AB25" s="27">
        <f t="shared" si="267"/>
        <v>0.35865265035454336</v>
      </c>
      <c r="AC25" s="27">
        <f t="shared" si="267"/>
        <v>0.35984815918905855</v>
      </c>
      <c r="AD25" s="27">
        <f t="shared" si="267"/>
        <v>0.36104765305302206</v>
      </c>
      <c r="AE25" s="27">
        <f t="shared" si="267"/>
        <v>0.36225114522986546</v>
      </c>
      <c r="AF25" s="27">
        <f t="shared" si="267"/>
        <v>0.36345864904729841</v>
      </c>
      <c r="AG25" s="27">
        <f t="shared" si="267"/>
        <v>0.36467017787745604</v>
      </c>
      <c r="AH25" s="27">
        <f t="shared" si="267"/>
        <v>0.36588574513704764</v>
      </c>
      <c r="AI25" s="27">
        <f t="shared" si="267"/>
        <v>0.36710536428750445</v>
      </c>
      <c r="AJ25" s="27">
        <f t="shared" si="267"/>
        <v>0.36832904883512951</v>
      </c>
      <c r="AK25" s="27">
        <f t="shared" si="267"/>
        <v>0.36955681233124671</v>
      </c>
      <c r="AL25" s="27">
        <f t="shared" ref="AL25:BQ25" si="268">IF(OR(AL3&lt;Start,AL3&gt;=Finish),0,MarketingCosts/12*MonthlyInflation)</f>
        <v>0.37078866837235092</v>
      </c>
      <c r="AM25" s="27">
        <f t="shared" si="268"/>
        <v>0.37202463060025881</v>
      </c>
      <c r="AN25" s="27">
        <f t="shared" si="268"/>
        <v>0.37326471270225969</v>
      </c>
      <c r="AO25" s="27">
        <f t="shared" si="268"/>
        <v>0.37450892841126726</v>
      </c>
      <c r="AP25" s="27">
        <f t="shared" si="268"/>
        <v>0.37575729150597148</v>
      </c>
      <c r="AQ25" s="27">
        <f t="shared" si="268"/>
        <v>0.37700981581099141</v>
      </c>
      <c r="AR25" s="27">
        <f t="shared" si="268"/>
        <v>0.37826651519702803</v>
      </c>
      <c r="AS25" s="27">
        <f t="shared" si="268"/>
        <v>0.37952740358101816</v>
      </c>
      <c r="AT25" s="27">
        <f t="shared" si="268"/>
        <v>0.38079249492628825</v>
      </c>
      <c r="AU25" s="27">
        <f t="shared" si="268"/>
        <v>0.38206180324270927</v>
      </c>
      <c r="AV25" s="27">
        <f t="shared" si="268"/>
        <v>0.38333534258685165</v>
      </c>
      <c r="AW25" s="27">
        <f t="shared" si="268"/>
        <v>0.38461312706214118</v>
      </c>
      <c r="AX25" s="27">
        <f t="shared" si="268"/>
        <v>0.38589517081901503</v>
      </c>
      <c r="AY25" s="27">
        <f t="shared" si="268"/>
        <v>0.3871814880550784</v>
      </c>
      <c r="AZ25" s="27">
        <f t="shared" si="268"/>
        <v>0.38847209301526198</v>
      </c>
      <c r="BA25" s="27">
        <f t="shared" si="268"/>
        <v>0.38976699999197956</v>
      </c>
      <c r="BB25" s="27">
        <f t="shared" si="268"/>
        <v>0.39106622332528618</v>
      </c>
      <c r="BC25" s="27">
        <f t="shared" si="268"/>
        <v>0.39236977740303713</v>
      </c>
      <c r="BD25" s="27">
        <f t="shared" si="268"/>
        <v>0.3936776766610473</v>
      </c>
      <c r="BE25" s="27">
        <f t="shared" si="268"/>
        <v>0.3949899355832508</v>
      </c>
      <c r="BF25" s="27">
        <f t="shared" si="268"/>
        <v>0.39630656870186171</v>
      </c>
      <c r="BG25" s="27">
        <f t="shared" si="268"/>
        <v>0.39762759059753461</v>
      </c>
      <c r="BH25" s="27">
        <f t="shared" si="268"/>
        <v>0.39895301589952636</v>
      </c>
      <c r="BI25" s="27">
        <f t="shared" si="268"/>
        <v>0.40028285928585816</v>
      </c>
      <c r="BJ25" s="27">
        <f t="shared" si="268"/>
        <v>0.40161713548347772</v>
      </c>
      <c r="BK25" s="27">
        <f t="shared" si="268"/>
        <v>0.40295585926842264</v>
      </c>
      <c r="BL25" s="27">
        <f t="shared" si="268"/>
        <v>0.40429904546598411</v>
      </c>
      <c r="BM25" s="27">
        <f t="shared" si="268"/>
        <v>0.40564670895087074</v>
      </c>
      <c r="BN25" s="27">
        <f t="shared" si="268"/>
        <v>0.40699886464737373</v>
      </c>
      <c r="BO25" s="27">
        <f t="shared" si="268"/>
        <v>0.40835552752953169</v>
      </c>
      <c r="BP25" s="27">
        <f t="shared" si="268"/>
        <v>0.40971671262129683</v>
      </c>
      <c r="BQ25" s="27">
        <f t="shared" si="268"/>
        <v>0.41108243499670116</v>
      </c>
      <c r="BR25" s="27">
        <f t="shared" ref="BR25:BY25" si="269">IF(OR(BR3&lt;Start,BR3&gt;=Finish),0,MarketingCosts/12*MonthlyInflation)</f>
        <v>0.41245270978002352</v>
      </c>
      <c r="BS25" s="27">
        <f t="shared" si="269"/>
        <v>0.41382755214595696</v>
      </c>
      <c r="BT25" s="27">
        <f t="shared" si="269"/>
        <v>0.41520697731977685</v>
      </c>
      <c r="BU25" s="27">
        <f t="shared" si="269"/>
        <v>0.41659100057750942</v>
      </c>
      <c r="BV25" s="27">
        <f t="shared" si="269"/>
        <v>0.41797963724610115</v>
      </c>
      <c r="BW25" s="27">
        <f t="shared" si="269"/>
        <v>0.41937290270358818</v>
      </c>
      <c r="BX25" s="27">
        <f t="shared" si="269"/>
        <v>0.42077081237926683</v>
      </c>
      <c r="BY25" s="27">
        <f t="shared" si="269"/>
        <v>0.42217338175386443</v>
      </c>
      <c r="BZ25" s="27">
        <f t="shared" ref="BZ25:DI25" si="270">IF(OR(BZ3&lt;Start,BZ3&gt;=Finish),0,MarketingCosts/12*MonthlyInflation)</f>
        <v>0.42358062635971067</v>
      </c>
      <c r="CA25" s="27">
        <f t="shared" si="270"/>
        <v>0.42499256178090972</v>
      </c>
      <c r="CB25" s="27">
        <f t="shared" si="270"/>
        <v>0.42640920365351281</v>
      </c>
      <c r="CC25" s="27">
        <f t="shared" si="270"/>
        <v>0.42783056766569127</v>
      </c>
      <c r="CD25" s="27">
        <f t="shared" si="270"/>
        <v>0.42925666955791031</v>
      </c>
      <c r="CE25" s="27">
        <f t="shared" si="270"/>
        <v>0.43068752512310332</v>
      </c>
      <c r="CF25" s="27">
        <f t="shared" si="270"/>
        <v>0.43212315020684705</v>
      </c>
      <c r="CG25" s="27">
        <f t="shared" si="270"/>
        <v>0.4335635607075366</v>
      </c>
      <c r="CH25" s="27">
        <f t="shared" si="270"/>
        <v>0.43500877257656173</v>
      </c>
      <c r="CI25" s="27">
        <f t="shared" si="270"/>
        <v>0.43645880181848362</v>
      </c>
      <c r="CJ25" s="27">
        <f t="shared" si="270"/>
        <v>0.43791366449121188</v>
      </c>
      <c r="CK25" s="27">
        <f t="shared" si="270"/>
        <v>0.43937337670618259</v>
      </c>
      <c r="CL25" s="27">
        <f t="shared" si="270"/>
        <v>0.44083795462853659</v>
      </c>
      <c r="CM25" s="27">
        <f t="shared" si="270"/>
        <v>0.44230741447729838</v>
      </c>
      <c r="CN25" s="27">
        <f t="shared" si="270"/>
        <v>0.44378177252555606</v>
      </c>
      <c r="CO25" s="27">
        <f t="shared" si="270"/>
        <v>0.44526104510064135</v>
      </c>
      <c r="CP25" s="27">
        <f t="shared" si="270"/>
        <v>0.4467452485843102</v>
      </c>
      <c r="CQ25" s="27">
        <f t="shared" si="270"/>
        <v>0.44823439941292459</v>
      </c>
      <c r="CR25" s="27">
        <f t="shared" si="270"/>
        <v>0.44972851407763437</v>
      </c>
      <c r="CS25" s="27">
        <f t="shared" si="270"/>
        <v>0.45122760912455984</v>
      </c>
      <c r="CT25" s="27">
        <f t="shared" si="270"/>
        <v>0.45273170115497507</v>
      </c>
      <c r="CU25" s="27">
        <f t="shared" si="270"/>
        <v>0.45424080682549173</v>
      </c>
      <c r="CV25" s="27">
        <f t="shared" si="270"/>
        <v>0.45575494284824336</v>
      </c>
      <c r="CW25" s="27">
        <f t="shared" si="270"/>
        <v>0.45727412599107092</v>
      </c>
      <c r="CX25" s="27">
        <f t="shared" si="270"/>
        <v>0.45879837307770788</v>
      </c>
      <c r="CY25" s="27">
        <f t="shared" si="270"/>
        <v>0.46032770098796694</v>
      </c>
      <c r="CZ25" s="27">
        <f t="shared" si="270"/>
        <v>0.46186212665792686</v>
      </c>
      <c r="DA25" s="27">
        <f t="shared" si="270"/>
        <v>0.46340166708011998</v>
      </c>
      <c r="DB25" s="27">
        <f t="shared" si="270"/>
        <v>0.46494633930372037</v>
      </c>
      <c r="DC25" s="27">
        <f t="shared" si="270"/>
        <v>0.46649616043473285</v>
      </c>
      <c r="DD25" s="27">
        <f t="shared" si="270"/>
        <v>0.468051147636182</v>
      </c>
      <c r="DE25" s="27">
        <f t="shared" si="270"/>
        <v>0.46961131812830265</v>
      </c>
      <c r="DF25" s="27">
        <f t="shared" si="270"/>
        <v>0.47117668918873035</v>
      </c>
      <c r="DG25" s="27">
        <f t="shared" si="270"/>
        <v>0.4727472781526928</v>
      </c>
      <c r="DH25" s="27">
        <f t="shared" si="270"/>
        <v>0.4743231024132018</v>
      </c>
      <c r="DI25" s="27">
        <f t="shared" si="270"/>
        <v>0.47590417942124585</v>
      </c>
    </row>
    <row r="26" spans="2:113" outlineLevel="1" x14ac:dyDescent="0.3">
      <c r="B26" s="6" t="s">
        <v>73</v>
      </c>
      <c r="C26" s="14" t="s">
        <v>48</v>
      </c>
      <c r="D26" s="27">
        <f t="shared" si="185"/>
        <v>13.537093953956315</v>
      </c>
      <c r="E26" s="27"/>
      <c r="F26" s="27">
        <f t="shared" ref="F26:AK26" si="271">IF(OR(F3&lt;Start,F3&gt;=Finish),0,FeeForGarbageCollection/12*MonthlyInflation)</f>
        <v>0.16666666666666666</v>
      </c>
      <c r="G26" s="27">
        <f t="shared" si="271"/>
        <v>0.16722222222222222</v>
      </c>
      <c r="H26" s="27">
        <f t="shared" si="271"/>
        <v>0.16777962962962967</v>
      </c>
      <c r="I26" s="27">
        <f t="shared" si="271"/>
        <v>0.16833889506172844</v>
      </c>
      <c r="J26" s="27">
        <f t="shared" si="271"/>
        <v>0.16890002471193424</v>
      </c>
      <c r="K26" s="27">
        <f t="shared" si="271"/>
        <v>0.16946302479430736</v>
      </c>
      <c r="L26" s="27">
        <f t="shared" si="271"/>
        <v>0.17002790154362174</v>
      </c>
      <c r="M26" s="27">
        <f t="shared" si="271"/>
        <v>0.17059466121543382</v>
      </c>
      <c r="N26" s="27">
        <f t="shared" si="271"/>
        <v>0.17116331008615196</v>
      </c>
      <c r="O26" s="27">
        <f t="shared" si="271"/>
        <v>0.17173385445310579</v>
      </c>
      <c r="P26" s="27">
        <f t="shared" si="271"/>
        <v>0.17230630063461616</v>
      </c>
      <c r="Q26" s="27">
        <f t="shared" si="271"/>
        <v>0.17288065497006488</v>
      </c>
      <c r="R26" s="27">
        <f t="shared" si="271"/>
        <v>0.17345692381996508</v>
      </c>
      <c r="S26" s="27">
        <f t="shared" si="271"/>
        <v>0.17403511356603166</v>
      </c>
      <c r="T26" s="27">
        <f t="shared" si="271"/>
        <v>0.17461523061125178</v>
      </c>
      <c r="U26" s="27">
        <f t="shared" si="271"/>
        <v>0.17519728137995597</v>
      </c>
      <c r="V26" s="27">
        <f t="shared" si="271"/>
        <v>0.17578127231788915</v>
      </c>
      <c r="W26" s="27">
        <f t="shared" si="271"/>
        <v>0.17636720989228216</v>
      </c>
      <c r="X26" s="27">
        <f t="shared" si="271"/>
        <v>0.1769551005919231</v>
      </c>
      <c r="Y26" s="27">
        <f t="shared" si="271"/>
        <v>0.17754495092722949</v>
      </c>
      <c r="Z26" s="27">
        <f t="shared" si="271"/>
        <v>0.17813676743032028</v>
      </c>
      <c r="AA26" s="27">
        <f t="shared" si="271"/>
        <v>0.17873055665508802</v>
      </c>
      <c r="AB26" s="27">
        <f t="shared" si="271"/>
        <v>0.17932632517727168</v>
      </c>
      <c r="AC26" s="27">
        <f t="shared" si="271"/>
        <v>0.17992407959452927</v>
      </c>
      <c r="AD26" s="27">
        <f t="shared" si="271"/>
        <v>0.18052382652651103</v>
      </c>
      <c r="AE26" s="27">
        <f t="shared" si="271"/>
        <v>0.18112557261493273</v>
      </c>
      <c r="AF26" s="27">
        <f t="shared" si="271"/>
        <v>0.1817293245236492</v>
      </c>
      <c r="AG26" s="27">
        <f t="shared" si="271"/>
        <v>0.18233508893872802</v>
      </c>
      <c r="AH26" s="27">
        <f t="shared" si="271"/>
        <v>0.18294287256852382</v>
      </c>
      <c r="AI26" s="27">
        <f t="shared" si="271"/>
        <v>0.18355268214375223</v>
      </c>
      <c r="AJ26" s="27">
        <f t="shared" si="271"/>
        <v>0.18416452441756476</v>
      </c>
      <c r="AK26" s="27">
        <f t="shared" si="271"/>
        <v>0.18477840616562335</v>
      </c>
      <c r="AL26" s="27">
        <f t="shared" ref="AL26:BQ26" si="272">IF(OR(AL3&lt;Start,AL3&gt;=Finish),0,FeeForGarbageCollection/12*MonthlyInflation)</f>
        <v>0.18539433418617546</v>
      </c>
      <c r="AM26" s="27">
        <f t="shared" si="272"/>
        <v>0.1860123153001294</v>
      </c>
      <c r="AN26" s="27">
        <f t="shared" si="272"/>
        <v>0.18663235635112985</v>
      </c>
      <c r="AO26" s="27">
        <f t="shared" si="272"/>
        <v>0.18725446420563363</v>
      </c>
      <c r="AP26" s="27">
        <f t="shared" si="272"/>
        <v>0.18787864575298574</v>
      </c>
      <c r="AQ26" s="27">
        <f t="shared" si="272"/>
        <v>0.18850490790549571</v>
      </c>
      <c r="AR26" s="27">
        <f t="shared" si="272"/>
        <v>0.18913325759851402</v>
      </c>
      <c r="AS26" s="27">
        <f t="shared" si="272"/>
        <v>0.18976370179050908</v>
      </c>
      <c r="AT26" s="27">
        <f t="shared" si="272"/>
        <v>0.19039624746314412</v>
      </c>
      <c r="AU26" s="27">
        <f t="shared" si="272"/>
        <v>0.19103090162135464</v>
      </c>
      <c r="AV26" s="27">
        <f t="shared" si="272"/>
        <v>0.19166767129342582</v>
      </c>
      <c r="AW26" s="27">
        <f t="shared" si="272"/>
        <v>0.19230656353107059</v>
      </c>
      <c r="AX26" s="27">
        <f t="shared" si="272"/>
        <v>0.19294758540950752</v>
      </c>
      <c r="AY26" s="27">
        <f t="shared" si="272"/>
        <v>0.1935907440275392</v>
      </c>
      <c r="AZ26" s="27">
        <f t="shared" si="272"/>
        <v>0.19423604650763099</v>
      </c>
      <c r="BA26" s="27">
        <f t="shared" si="272"/>
        <v>0.19488349999598978</v>
      </c>
      <c r="BB26" s="27">
        <f t="shared" si="272"/>
        <v>0.19553311166264309</v>
      </c>
      <c r="BC26" s="27">
        <f t="shared" si="272"/>
        <v>0.19618488870151857</v>
      </c>
      <c r="BD26" s="27">
        <f t="shared" si="272"/>
        <v>0.19683883833052365</v>
      </c>
      <c r="BE26" s="27">
        <f t="shared" si="272"/>
        <v>0.1974949677916254</v>
      </c>
      <c r="BF26" s="27">
        <f t="shared" si="272"/>
        <v>0.19815328435093085</v>
      </c>
      <c r="BG26" s="27">
        <f t="shared" si="272"/>
        <v>0.1988137952987673</v>
      </c>
      <c r="BH26" s="27">
        <f t="shared" si="272"/>
        <v>0.19947650794976318</v>
      </c>
      <c r="BI26" s="27">
        <f t="shared" si="272"/>
        <v>0.20014142964292908</v>
      </c>
      <c r="BJ26" s="27">
        <f t="shared" si="272"/>
        <v>0.20080856774173886</v>
      </c>
      <c r="BK26" s="27">
        <f t="shared" si="272"/>
        <v>0.20147792963421132</v>
      </c>
      <c r="BL26" s="27">
        <f t="shared" si="272"/>
        <v>0.20214952273299205</v>
      </c>
      <c r="BM26" s="27">
        <f t="shared" si="272"/>
        <v>0.20282335447543537</v>
      </c>
      <c r="BN26" s="27">
        <f t="shared" si="272"/>
        <v>0.20349943232368686</v>
      </c>
      <c r="BO26" s="27">
        <f t="shared" si="272"/>
        <v>0.20417776376476585</v>
      </c>
      <c r="BP26" s="27">
        <f t="shared" si="272"/>
        <v>0.20485835631064842</v>
      </c>
      <c r="BQ26" s="27">
        <f t="shared" si="272"/>
        <v>0.20554121749835058</v>
      </c>
      <c r="BR26" s="27">
        <f t="shared" ref="BR26:BY26" si="273">IF(OR(BR3&lt;Start,BR3&gt;=Finish),0,FeeForGarbageCollection/12*MonthlyInflation)</f>
        <v>0.20622635489001176</v>
      </c>
      <c r="BS26" s="27">
        <f t="shared" si="273"/>
        <v>0.20691377607297848</v>
      </c>
      <c r="BT26" s="27">
        <f t="shared" si="273"/>
        <v>0.20760348865988842</v>
      </c>
      <c r="BU26" s="27">
        <f t="shared" si="273"/>
        <v>0.20829550028875471</v>
      </c>
      <c r="BV26" s="27">
        <f t="shared" si="273"/>
        <v>0.20898981862305058</v>
      </c>
      <c r="BW26" s="27">
        <f t="shared" si="273"/>
        <v>0.20968645135179409</v>
      </c>
      <c r="BX26" s="27">
        <f t="shared" si="273"/>
        <v>0.21038540618963342</v>
      </c>
      <c r="BY26" s="27">
        <f t="shared" si="273"/>
        <v>0.21108669087693221</v>
      </c>
      <c r="BZ26" s="27">
        <f t="shared" ref="BZ26:DI26" si="274">IF(OR(BZ3&lt;Start,BZ3&gt;=Finish),0,FeeForGarbageCollection/12*MonthlyInflation)</f>
        <v>0.21179031317985533</v>
      </c>
      <c r="CA26" s="27">
        <f t="shared" si="274"/>
        <v>0.21249628089045486</v>
      </c>
      <c r="CB26" s="27">
        <f t="shared" si="274"/>
        <v>0.21320460182675641</v>
      </c>
      <c r="CC26" s="27">
        <f t="shared" si="274"/>
        <v>0.21391528383284564</v>
      </c>
      <c r="CD26" s="27">
        <f t="shared" si="274"/>
        <v>0.21462833477895515</v>
      </c>
      <c r="CE26" s="27">
        <f t="shared" si="274"/>
        <v>0.21534376256155166</v>
      </c>
      <c r="CF26" s="27">
        <f t="shared" si="274"/>
        <v>0.21606157510342353</v>
      </c>
      <c r="CG26" s="27">
        <f t="shared" si="274"/>
        <v>0.2167817803537683</v>
      </c>
      <c r="CH26" s="27">
        <f t="shared" si="274"/>
        <v>0.21750438628828087</v>
      </c>
      <c r="CI26" s="27">
        <f t="shared" si="274"/>
        <v>0.21822940090924181</v>
      </c>
      <c r="CJ26" s="27">
        <f t="shared" si="274"/>
        <v>0.21895683224560594</v>
      </c>
      <c r="CK26" s="27">
        <f t="shared" si="274"/>
        <v>0.2196866883530913</v>
      </c>
      <c r="CL26" s="27">
        <f t="shared" si="274"/>
        <v>0.22041897731426829</v>
      </c>
      <c r="CM26" s="27">
        <f t="shared" si="274"/>
        <v>0.22115370723864919</v>
      </c>
      <c r="CN26" s="27">
        <f t="shared" si="274"/>
        <v>0.22189088626277803</v>
      </c>
      <c r="CO26" s="27">
        <f t="shared" si="274"/>
        <v>0.22263052255032068</v>
      </c>
      <c r="CP26" s="27">
        <f t="shared" si="274"/>
        <v>0.2233726242921551</v>
      </c>
      <c r="CQ26" s="27">
        <f t="shared" si="274"/>
        <v>0.22411719970646229</v>
      </c>
      <c r="CR26" s="27">
        <f t="shared" si="274"/>
        <v>0.22486425703881718</v>
      </c>
      <c r="CS26" s="27">
        <f t="shared" si="274"/>
        <v>0.22561380456227992</v>
      </c>
      <c r="CT26" s="27">
        <f t="shared" si="274"/>
        <v>0.22636585057748754</v>
      </c>
      <c r="CU26" s="27">
        <f t="shared" si="274"/>
        <v>0.22712040341274586</v>
      </c>
      <c r="CV26" s="27">
        <f t="shared" si="274"/>
        <v>0.22787747142412168</v>
      </c>
      <c r="CW26" s="27">
        <f t="shared" si="274"/>
        <v>0.22863706299553546</v>
      </c>
      <c r="CX26" s="27">
        <f t="shared" si="274"/>
        <v>0.22939918653885394</v>
      </c>
      <c r="CY26" s="27">
        <f t="shared" si="274"/>
        <v>0.23016385049398347</v>
      </c>
      <c r="CZ26" s="27">
        <f t="shared" si="274"/>
        <v>0.23093106332896343</v>
      </c>
      <c r="DA26" s="27">
        <f t="shared" si="274"/>
        <v>0.23170083354005999</v>
      </c>
      <c r="DB26" s="27">
        <f t="shared" si="274"/>
        <v>0.23247316965186018</v>
      </c>
      <c r="DC26" s="27">
        <f t="shared" si="274"/>
        <v>0.23324808021736643</v>
      </c>
      <c r="DD26" s="27">
        <f t="shared" si="274"/>
        <v>0.234025573818091</v>
      </c>
      <c r="DE26" s="27">
        <f t="shared" si="274"/>
        <v>0.23480565906415132</v>
      </c>
      <c r="DF26" s="27">
        <f t="shared" si="274"/>
        <v>0.23558834459436517</v>
      </c>
      <c r="DG26" s="27">
        <f t="shared" si="274"/>
        <v>0.2363736390763464</v>
      </c>
      <c r="DH26" s="27">
        <f t="shared" si="274"/>
        <v>0.2371615512066009</v>
      </c>
      <c r="DI26" s="27">
        <f t="shared" si="274"/>
        <v>0.23795208971062293</v>
      </c>
    </row>
    <row r="27" spans="2:113" s="28" customFormat="1" outlineLevel="1" x14ac:dyDescent="0.3">
      <c r="B27" s="37" t="s">
        <v>39</v>
      </c>
      <c r="C27" s="29"/>
      <c r="D27" s="31">
        <f t="shared" si="185"/>
        <v>43228.312285744767</v>
      </c>
      <c r="E27" s="31"/>
      <c r="F27" s="31">
        <f t="shared" ref="F27:AK27" si="275">SUM(F11:F13,F17:F19,F21:F23,F25:F26)*VAT</f>
        <v>710.82333333333338</v>
      </c>
      <c r="G27" s="31">
        <f t="shared" si="275"/>
        <v>713.19274444444466</v>
      </c>
      <c r="H27" s="31">
        <f t="shared" si="275"/>
        <v>715.57005359259267</v>
      </c>
      <c r="I27" s="31">
        <f t="shared" si="275"/>
        <v>717.95528710456824</v>
      </c>
      <c r="J27" s="31">
        <f t="shared" si="275"/>
        <v>720.34847139491694</v>
      </c>
      <c r="K27" s="31">
        <f t="shared" si="275"/>
        <v>722.74963296623332</v>
      </c>
      <c r="L27" s="31">
        <f t="shared" si="275"/>
        <v>725.15879840945433</v>
      </c>
      <c r="M27" s="31">
        <f t="shared" si="275"/>
        <v>727.57599440415242</v>
      </c>
      <c r="N27" s="31">
        <f t="shared" si="275"/>
        <v>730.00124771883293</v>
      </c>
      <c r="O27" s="31">
        <f t="shared" si="275"/>
        <v>732.43458521122909</v>
      </c>
      <c r="P27" s="31">
        <f t="shared" si="275"/>
        <v>734.87603382859982</v>
      </c>
      <c r="Q27" s="31">
        <f t="shared" si="275"/>
        <v>737.32562060802866</v>
      </c>
      <c r="R27" s="31">
        <f t="shared" si="275"/>
        <v>520.97787069326512</v>
      </c>
      <c r="S27" s="31">
        <f t="shared" si="275"/>
        <v>522.71446359557604</v>
      </c>
      <c r="T27" s="31">
        <f t="shared" si="275"/>
        <v>524.45684514089487</v>
      </c>
      <c r="U27" s="31">
        <f t="shared" si="275"/>
        <v>526.20503462469776</v>
      </c>
      <c r="V27" s="31">
        <f t="shared" si="275"/>
        <v>527.9590514067803</v>
      </c>
      <c r="W27" s="31">
        <f t="shared" si="275"/>
        <v>529.7189149114696</v>
      </c>
      <c r="X27" s="31">
        <f t="shared" si="275"/>
        <v>531.48464462784102</v>
      </c>
      <c r="Y27" s="31">
        <f t="shared" si="275"/>
        <v>533.25626010993381</v>
      </c>
      <c r="Z27" s="31">
        <f t="shared" si="275"/>
        <v>535.03378097696691</v>
      </c>
      <c r="AA27" s="31">
        <f t="shared" si="275"/>
        <v>536.81722691355685</v>
      </c>
      <c r="AB27" s="31">
        <f t="shared" si="275"/>
        <v>538.60661766993553</v>
      </c>
      <c r="AC27" s="31">
        <f t="shared" si="275"/>
        <v>540.40197306216874</v>
      </c>
      <c r="AD27" s="31">
        <f t="shared" si="275"/>
        <v>542.2033129723759</v>
      </c>
      <c r="AE27" s="31">
        <f t="shared" si="275"/>
        <v>544.01065734895053</v>
      </c>
      <c r="AF27" s="31">
        <f t="shared" si="275"/>
        <v>545.82402620678045</v>
      </c>
      <c r="AG27" s="31">
        <f t="shared" si="275"/>
        <v>547.64343962746955</v>
      </c>
      <c r="AH27" s="31">
        <f t="shared" si="275"/>
        <v>549.46891775956135</v>
      </c>
      <c r="AI27" s="31">
        <f t="shared" si="275"/>
        <v>551.30048081875987</v>
      </c>
      <c r="AJ27" s="31">
        <f t="shared" si="275"/>
        <v>553.13814908815596</v>
      </c>
      <c r="AK27" s="31">
        <f t="shared" si="275"/>
        <v>554.98194291844982</v>
      </c>
      <c r="AL27" s="31">
        <f t="shared" ref="AL27:BQ27" si="276">SUM(AL11:AL13,AL17:AL19,AL21:AL23,AL25:AL26)*VAT</f>
        <v>556.83188272817802</v>
      </c>
      <c r="AM27" s="31">
        <f t="shared" si="276"/>
        <v>558.68798900393858</v>
      </c>
      <c r="AN27" s="31">
        <f t="shared" si="276"/>
        <v>560.55028230061839</v>
      </c>
      <c r="AO27" s="31">
        <f t="shared" si="276"/>
        <v>562.41878324162042</v>
      </c>
      <c r="AP27" s="31">
        <f t="shared" si="276"/>
        <v>564.2935125190927</v>
      </c>
      <c r="AQ27" s="31">
        <f t="shared" si="276"/>
        <v>566.17449089415629</v>
      </c>
      <c r="AR27" s="31">
        <f t="shared" si="276"/>
        <v>568.06173919713706</v>
      </c>
      <c r="AS27" s="31">
        <f t="shared" si="276"/>
        <v>569.95527832779408</v>
      </c>
      <c r="AT27" s="31">
        <f t="shared" si="276"/>
        <v>571.85512925555338</v>
      </c>
      <c r="AU27" s="31">
        <f t="shared" si="276"/>
        <v>573.76131301973874</v>
      </c>
      <c r="AV27" s="31">
        <f t="shared" si="276"/>
        <v>575.6738507298046</v>
      </c>
      <c r="AW27" s="31">
        <f t="shared" si="276"/>
        <v>577.59276356557052</v>
      </c>
      <c r="AX27" s="31">
        <f t="shared" si="276"/>
        <v>579.51807277745581</v>
      </c>
      <c r="AY27" s="31">
        <f t="shared" si="276"/>
        <v>581.44979968671396</v>
      </c>
      <c r="AZ27" s="31">
        <f t="shared" si="276"/>
        <v>583.38796568566988</v>
      </c>
      <c r="BA27" s="31">
        <f t="shared" si="276"/>
        <v>585.33259223795528</v>
      </c>
      <c r="BB27" s="31">
        <f t="shared" si="276"/>
        <v>587.28370087874862</v>
      </c>
      <c r="BC27" s="31">
        <f t="shared" si="276"/>
        <v>589.24131321501125</v>
      </c>
      <c r="BD27" s="31">
        <f t="shared" si="276"/>
        <v>591.20545092572786</v>
      </c>
      <c r="BE27" s="31">
        <f t="shared" si="276"/>
        <v>593.17613576214706</v>
      </c>
      <c r="BF27" s="31">
        <f t="shared" si="276"/>
        <v>595.15338954802075</v>
      </c>
      <c r="BG27" s="31">
        <f t="shared" si="276"/>
        <v>597.13723417984761</v>
      </c>
      <c r="BH27" s="31">
        <f t="shared" si="276"/>
        <v>599.1276916271139</v>
      </c>
      <c r="BI27" s="31">
        <f t="shared" si="276"/>
        <v>601.12478393253753</v>
      </c>
      <c r="BJ27" s="31">
        <f t="shared" si="276"/>
        <v>603.12853321231262</v>
      </c>
      <c r="BK27" s="31">
        <f t="shared" si="276"/>
        <v>605.13896165635367</v>
      </c>
      <c r="BL27" s="31">
        <f t="shared" si="276"/>
        <v>607.15609152854177</v>
      </c>
      <c r="BM27" s="31">
        <f t="shared" si="276"/>
        <v>609.17994516697024</v>
      </c>
      <c r="BN27" s="31">
        <f t="shared" si="276"/>
        <v>611.21054498419346</v>
      </c>
      <c r="BO27" s="31">
        <f t="shared" si="276"/>
        <v>613.24791346747429</v>
      </c>
      <c r="BP27" s="31">
        <f t="shared" si="276"/>
        <v>615.29207317903263</v>
      </c>
      <c r="BQ27" s="31">
        <f t="shared" si="276"/>
        <v>617.34304675629619</v>
      </c>
      <c r="BR27" s="31">
        <f t="shared" ref="BR27:BY27" si="277">SUM(BR11:BR13,BR17:BR19,BR21:BR23,BR25:BR26)*VAT</f>
        <v>619.4008569121504</v>
      </c>
      <c r="BS27" s="31">
        <f t="shared" si="277"/>
        <v>621.46552643519078</v>
      </c>
      <c r="BT27" s="31">
        <f t="shared" si="277"/>
        <v>623.53707818997498</v>
      </c>
      <c r="BU27" s="31">
        <f t="shared" si="277"/>
        <v>625.61553511727482</v>
      </c>
      <c r="BV27" s="31">
        <f t="shared" si="277"/>
        <v>627.70092023433244</v>
      </c>
      <c r="BW27" s="31">
        <f t="shared" si="277"/>
        <v>629.79325663511372</v>
      </c>
      <c r="BX27" s="31">
        <f t="shared" si="277"/>
        <v>631.89256749056403</v>
      </c>
      <c r="BY27" s="31">
        <f t="shared" si="277"/>
        <v>633.99887604886601</v>
      </c>
      <c r="BZ27" s="31">
        <f t="shared" ref="BZ27" si="278">SUM(BZ11:BZ13,BZ17:BZ19,BZ21:BZ23,BZ25:BZ26)*VAT</f>
        <v>636.11220563569543</v>
      </c>
      <c r="CA27" s="31">
        <f t="shared" ref="CA27" si="279">SUM(CA11:CA13,CA17:CA19,CA21:CA23,CA25:CA26)*VAT</f>
        <v>638.23257965448124</v>
      </c>
      <c r="CB27" s="31">
        <f t="shared" ref="CB27" si="280">SUM(CB11:CB13,CB17:CB19,CB21:CB23,CB25:CB26)*VAT</f>
        <v>640.36002158666292</v>
      </c>
      <c r="CC27" s="31">
        <f t="shared" ref="CC27" si="281">SUM(CC11:CC13,CC17:CC19,CC21:CC23,CC25:CC26)*VAT</f>
        <v>642.49455499195199</v>
      </c>
      <c r="CD27" s="31">
        <f t="shared" ref="CD27" si="282">SUM(CD11:CD13,CD17:CD19,CD21:CD23,CD25:CD26)*VAT</f>
        <v>644.63620350859173</v>
      </c>
      <c r="CE27" s="31">
        <f t="shared" ref="CE27" si="283">SUM(CE11:CE13,CE17:CE19,CE21:CE23,CE25:CE26)*VAT</f>
        <v>646.78499085362046</v>
      </c>
      <c r="CF27" s="31">
        <f t="shared" ref="CF27" si="284">SUM(CF11:CF13,CF17:CF19,CF21:CF23,CF25:CF26)*VAT</f>
        <v>648.94094082313268</v>
      </c>
      <c r="CG27" s="31">
        <f t="shared" ref="CG27" si="285">SUM(CG11:CG13,CG17:CG19,CG21:CG23,CG25:CG26)*VAT</f>
        <v>651.10407729254314</v>
      </c>
      <c r="CH27" s="31">
        <f t="shared" ref="CH27" si="286">SUM(CH11:CH13,CH17:CH19,CH21:CH23,CH25:CH26)*VAT</f>
        <v>653.27442421685146</v>
      </c>
      <c r="CI27" s="31">
        <f t="shared" ref="CI27" si="287">SUM(CI11:CI13,CI17:CI19,CI21:CI23,CI25:CI26)*VAT</f>
        <v>655.45200563090759</v>
      </c>
      <c r="CJ27" s="31">
        <f t="shared" ref="CJ27" si="288">SUM(CJ11:CJ13,CJ17:CJ19,CJ21:CJ23,CJ25:CJ26)*VAT</f>
        <v>657.63684564967753</v>
      </c>
      <c r="CK27" s="31">
        <f t="shared" ref="CK27" si="289">SUM(CK11:CK13,CK17:CK19,CK21:CK23,CK25:CK26)*VAT</f>
        <v>659.82896846850974</v>
      </c>
      <c r="CL27" s="31">
        <f t="shared" ref="CL27" si="290">SUM(CL11:CL13,CL17:CL19,CL21:CL23,CL25:CL26)*VAT</f>
        <v>662.0283983634049</v>
      </c>
      <c r="CM27" s="31">
        <f t="shared" ref="CM27" si="291">SUM(CM11:CM13,CM17:CM19,CM21:CM23,CM25:CM26)*VAT</f>
        <v>664.235159691283</v>
      </c>
      <c r="CN27" s="31">
        <f t="shared" ref="CN27" si="292">SUM(CN11:CN13,CN17:CN19,CN21:CN23,CN25:CN26)*VAT</f>
        <v>666.44927689025383</v>
      </c>
      <c r="CO27" s="31">
        <f t="shared" ref="CO27" si="293">SUM(CO11:CO13,CO17:CO19,CO21:CO23,CO25:CO26)*VAT</f>
        <v>668.67077447988822</v>
      </c>
      <c r="CP27" s="31">
        <f t="shared" ref="CP27" si="294">SUM(CP11:CP13,CP17:CP19,CP21:CP23,CP25:CP26)*VAT</f>
        <v>670.89967706148786</v>
      </c>
      <c r="CQ27" s="31">
        <f t="shared" ref="CQ27" si="295">SUM(CQ11:CQ13,CQ17:CQ19,CQ21:CQ23,CQ25:CQ26)*VAT</f>
        <v>673.13600931835947</v>
      </c>
      <c r="CR27" s="31">
        <f t="shared" ref="CR27" si="296">SUM(CR11:CR13,CR17:CR19,CR21:CR23,CR25:CR26)*VAT</f>
        <v>675.37979601608743</v>
      </c>
      <c r="CS27" s="31">
        <f t="shared" ref="CS27" si="297">SUM(CS11:CS13,CS17:CS19,CS21:CS23,CS25:CS26)*VAT</f>
        <v>677.63106200280777</v>
      </c>
      <c r="CT27" s="31">
        <f t="shared" ref="CT27" si="298">SUM(CT11:CT13,CT17:CT19,CT21:CT23,CT25:CT26)*VAT</f>
        <v>679.88983220948387</v>
      </c>
      <c r="CU27" s="31">
        <f t="shared" ref="CU27" si="299">SUM(CU11:CU13,CU17:CU19,CU21:CU23,CU25:CU26)*VAT</f>
        <v>682.15613165018226</v>
      </c>
      <c r="CV27" s="31">
        <f t="shared" ref="CV27" si="300">SUM(CV11:CV13,CV17:CV19,CV21:CV23,CV25:CV26)*VAT</f>
        <v>684.42998542234966</v>
      </c>
      <c r="CW27" s="31">
        <f t="shared" ref="CW27" si="301">SUM(CW11:CW13,CW17:CW19,CW21:CW23,CW25:CW26)*VAT</f>
        <v>686.71141870709084</v>
      </c>
      <c r="CX27" s="31">
        <f t="shared" ref="CX27" si="302">SUM(CX11:CX13,CX17:CX19,CX21:CX23,CX25:CX26)*VAT</f>
        <v>689.00045676944796</v>
      </c>
      <c r="CY27" s="31">
        <f t="shared" ref="CY27" si="303">SUM(CY11:CY13,CY17:CY19,CY21:CY23,CY25:CY26)*VAT</f>
        <v>691.29712495867943</v>
      </c>
      <c r="CZ27" s="31">
        <f t="shared" ref="CZ27" si="304">SUM(CZ11:CZ13,CZ17:CZ19,CZ21:CZ23,CZ25:CZ26)*VAT</f>
        <v>693.60144870854174</v>
      </c>
      <c r="DA27" s="31">
        <f t="shared" ref="DA27" si="305">SUM(DA11:DA13,DA17:DA19,DA21:DA23,DA25:DA26)*VAT</f>
        <v>695.91345353757015</v>
      </c>
      <c r="DB27" s="31">
        <f t="shared" ref="DB27" si="306">SUM(DB11:DB13,DB17:DB19,DB21:DB23,DB25:DB26)*VAT</f>
        <v>698.23316504936224</v>
      </c>
      <c r="DC27" s="31">
        <f t="shared" ref="DC27" si="307">SUM(DC11:DC13,DC17:DC19,DC21:DC23,DC25:DC26)*VAT</f>
        <v>700.56060893286008</v>
      </c>
      <c r="DD27" s="31">
        <f t="shared" ref="DD27" si="308">SUM(DD11:DD13,DD17:DD19,DD21:DD23,DD25:DD26)*VAT</f>
        <v>702.89581096263646</v>
      </c>
      <c r="DE27" s="31">
        <f t="shared" ref="DE27" si="309">SUM(DE11:DE13,DE17:DE19,DE21:DE23,DE25:DE26)*VAT</f>
        <v>705.2387969991787</v>
      </c>
      <c r="DF27" s="31">
        <f t="shared" ref="DF27" si="310">SUM(DF11:DF13,DF17:DF19,DF21:DF23,DF25:DF26)*VAT</f>
        <v>707.5895929891758</v>
      </c>
      <c r="DG27" s="31">
        <f t="shared" ref="DG27" si="311">SUM(DG11:DG13,DG17:DG19,DG21:DG23,DG25:DG26)*VAT</f>
        <v>709.94822496580639</v>
      </c>
      <c r="DH27" s="31">
        <f t="shared" ref="DH27" si="312">SUM(DH11:DH13,DH17:DH19,DH21:DH23,DH25:DH26)*VAT</f>
        <v>712.31471904902583</v>
      </c>
      <c r="DI27" s="31">
        <f t="shared" ref="DI27" si="313">SUM(DI11:DI13,DI17:DI19,DI21:DI23,DI25:DI26)*VAT</f>
        <v>714.68910144585607</v>
      </c>
    </row>
    <row r="28" spans="2:113" x14ac:dyDescent="0.3">
      <c r="B28" s="22" t="s">
        <v>80</v>
      </c>
      <c r="C28" s="23"/>
      <c r="D28" s="24">
        <f>D6-D10</f>
        <v>474843.97663835163</v>
      </c>
      <c r="E28" s="24"/>
      <c r="F28" s="24">
        <f t="shared" ref="F28:BA28" si="314">F6-F10</f>
        <v>1277.6561333333339</v>
      </c>
      <c r="G28" s="24">
        <f t="shared" si="314"/>
        <v>1704.5567735391942</v>
      </c>
      <c r="H28" s="24">
        <f t="shared" si="314"/>
        <v>-856.85708396616519</v>
      </c>
      <c r="I28" s="24">
        <f t="shared" si="314"/>
        <v>2553.1429653923205</v>
      </c>
      <c r="J28" s="24">
        <f t="shared" si="314"/>
        <v>2988.5357499489382</v>
      </c>
      <c r="K28" s="24">
        <f t="shared" si="314"/>
        <v>421.84018065822784</v>
      </c>
      <c r="L28" s="24">
        <f t="shared" si="314"/>
        <v>3854.0960412751911</v>
      </c>
      <c r="M28" s="24">
        <f t="shared" si="314"/>
        <v>4298.1084043855253</v>
      </c>
      <c r="N28" s="24">
        <f t="shared" si="314"/>
        <v>1712.0269536439846</v>
      </c>
      <c r="O28" s="24">
        <f t="shared" si="314"/>
        <v>5152.8951065166611</v>
      </c>
      <c r="P28" s="24">
        <f t="shared" si="314"/>
        <v>5591.5147314907517</v>
      </c>
      <c r="Q28" s="24">
        <f t="shared" si="314"/>
        <v>3055.9498644072255</v>
      </c>
      <c r="R28" s="24">
        <f t="shared" si="314"/>
        <v>7585.5382800673378</v>
      </c>
      <c r="S28" s="24">
        <f t="shared" si="314"/>
        <v>7610.8234076675626</v>
      </c>
      <c r="T28" s="24">
        <f t="shared" si="314"/>
        <v>4645.0465132264562</v>
      </c>
      <c r="U28" s="24">
        <f t="shared" si="314"/>
        <v>7661.6467950898768</v>
      </c>
      <c r="V28" s="24">
        <f t="shared" si="314"/>
        <v>7687.1856177401733</v>
      </c>
      <c r="W28" s="24">
        <f t="shared" si="314"/>
        <v>4721.6632639993122</v>
      </c>
      <c r="X28" s="24">
        <f t="shared" si="314"/>
        <v>7738.5189350319743</v>
      </c>
      <c r="Y28" s="24">
        <f t="shared" si="314"/>
        <v>7764.3139981487475</v>
      </c>
      <c r="Z28" s="24">
        <f t="shared" si="314"/>
        <v>4799.0487390092439</v>
      </c>
      <c r="AA28" s="24">
        <f t="shared" si="314"/>
        <v>7816.1623616252782</v>
      </c>
      <c r="AB28" s="24">
        <f t="shared" si="314"/>
        <v>7842.2162361640276</v>
      </c>
      <c r="AC28" s="24">
        <f t="shared" si="314"/>
        <v>4877.2106511512429</v>
      </c>
      <c r="AD28" s="24">
        <f t="shared" si="314"/>
        <v>7894.5848134744137</v>
      </c>
      <c r="AE28" s="24">
        <f t="shared" si="314"/>
        <v>7920.9000961859947</v>
      </c>
      <c r="AF28" s="24">
        <f t="shared" si="314"/>
        <v>4956.1567907066164</v>
      </c>
      <c r="AG28" s="24">
        <f t="shared" si="314"/>
        <v>7973.7941068283044</v>
      </c>
      <c r="AH28" s="24">
        <f t="shared" si="314"/>
        <v>8000.3734205177334</v>
      </c>
      <c r="AI28" s="24">
        <f t="shared" si="314"/>
        <v>5035.8950261194586</v>
      </c>
      <c r="AJ28" s="24">
        <f t="shared" si="314"/>
        <v>8053.7981363591907</v>
      </c>
      <c r="AK28" s="24">
        <f t="shared" si="314"/>
        <v>8080.6441301470568</v>
      </c>
      <c r="AL28" s="24">
        <f t="shared" si="314"/>
        <v>5116.4333047808805</v>
      </c>
      <c r="AM28" s="24">
        <f t="shared" si="314"/>
        <v>8134.6048759494879</v>
      </c>
      <c r="AN28" s="24">
        <f t="shared" si="314"/>
        <v>8161.7202255359853</v>
      </c>
      <c r="AO28" s="24">
        <f t="shared" si="314"/>
        <v>5197.7796538211069</v>
      </c>
      <c r="AP28" s="24">
        <f t="shared" si="314"/>
        <v>8216.2223794865076</v>
      </c>
      <c r="AQ28" s="24">
        <f t="shared" si="314"/>
        <v>8243.6097874181323</v>
      </c>
      <c r="AR28" s="24">
        <f t="shared" si="314"/>
        <v>5279.9421809095256</v>
      </c>
      <c r="AS28" s="24">
        <f t="shared" si="314"/>
        <v>8298.6587816652245</v>
      </c>
      <c r="AT28" s="24">
        <f t="shared" si="314"/>
        <v>8326.3209776041094</v>
      </c>
      <c r="AU28" s="24">
        <f t="shared" si="314"/>
        <v>5362.9290750627933</v>
      </c>
      <c r="AV28" s="24">
        <f t="shared" si="314"/>
        <v>8381.9222987989997</v>
      </c>
      <c r="AW28" s="24">
        <f t="shared" si="314"/>
        <v>8409.8620397949981</v>
      </c>
      <c r="AX28" s="24">
        <f t="shared" si="314"/>
        <v>5446.7486074609797</v>
      </c>
      <c r="AY28" s="24">
        <f t="shared" si="314"/>
        <v>8466.021229638518</v>
      </c>
      <c r="AZ28" s="24">
        <f t="shared" si="314"/>
        <v>8494.241300403979</v>
      </c>
      <c r="BA28" s="24">
        <f t="shared" si="314"/>
        <v>5531.4091322719933</v>
      </c>
      <c r="BB28" s="24">
        <f t="shared" ref="BB28:BQ28" si="315">BB6-BB10</f>
        <v>8550.9639561989006</v>
      </c>
      <c r="BC28" s="24">
        <f t="shared" si="315"/>
        <v>8579.467169386231</v>
      </c>
      <c r="BD28" s="24">
        <f t="shared" si="315"/>
        <v>5616.9190874841861</v>
      </c>
      <c r="BE28" s="24">
        <f t="shared" si="315"/>
        <v>8636.7589445951344</v>
      </c>
      <c r="BF28" s="24">
        <f t="shared" si="315"/>
        <v>8665.5481410771172</v>
      </c>
      <c r="BG28" s="24">
        <f t="shared" si="315"/>
        <v>5703.2869957473777</v>
      </c>
      <c r="BH28" s="24">
        <f t="shared" si="315"/>
        <v>8723.4147458858679</v>
      </c>
      <c r="BI28" s="24">
        <f t="shared" si="315"/>
        <v>8752.4927950388192</v>
      </c>
      <c r="BJ28" s="24">
        <f t="shared" si="315"/>
        <v>5790.5214652222849</v>
      </c>
      <c r="BK28" s="24">
        <f t="shared" si="315"/>
        <v>8810.939996925692</v>
      </c>
      <c r="BL28" s="24">
        <f t="shared" si="315"/>
        <v>8840.3097969154423</v>
      </c>
      <c r="BM28" s="24">
        <f t="shared" si="315"/>
        <v>5878.6311904384957</v>
      </c>
      <c r="BN28" s="24">
        <f t="shared" si="315"/>
        <v>8899.3434212259599</v>
      </c>
      <c r="BO28" s="24">
        <f t="shared" si="315"/>
        <v>8929.0078992967137</v>
      </c>
      <c r="BP28" s="24">
        <f t="shared" si="315"/>
        <v>5967.6249531610356</v>
      </c>
      <c r="BQ28" s="24">
        <f t="shared" si="315"/>
        <v>8988.6338298242408</v>
      </c>
      <c r="BR28" s="24">
        <f>BR6-BR10</f>
        <v>9018.595942590322</v>
      </c>
      <c r="BS28" s="24">
        <f>BS6-BS10</f>
        <v>6057.5116232656219</v>
      </c>
      <c r="BT28" s="24">
        <f t="shared" ref="BT28:BY28" si="316">BT6-BT10</f>
        <v>9078.8201221625113</v>
      </c>
      <c r="BU28" s="24">
        <f t="shared" si="316"/>
        <v>9109.0828559030488</v>
      </c>
      <c r="BV28" s="24">
        <f t="shared" si="316"/>
        <v>6148.3001596227296</v>
      </c>
      <c r="BW28" s="24">
        <f t="shared" si="316"/>
        <v>9169.9112869741366</v>
      </c>
      <c r="BX28" s="24">
        <f t="shared" si="316"/>
        <v>9200.4776579307145</v>
      </c>
      <c r="BY28" s="24">
        <f t="shared" si="316"/>
        <v>6239.9996109904887</v>
      </c>
      <c r="BZ28" s="24">
        <f t="shared" ref="BZ28:DI28" si="317">BZ6-BZ10</f>
        <v>9261.9164031797918</v>
      </c>
      <c r="CA28" s="24">
        <f t="shared" si="317"/>
        <v>9292.7894578570558</v>
      </c>
      <c r="CB28" s="24">
        <f t="shared" si="317"/>
        <v>6332.6191169165841</v>
      </c>
      <c r="CC28" s="24">
        <f t="shared" si="317"/>
        <v>9354.8446407923057</v>
      </c>
      <c r="CD28" s="24">
        <f t="shared" si="317"/>
        <v>9386.027456261616</v>
      </c>
      <c r="CE28" s="24">
        <f t="shared" si="317"/>
        <v>6426.1679086491549</v>
      </c>
      <c r="CF28" s="24">
        <f t="shared" si="317"/>
        <v>9448.7052618306516</v>
      </c>
      <c r="CG28" s="24">
        <f t="shared" si="317"/>
        <v>9480.2009460367572</v>
      </c>
      <c r="CH28" s="24">
        <f t="shared" si="317"/>
        <v>6520.6553100568781</v>
      </c>
      <c r="CI28" s="24">
        <f t="shared" si="317"/>
        <v>9543.5076212430686</v>
      </c>
      <c r="CJ28" s="24">
        <f t="shared" si="317"/>
        <v>9575.3193133138811</v>
      </c>
      <c r="CK28" s="24">
        <f t="shared" si="317"/>
        <v>6616.0907385582595</v>
      </c>
      <c r="CL28" s="24">
        <f t="shared" si="317"/>
        <v>9639.2611678394533</v>
      </c>
      <c r="CM28" s="24">
        <f t="shared" si="317"/>
        <v>9671.3920383989207</v>
      </c>
      <c r="CN28" s="24">
        <f t="shared" si="317"/>
        <v>6712.4837060602495</v>
      </c>
      <c r="CO28" s="24">
        <f t="shared" si="317"/>
        <v>9735.9754452331181</v>
      </c>
      <c r="CP28" s="24">
        <f t="shared" si="317"/>
        <v>9768.4286967172302</v>
      </c>
      <c r="CQ28" s="24">
        <f t="shared" si="317"/>
        <v>6809.8438199062884</v>
      </c>
      <c r="CR28" s="24">
        <f t="shared" si="317"/>
        <v>9833.6600927919735</v>
      </c>
      <c r="CS28" s="24">
        <f t="shared" si="317"/>
        <v>9866.4389597679492</v>
      </c>
      <c r="CT28" s="24">
        <f t="shared" si="317"/>
        <v>6908.1807838338436</v>
      </c>
      <c r="CU28" s="24">
        <f t="shared" si="317"/>
        <v>9932.324846599291</v>
      </c>
      <c r="CV28" s="24">
        <f t="shared" si="317"/>
        <v>9965.432596087956</v>
      </c>
      <c r="CW28" s="24">
        <f t="shared" si="317"/>
        <v>7007.5043989415826</v>
      </c>
      <c r="CX28" s="24">
        <f t="shared" si="317"/>
        <v>10031.979540424058</v>
      </c>
      <c r="CY28" s="24">
        <f t="shared" si="317"/>
        <v>10065.419472225471</v>
      </c>
      <c r="CZ28" s="24">
        <f t="shared" si="317"/>
        <v>7107.8245646662244</v>
      </c>
      <c r="DA28" s="24">
        <f t="shared" si="317"/>
        <v>10132.634106701109</v>
      </c>
      <c r="DB28" s="24">
        <f t="shared" si="317"/>
        <v>10166.40955372345</v>
      </c>
      <c r="DC28" s="24">
        <f t="shared" si="317"/>
        <v>7209.1512797691958</v>
      </c>
      <c r="DD28" s="24">
        <f t="shared" si="317"/>
        <v>10234.298577521091</v>
      </c>
      <c r="DE28" s="24">
        <f t="shared" si="317"/>
        <v>10268.41290611283</v>
      </c>
      <c r="DF28" s="24">
        <f t="shared" si="317"/>
        <v>7311.494643333207</v>
      </c>
      <c r="DG28" s="24">
        <f t="shared" si="317"/>
        <v>10336.98308563032</v>
      </c>
      <c r="DH28" s="24">
        <f t="shared" si="317"/>
        <v>10371.439695915753</v>
      </c>
      <c r="DI28" s="24">
        <f t="shared" si="317"/>
        <v>7414.8648557688075</v>
      </c>
    </row>
    <row r="29" spans="2:113" x14ac:dyDescent="0.3">
      <c r="B29" s="6" t="s">
        <v>81</v>
      </c>
      <c r="D29" s="26">
        <f>D28/D6</f>
        <v>0.57343043634348589</v>
      </c>
      <c r="E29" s="26"/>
      <c r="F29" s="26">
        <f t="shared" ref="F29:BA29" si="318">F28/F6</f>
        <v>0.22670469138382118</v>
      </c>
      <c r="G29" s="26">
        <f t="shared" si="318"/>
        <v>0.28048387982724088</v>
      </c>
      <c r="H29" s="26">
        <f t="shared" si="318"/>
        <v>-0.13138940079063779</v>
      </c>
      <c r="I29" s="26">
        <f t="shared" si="318"/>
        <v>0.36709532998427596</v>
      </c>
      <c r="J29" s="26">
        <f t="shared" si="318"/>
        <v>0.40358066629619033</v>
      </c>
      <c r="K29" s="26">
        <f t="shared" si="318"/>
        <v>5.3777169729576912E-2</v>
      </c>
      <c r="L29" s="26">
        <f t="shared" si="318"/>
        <v>0.4643430670950347</v>
      </c>
      <c r="M29" s="26">
        <f t="shared" si="318"/>
        <v>0.49071118944412156</v>
      </c>
      <c r="N29" s="26">
        <f t="shared" si="318"/>
        <v>0.18651824353879909</v>
      </c>
      <c r="O29" s="26">
        <f t="shared" si="318"/>
        <v>0.53433801173891904</v>
      </c>
      <c r="P29" s="26">
        <f t="shared" si="318"/>
        <v>0.55377429731611494</v>
      </c>
      <c r="Q29" s="26">
        <f t="shared" si="318"/>
        <v>0.28917831737680028</v>
      </c>
      <c r="R29" s="26">
        <f t="shared" si="318"/>
        <v>0.68789442474429452</v>
      </c>
      <c r="S29" s="26">
        <f t="shared" si="318"/>
        <v>0.68789442474429452</v>
      </c>
      <c r="T29" s="26">
        <f t="shared" si="318"/>
        <v>0.41844171236285982</v>
      </c>
      <c r="U29" s="26">
        <f t="shared" si="318"/>
        <v>0.68789442474429452</v>
      </c>
      <c r="V29" s="26">
        <f t="shared" si="318"/>
        <v>0.6878944247442943</v>
      </c>
      <c r="W29" s="26">
        <f t="shared" si="318"/>
        <v>0.4211183752731481</v>
      </c>
      <c r="X29" s="26">
        <f t="shared" si="318"/>
        <v>0.68789442474429441</v>
      </c>
      <c r="Y29" s="26">
        <f t="shared" si="318"/>
        <v>0.68789442474429441</v>
      </c>
      <c r="Z29" s="26">
        <f t="shared" si="318"/>
        <v>0.42376844901210453</v>
      </c>
      <c r="AA29" s="26">
        <f t="shared" si="318"/>
        <v>0.68789442474429452</v>
      </c>
      <c r="AB29" s="26">
        <f t="shared" si="318"/>
        <v>0.68789442474429441</v>
      </c>
      <c r="AC29" s="26">
        <f t="shared" si="318"/>
        <v>0.42639219770863018</v>
      </c>
      <c r="AD29" s="26">
        <f t="shared" si="318"/>
        <v>0.68789442474429441</v>
      </c>
      <c r="AE29" s="26">
        <f t="shared" si="318"/>
        <v>0.68789442474429441</v>
      </c>
      <c r="AF29" s="26">
        <f t="shared" si="318"/>
        <v>0.42898988286784767</v>
      </c>
      <c r="AG29" s="26">
        <f t="shared" si="318"/>
        <v>0.68789442474429441</v>
      </c>
      <c r="AH29" s="26">
        <f t="shared" si="318"/>
        <v>0.68789442474429441</v>
      </c>
      <c r="AI29" s="26">
        <f t="shared" si="318"/>
        <v>0.43156176339716606</v>
      </c>
      <c r="AJ29" s="26">
        <f t="shared" si="318"/>
        <v>0.68789442474429441</v>
      </c>
      <c r="AK29" s="26">
        <f t="shared" si="318"/>
        <v>0.68789442474429441</v>
      </c>
      <c r="AL29" s="26">
        <f t="shared" si="318"/>
        <v>0.43410809563208569</v>
      </c>
      <c r="AM29" s="26">
        <f t="shared" si="318"/>
        <v>0.68789442474429452</v>
      </c>
      <c r="AN29" s="26">
        <f t="shared" si="318"/>
        <v>0.68789442474429452</v>
      </c>
      <c r="AO29" s="26">
        <f t="shared" si="318"/>
        <v>0.43662913336174602</v>
      </c>
      <c r="AP29" s="26">
        <f t="shared" si="318"/>
        <v>0.68789442474429441</v>
      </c>
      <c r="AQ29" s="26">
        <f t="shared" si="318"/>
        <v>0.68789442474429441</v>
      </c>
      <c r="AR29" s="26">
        <f t="shared" si="318"/>
        <v>0.43912512785422075</v>
      </c>
      <c r="AS29" s="26">
        <f t="shared" si="318"/>
        <v>0.68789442474429441</v>
      </c>
      <c r="AT29" s="26">
        <f t="shared" si="318"/>
        <v>0.68789442474429452</v>
      </c>
      <c r="AU29" s="26">
        <f t="shared" si="318"/>
        <v>0.44159632788156211</v>
      </c>
      <c r="AV29" s="26">
        <f t="shared" si="318"/>
        <v>0.68789442474429441</v>
      </c>
      <c r="AW29" s="26">
        <f t="shared" si="318"/>
        <v>0.68789442474429452</v>
      </c>
      <c r="AX29" s="26">
        <f t="shared" si="318"/>
        <v>0.44404297974459384</v>
      </c>
      <c r="AY29" s="26">
        <f t="shared" si="318"/>
        <v>0.68789442474429441</v>
      </c>
      <c r="AZ29" s="26">
        <f t="shared" si="318"/>
        <v>0.68789442474429441</v>
      </c>
      <c r="BA29" s="26">
        <f t="shared" si="318"/>
        <v>0.44646532729746224</v>
      </c>
      <c r="BB29" s="26">
        <f t="shared" ref="BB29:BQ29" si="319">BB28/BB6</f>
        <v>0.68789442474429441</v>
      </c>
      <c r="BC29" s="26">
        <f t="shared" si="319"/>
        <v>0.68789442474429441</v>
      </c>
      <c r="BD29" s="26">
        <f t="shared" si="319"/>
        <v>0.44886361197193808</v>
      </c>
      <c r="BE29" s="26">
        <f t="shared" si="319"/>
        <v>0.68789442474429441</v>
      </c>
      <c r="BF29" s="26">
        <f t="shared" si="319"/>
        <v>0.68789442474429441</v>
      </c>
      <c r="BG29" s="26">
        <f t="shared" si="319"/>
        <v>0.4512380728014812</v>
      </c>
      <c r="BH29" s="26">
        <f t="shared" si="319"/>
        <v>0.68789442474429452</v>
      </c>
      <c r="BI29" s="26">
        <f t="shared" si="319"/>
        <v>0.6878944247442943</v>
      </c>
      <c r="BJ29" s="26">
        <f t="shared" si="319"/>
        <v>0.45358894644506415</v>
      </c>
      <c r="BK29" s="26">
        <f t="shared" si="319"/>
        <v>0.68789442474429452</v>
      </c>
      <c r="BL29" s="26">
        <f t="shared" si="319"/>
        <v>0.6878944247442943</v>
      </c>
      <c r="BM29" s="26">
        <f t="shared" si="319"/>
        <v>0.45591646721076007</v>
      </c>
      <c r="BN29" s="26">
        <f t="shared" si="319"/>
        <v>0.68789442474429441</v>
      </c>
      <c r="BO29" s="26">
        <f t="shared" si="319"/>
        <v>0.6878944247442943</v>
      </c>
      <c r="BP29" s="26">
        <f t="shared" si="319"/>
        <v>0.4582208670790956</v>
      </c>
      <c r="BQ29" s="26">
        <f t="shared" si="319"/>
        <v>0.6878944247442943</v>
      </c>
      <c r="BR29" s="26">
        <f>BR28/BR6</f>
        <v>0.68789442474429441</v>
      </c>
      <c r="BS29" s="26">
        <f>BS28/BS6</f>
        <v>0.46050237572617186</v>
      </c>
      <c r="BT29" s="26">
        <f t="shared" ref="BT29" si="320">BT28/BT6</f>
        <v>0.68789442474429452</v>
      </c>
      <c r="BU29" s="26">
        <f t="shared" ref="BU29" si="321">BU28/BU6</f>
        <v>0.6878944247442943</v>
      </c>
      <c r="BV29" s="26">
        <f t="shared" ref="BV29" si="322">BV28/BV6</f>
        <v>0.46276122054655616</v>
      </c>
      <c r="BW29" s="26">
        <f t="shared" ref="BW29" si="323">BW28/BW6</f>
        <v>0.6878944247442943</v>
      </c>
      <c r="BX29" s="26">
        <f t="shared" ref="BX29" si="324">BX28/BX6</f>
        <v>0.68789442474429419</v>
      </c>
      <c r="BY29" s="26">
        <f t="shared" ref="BY29:DI29" si="325">BY28/BY6</f>
        <v>0.46499762667594557</v>
      </c>
      <c r="BZ29" s="26">
        <f t="shared" si="325"/>
        <v>0.68789442474429452</v>
      </c>
      <c r="CA29" s="26">
        <f t="shared" si="325"/>
        <v>0.6878944247442943</v>
      </c>
      <c r="CB29" s="26">
        <f t="shared" si="325"/>
        <v>0.46721181701360687</v>
      </c>
      <c r="CC29" s="26">
        <f t="shared" si="325"/>
        <v>0.68789442474429441</v>
      </c>
      <c r="CD29" s="26">
        <f t="shared" si="325"/>
        <v>0.68789442474429441</v>
      </c>
      <c r="CE29" s="26">
        <f t="shared" si="325"/>
        <v>0.46940401224459144</v>
      </c>
      <c r="CF29" s="26">
        <f t="shared" si="325"/>
        <v>0.6878944247442943</v>
      </c>
      <c r="CG29" s="26">
        <f t="shared" si="325"/>
        <v>0.68789442474429441</v>
      </c>
      <c r="CH29" s="26">
        <f t="shared" si="325"/>
        <v>0.47157443086173145</v>
      </c>
      <c r="CI29" s="26">
        <f t="shared" si="325"/>
        <v>0.68789442474429441</v>
      </c>
      <c r="CJ29" s="26">
        <f t="shared" si="325"/>
        <v>0.68789442474429452</v>
      </c>
      <c r="CK29" s="26">
        <f t="shared" si="325"/>
        <v>0.47372328918741646</v>
      </c>
      <c r="CL29" s="26">
        <f t="shared" si="325"/>
        <v>0.68789442474429441</v>
      </c>
      <c r="CM29" s="26">
        <f t="shared" si="325"/>
        <v>0.68789442474429452</v>
      </c>
      <c r="CN29" s="26">
        <f t="shared" si="325"/>
        <v>0.47585080139515373</v>
      </c>
      <c r="CO29" s="26">
        <f t="shared" si="325"/>
        <v>0.68789442474429441</v>
      </c>
      <c r="CP29" s="26">
        <f t="shared" si="325"/>
        <v>0.68789442474429441</v>
      </c>
      <c r="CQ29" s="26">
        <f t="shared" si="325"/>
        <v>0.47795717953091488</v>
      </c>
      <c r="CR29" s="26">
        <f t="shared" si="325"/>
        <v>0.6878944247442943</v>
      </c>
      <c r="CS29" s="26">
        <f t="shared" si="325"/>
        <v>0.68789442474429441</v>
      </c>
      <c r="CT29" s="26">
        <f t="shared" si="325"/>
        <v>0.48004263353427001</v>
      </c>
      <c r="CU29" s="26">
        <f t="shared" si="325"/>
        <v>0.68789442474429441</v>
      </c>
      <c r="CV29" s="26">
        <f t="shared" si="325"/>
        <v>0.68789442474429441</v>
      </c>
      <c r="CW29" s="26">
        <f t="shared" si="325"/>
        <v>0.48210737125931202</v>
      </c>
      <c r="CX29" s="26">
        <f t="shared" si="325"/>
        <v>0.68789442474429441</v>
      </c>
      <c r="CY29" s="26">
        <f t="shared" si="325"/>
        <v>0.6878944247442943</v>
      </c>
      <c r="CZ29" s="26">
        <f t="shared" si="325"/>
        <v>0.48415159849537365</v>
      </c>
      <c r="DA29" s="26">
        <f t="shared" si="325"/>
        <v>0.6878944247442943</v>
      </c>
      <c r="DB29" s="26">
        <f t="shared" si="325"/>
        <v>0.68789442474429452</v>
      </c>
      <c r="DC29" s="26">
        <f t="shared" si="325"/>
        <v>0.48617551898753714</v>
      </c>
      <c r="DD29" s="26">
        <f t="shared" si="325"/>
        <v>0.6878944247442943</v>
      </c>
      <c r="DE29" s="26">
        <f t="shared" si="325"/>
        <v>0.6878944247442943</v>
      </c>
      <c r="DF29" s="26">
        <f t="shared" si="325"/>
        <v>0.488179334456942</v>
      </c>
      <c r="DG29" s="26">
        <f t="shared" si="325"/>
        <v>0.68789442474429441</v>
      </c>
      <c r="DH29" s="26">
        <f t="shared" si="325"/>
        <v>0.6878944247442943</v>
      </c>
      <c r="DI29" s="26">
        <f t="shared" si="325"/>
        <v>0.49016324462089061</v>
      </c>
    </row>
    <row r="30" spans="2:113" collapsed="1" x14ac:dyDescent="0.3">
      <c r="B30" s="6" t="s">
        <v>82</v>
      </c>
      <c r="D30" s="27">
        <f>SUM(F30:BY30)</f>
        <v>56509.999999999949</v>
      </c>
      <c r="E30" s="16"/>
      <c r="F30" s="27">
        <f t="shared" ref="F30:AK30" si="326">IF(OR(F3&lt;Start,F3&gt;Finish),0,IF(E36=F32,0,Building*BuildingDepreciationRate))+IF(OR(F3&lt;Start,F3&gt;Finish),0,IF(E37=F33,0,Equipment*EquipmetDepreciationRate))+IF(OR(F3&lt;Start,F3&gt;Finish),0,IF(E38=F34,0,Furniture*FurnitureDepreciationRate))</f>
        <v>1072.5</v>
      </c>
      <c r="G30" s="27">
        <f t="shared" si="326"/>
        <v>1062.5</v>
      </c>
      <c r="H30" s="27">
        <f t="shared" si="326"/>
        <v>1062.5</v>
      </c>
      <c r="I30" s="27">
        <f t="shared" si="326"/>
        <v>1062.5</v>
      </c>
      <c r="J30" s="27">
        <f t="shared" si="326"/>
        <v>1062.5</v>
      </c>
      <c r="K30" s="27">
        <f t="shared" si="326"/>
        <v>1062.5</v>
      </c>
      <c r="L30" s="27">
        <f t="shared" si="326"/>
        <v>1062.5</v>
      </c>
      <c r="M30" s="27">
        <f t="shared" si="326"/>
        <v>1062.5</v>
      </c>
      <c r="N30" s="27">
        <f t="shared" si="326"/>
        <v>1062.5</v>
      </c>
      <c r="O30" s="27">
        <f t="shared" si="326"/>
        <v>1062.5</v>
      </c>
      <c r="P30" s="27">
        <f t="shared" si="326"/>
        <v>1062.5</v>
      </c>
      <c r="Q30" s="27">
        <f t="shared" si="326"/>
        <v>1062.5</v>
      </c>
      <c r="R30" s="27">
        <f t="shared" si="326"/>
        <v>729.16666666666663</v>
      </c>
      <c r="S30" s="27">
        <f t="shared" si="326"/>
        <v>729.16666666666663</v>
      </c>
      <c r="T30" s="27">
        <f t="shared" si="326"/>
        <v>729.16666666666663</v>
      </c>
      <c r="U30" s="27">
        <f t="shared" si="326"/>
        <v>729.16666666666663</v>
      </c>
      <c r="V30" s="27">
        <f t="shared" si="326"/>
        <v>729.16666666666663</v>
      </c>
      <c r="W30" s="27">
        <f t="shared" si="326"/>
        <v>729.16666666666663</v>
      </c>
      <c r="X30" s="27">
        <f t="shared" si="326"/>
        <v>729.16666666666663</v>
      </c>
      <c r="Y30" s="27">
        <f t="shared" si="326"/>
        <v>729.16666666666663</v>
      </c>
      <c r="Z30" s="27">
        <f t="shared" si="326"/>
        <v>729.16666666666663</v>
      </c>
      <c r="AA30" s="27">
        <f t="shared" si="326"/>
        <v>729.16666666666663</v>
      </c>
      <c r="AB30" s="27">
        <f t="shared" si="326"/>
        <v>729.16666666666663</v>
      </c>
      <c r="AC30" s="27">
        <f t="shared" si="326"/>
        <v>729.16666666666663</v>
      </c>
      <c r="AD30" s="27">
        <f t="shared" si="326"/>
        <v>729.16666666666663</v>
      </c>
      <c r="AE30" s="27">
        <f t="shared" si="326"/>
        <v>729.16666666666663</v>
      </c>
      <c r="AF30" s="27">
        <f t="shared" si="326"/>
        <v>729.16666666666663</v>
      </c>
      <c r="AG30" s="27">
        <f t="shared" si="326"/>
        <v>729.16666666666663</v>
      </c>
      <c r="AH30" s="27">
        <f t="shared" si="326"/>
        <v>729.16666666666663</v>
      </c>
      <c r="AI30" s="27">
        <f t="shared" si="326"/>
        <v>729.16666666666663</v>
      </c>
      <c r="AJ30" s="27">
        <f t="shared" si="326"/>
        <v>729.16666666666663</v>
      </c>
      <c r="AK30" s="27">
        <f t="shared" si="326"/>
        <v>729.16666666666663</v>
      </c>
      <c r="AL30" s="27">
        <f t="shared" ref="AL30:BQ30" si="327">IF(OR(AL3&lt;Start,AL3&gt;Finish),0,IF(AK36=AL32,0,Building*BuildingDepreciationRate))+IF(OR(AL3&lt;Start,AL3&gt;Finish),0,IF(AK37=AL33,0,Equipment*EquipmetDepreciationRate))+IF(OR(AL3&lt;Start,AL3&gt;Finish),0,IF(AK38=AL34,0,Furniture*FurnitureDepreciationRate))</f>
        <v>729.16666666666663</v>
      </c>
      <c r="AM30" s="27">
        <f t="shared" si="327"/>
        <v>729.16666666666663</v>
      </c>
      <c r="AN30" s="27">
        <f t="shared" si="327"/>
        <v>729.16666666666663</v>
      </c>
      <c r="AO30" s="27">
        <f t="shared" si="327"/>
        <v>729.16666666666663</v>
      </c>
      <c r="AP30" s="27">
        <f t="shared" si="327"/>
        <v>729.16666666666663</v>
      </c>
      <c r="AQ30" s="27">
        <f t="shared" si="327"/>
        <v>729.16666666666663</v>
      </c>
      <c r="AR30" s="27">
        <f t="shared" si="327"/>
        <v>729.16666666666663</v>
      </c>
      <c r="AS30" s="27">
        <f t="shared" si="327"/>
        <v>729.16666666666663</v>
      </c>
      <c r="AT30" s="27">
        <f t="shared" si="327"/>
        <v>729.16666666666663</v>
      </c>
      <c r="AU30" s="27">
        <f t="shared" si="327"/>
        <v>729.16666666666663</v>
      </c>
      <c r="AV30" s="27">
        <f t="shared" si="327"/>
        <v>729.16666666666663</v>
      </c>
      <c r="AW30" s="27">
        <f t="shared" si="327"/>
        <v>729.16666666666663</v>
      </c>
      <c r="AX30" s="27">
        <f t="shared" si="327"/>
        <v>729.16666666666663</v>
      </c>
      <c r="AY30" s="27">
        <f t="shared" si="327"/>
        <v>729.16666666666663</v>
      </c>
      <c r="AZ30" s="27">
        <f t="shared" si="327"/>
        <v>729.16666666666663</v>
      </c>
      <c r="BA30" s="27">
        <f t="shared" si="327"/>
        <v>729.16666666666663</v>
      </c>
      <c r="BB30" s="27">
        <f t="shared" si="327"/>
        <v>729.16666666666663</v>
      </c>
      <c r="BC30" s="27">
        <f t="shared" si="327"/>
        <v>729.16666666666663</v>
      </c>
      <c r="BD30" s="27">
        <f t="shared" si="327"/>
        <v>729.16666666666663</v>
      </c>
      <c r="BE30" s="27">
        <f t="shared" si="327"/>
        <v>729.16666666666663</v>
      </c>
      <c r="BF30" s="27">
        <f t="shared" si="327"/>
        <v>729.16666666666663</v>
      </c>
      <c r="BG30" s="27">
        <f t="shared" si="327"/>
        <v>729.16666666666663</v>
      </c>
      <c r="BH30" s="27">
        <f t="shared" si="327"/>
        <v>729.16666666666663</v>
      </c>
      <c r="BI30" s="27">
        <f t="shared" si="327"/>
        <v>729.16666666666663</v>
      </c>
      <c r="BJ30" s="27">
        <f t="shared" si="327"/>
        <v>729.16666666666663</v>
      </c>
      <c r="BK30" s="27">
        <f t="shared" si="327"/>
        <v>729.16666666666663</v>
      </c>
      <c r="BL30" s="27">
        <f t="shared" si="327"/>
        <v>729.16666666666663</v>
      </c>
      <c r="BM30" s="27">
        <f t="shared" si="327"/>
        <v>729.16666666666663</v>
      </c>
      <c r="BN30" s="27">
        <f t="shared" si="327"/>
        <v>729.16666666666663</v>
      </c>
      <c r="BO30" s="27">
        <f t="shared" si="327"/>
        <v>729.16666666666663</v>
      </c>
      <c r="BP30" s="27">
        <f t="shared" si="327"/>
        <v>729.16666666666663</v>
      </c>
      <c r="BQ30" s="27">
        <f t="shared" si="327"/>
        <v>729.16666666666663</v>
      </c>
      <c r="BR30" s="27">
        <f t="shared" ref="BR30:BY30" si="328">IF(OR(BR3&lt;Start,BR3&gt;Finish),0,IF(BQ36=BR32,0,Building*BuildingDepreciationRate))+IF(OR(BR3&lt;Start,BR3&gt;Finish),0,IF(BQ37=BR33,0,Equipment*EquipmetDepreciationRate))+IF(OR(BR3&lt;Start,BR3&gt;Finish),0,IF(BQ38=BR34,0,Furniture*FurnitureDepreciationRate))</f>
        <v>729.16666666666663</v>
      </c>
      <c r="BS30" s="27">
        <f t="shared" si="328"/>
        <v>729.16666666666663</v>
      </c>
      <c r="BT30" s="27">
        <f t="shared" si="328"/>
        <v>729.16666666666663</v>
      </c>
      <c r="BU30" s="27">
        <f t="shared" si="328"/>
        <v>729.16666666666663</v>
      </c>
      <c r="BV30" s="27">
        <f t="shared" si="328"/>
        <v>729.16666666666663</v>
      </c>
      <c r="BW30" s="27">
        <f t="shared" si="328"/>
        <v>729.16666666666663</v>
      </c>
      <c r="BX30" s="27">
        <f t="shared" si="328"/>
        <v>729.16666666666663</v>
      </c>
      <c r="BY30" s="27">
        <f t="shared" si="328"/>
        <v>729.16666666666663</v>
      </c>
      <c r="BZ30" s="27">
        <f t="shared" ref="BZ30:DI30" si="329">IF(OR(BZ3&lt;Start,BZ3&gt;Finish),0,IF(BY36=BZ32,0,Building*BuildingDepreciationRate))+IF(OR(BZ3&lt;Start,BZ3&gt;Finish),0,IF(BY37=BZ33,0,Equipment*EquipmetDepreciationRate))+IF(OR(BZ3&lt;Start,BZ3&gt;Finish),0,IF(BY38=BZ34,0,Furniture*FurnitureDepreciationRate))</f>
        <v>729.16666666666663</v>
      </c>
      <c r="CA30" s="27">
        <f t="shared" si="329"/>
        <v>729.16666666666663</v>
      </c>
      <c r="CB30" s="27">
        <f t="shared" si="329"/>
        <v>729.16666666666663</v>
      </c>
      <c r="CC30" s="27">
        <f t="shared" si="329"/>
        <v>729.16666666666663</v>
      </c>
      <c r="CD30" s="27">
        <f t="shared" si="329"/>
        <v>729.16666666666663</v>
      </c>
      <c r="CE30" s="27">
        <f t="shared" si="329"/>
        <v>729.16666666666663</v>
      </c>
      <c r="CF30" s="27">
        <f t="shared" si="329"/>
        <v>729.16666666666663</v>
      </c>
      <c r="CG30" s="27">
        <f t="shared" si="329"/>
        <v>729.16666666666663</v>
      </c>
      <c r="CH30" s="27">
        <f t="shared" si="329"/>
        <v>729.16666666666663</v>
      </c>
      <c r="CI30" s="27">
        <f t="shared" si="329"/>
        <v>729.16666666666663</v>
      </c>
      <c r="CJ30" s="27">
        <f t="shared" si="329"/>
        <v>729.16666666666663</v>
      </c>
      <c r="CK30" s="27">
        <f t="shared" si="329"/>
        <v>729.16666666666663</v>
      </c>
      <c r="CL30" s="27">
        <f t="shared" si="329"/>
        <v>729.16666666666663</v>
      </c>
      <c r="CM30" s="27">
        <f t="shared" si="329"/>
        <v>729.16666666666663</v>
      </c>
      <c r="CN30" s="27">
        <f t="shared" si="329"/>
        <v>729.16666666666663</v>
      </c>
      <c r="CO30" s="27">
        <f t="shared" si="329"/>
        <v>729.16666666666663</v>
      </c>
      <c r="CP30" s="27">
        <f t="shared" si="329"/>
        <v>729.16666666666663</v>
      </c>
      <c r="CQ30" s="27">
        <f t="shared" si="329"/>
        <v>729.16666666666663</v>
      </c>
      <c r="CR30" s="27">
        <f t="shared" si="329"/>
        <v>729.16666666666663</v>
      </c>
      <c r="CS30" s="27">
        <f t="shared" si="329"/>
        <v>729.16666666666663</v>
      </c>
      <c r="CT30" s="27">
        <f t="shared" si="329"/>
        <v>729.16666666666663</v>
      </c>
      <c r="CU30" s="27">
        <f t="shared" si="329"/>
        <v>729.16666666666663</v>
      </c>
      <c r="CV30" s="27">
        <f t="shared" si="329"/>
        <v>729.16666666666663</v>
      </c>
      <c r="CW30" s="27">
        <f t="shared" si="329"/>
        <v>729.16666666666663</v>
      </c>
      <c r="CX30" s="27">
        <f t="shared" si="329"/>
        <v>729.16666666666663</v>
      </c>
      <c r="CY30" s="27">
        <f t="shared" si="329"/>
        <v>729.16666666666663</v>
      </c>
      <c r="CZ30" s="27">
        <f t="shared" si="329"/>
        <v>729.16666666666663</v>
      </c>
      <c r="DA30" s="27">
        <f t="shared" si="329"/>
        <v>729.16666666666663</v>
      </c>
      <c r="DB30" s="27">
        <f t="shared" si="329"/>
        <v>729.16666666666663</v>
      </c>
      <c r="DC30" s="27">
        <f t="shared" si="329"/>
        <v>729.16666666666663</v>
      </c>
      <c r="DD30" s="27">
        <f t="shared" si="329"/>
        <v>729.16666666666663</v>
      </c>
      <c r="DE30" s="27">
        <f t="shared" si="329"/>
        <v>729.16666666666663</v>
      </c>
      <c r="DF30" s="27">
        <f t="shared" si="329"/>
        <v>729.16666666666663</v>
      </c>
      <c r="DG30" s="27">
        <f t="shared" si="329"/>
        <v>729.16666666666663</v>
      </c>
      <c r="DH30" s="27">
        <f t="shared" si="329"/>
        <v>729.16666666666663</v>
      </c>
      <c r="DI30" s="27">
        <f t="shared" si="329"/>
        <v>729.16666666666663</v>
      </c>
    </row>
    <row r="31" spans="2:113" s="28" customFormat="1" hidden="1" outlineLevel="1" x14ac:dyDescent="0.3">
      <c r="B31" s="36" t="s">
        <v>19</v>
      </c>
      <c r="C31" s="29"/>
      <c r="D31" s="31">
        <f t="shared" ref="D31" si="330">SUM(D32:D34)</f>
        <v>354010</v>
      </c>
      <c r="E31" s="31"/>
      <c r="F31" s="31">
        <f>SUM(F32:F34)</f>
        <v>354010</v>
      </c>
      <c r="G31" s="31">
        <f t="shared" ref="G31:O31" si="331">SUM(G32:G34)</f>
        <v>354010</v>
      </c>
      <c r="H31" s="31">
        <f t="shared" si="331"/>
        <v>354010</v>
      </c>
      <c r="I31" s="31">
        <f t="shared" si="331"/>
        <v>354010</v>
      </c>
      <c r="J31" s="31">
        <f t="shared" si="331"/>
        <v>354010</v>
      </c>
      <c r="K31" s="31">
        <f t="shared" si="331"/>
        <v>354010</v>
      </c>
      <c r="L31" s="31">
        <f t="shared" si="331"/>
        <v>354010</v>
      </c>
      <c r="M31" s="31">
        <f t="shared" si="331"/>
        <v>354010</v>
      </c>
      <c r="N31" s="31">
        <f t="shared" si="331"/>
        <v>354010</v>
      </c>
      <c r="O31" s="31">
        <f t="shared" si="331"/>
        <v>354010</v>
      </c>
      <c r="P31" s="31">
        <f t="shared" ref="P31" si="332">SUM(P32:P34)</f>
        <v>354010</v>
      </c>
      <c r="Q31" s="31">
        <f t="shared" ref="Q31" si="333">SUM(Q32:Q34)</f>
        <v>354010</v>
      </c>
      <c r="R31" s="31">
        <f t="shared" ref="R31" si="334">SUM(R32:R34)</f>
        <v>354010</v>
      </c>
      <c r="S31" s="31">
        <f t="shared" ref="S31" si="335">SUM(S32:S34)</f>
        <v>354010</v>
      </c>
      <c r="T31" s="31">
        <f t="shared" ref="T31" si="336">SUM(T32:T34)</f>
        <v>354010</v>
      </c>
      <c r="U31" s="31">
        <f t="shared" ref="U31" si="337">SUM(U32:U34)</f>
        <v>354010</v>
      </c>
      <c r="V31" s="31">
        <f t="shared" ref="V31" si="338">SUM(V32:V34)</f>
        <v>354010</v>
      </c>
      <c r="W31" s="31">
        <f t="shared" ref="W31" si="339">SUM(W32:W34)</f>
        <v>354010</v>
      </c>
      <c r="X31" s="31">
        <f t="shared" ref="X31" si="340">SUM(X32:X34)</f>
        <v>354010</v>
      </c>
      <c r="Y31" s="31">
        <f t="shared" ref="Y31" si="341">SUM(Y32:Y34)</f>
        <v>354010</v>
      </c>
      <c r="Z31" s="31">
        <f t="shared" ref="Z31" si="342">SUM(Z32:Z34)</f>
        <v>354010</v>
      </c>
      <c r="AA31" s="31">
        <f t="shared" ref="AA31" si="343">SUM(AA32:AA34)</f>
        <v>354010</v>
      </c>
      <c r="AB31" s="31">
        <f t="shared" ref="AB31" si="344">SUM(AB32:AB34)</f>
        <v>354010</v>
      </c>
      <c r="AC31" s="31">
        <f t="shared" ref="AC31" si="345">SUM(AC32:AC34)</f>
        <v>354010</v>
      </c>
      <c r="AD31" s="31">
        <f t="shared" ref="AD31" si="346">SUM(AD32:AD34)</f>
        <v>354010</v>
      </c>
      <c r="AE31" s="31">
        <f t="shared" ref="AE31" si="347">SUM(AE32:AE34)</f>
        <v>354010</v>
      </c>
      <c r="AF31" s="31">
        <f t="shared" ref="AF31" si="348">SUM(AF32:AF34)</f>
        <v>354010</v>
      </c>
      <c r="AG31" s="31">
        <f t="shared" ref="AG31" si="349">SUM(AG32:AG34)</f>
        <v>354010</v>
      </c>
      <c r="AH31" s="31">
        <f t="shared" ref="AH31" si="350">SUM(AH32:AH34)</f>
        <v>354010</v>
      </c>
      <c r="AI31" s="31">
        <f t="shared" ref="AI31" si="351">SUM(AI32:AI34)</f>
        <v>354010</v>
      </c>
      <c r="AJ31" s="31">
        <f t="shared" ref="AJ31" si="352">SUM(AJ32:AJ34)</f>
        <v>354010</v>
      </c>
      <c r="AK31" s="31">
        <f t="shared" ref="AK31" si="353">SUM(AK32:AK34)</f>
        <v>354010</v>
      </c>
      <c r="AL31" s="31">
        <f t="shared" ref="AL31" si="354">SUM(AL32:AL34)</f>
        <v>354010</v>
      </c>
      <c r="AM31" s="31">
        <f t="shared" ref="AM31" si="355">SUM(AM32:AM34)</f>
        <v>354010</v>
      </c>
      <c r="AN31" s="31">
        <f t="shared" ref="AN31" si="356">SUM(AN32:AN34)</f>
        <v>354010</v>
      </c>
      <c r="AO31" s="31">
        <f t="shared" ref="AO31" si="357">SUM(AO32:AO34)</f>
        <v>354010</v>
      </c>
      <c r="AP31" s="31">
        <f t="shared" ref="AP31" si="358">SUM(AP32:AP34)</f>
        <v>354010</v>
      </c>
      <c r="AQ31" s="31">
        <f t="shared" ref="AQ31" si="359">SUM(AQ32:AQ34)</f>
        <v>354010</v>
      </c>
      <c r="AR31" s="31">
        <f t="shared" ref="AR31" si="360">SUM(AR32:AR34)</f>
        <v>354010</v>
      </c>
      <c r="AS31" s="31">
        <f t="shared" ref="AS31" si="361">SUM(AS32:AS34)</f>
        <v>354010</v>
      </c>
      <c r="AT31" s="31">
        <f t="shared" ref="AT31" si="362">SUM(AT32:AT34)</f>
        <v>354010</v>
      </c>
      <c r="AU31" s="31">
        <f t="shared" ref="AU31" si="363">SUM(AU32:AU34)</f>
        <v>354010</v>
      </c>
      <c r="AV31" s="31">
        <f t="shared" ref="AV31" si="364">SUM(AV32:AV34)</f>
        <v>354010</v>
      </c>
      <c r="AW31" s="31">
        <f t="shared" ref="AW31" si="365">SUM(AW32:AW34)</f>
        <v>354010</v>
      </c>
      <c r="AX31" s="31">
        <f t="shared" ref="AX31" si="366">SUM(AX32:AX34)</f>
        <v>354010</v>
      </c>
      <c r="AY31" s="31">
        <f t="shared" ref="AY31" si="367">SUM(AY32:AY34)</f>
        <v>354010</v>
      </c>
      <c r="AZ31" s="31">
        <f t="shared" ref="AZ31:BA31" si="368">SUM(AZ32:AZ34)</f>
        <v>354010</v>
      </c>
      <c r="BA31" s="31">
        <f t="shared" si="368"/>
        <v>354010</v>
      </c>
      <c r="BB31" s="31">
        <f t="shared" ref="BB31" si="369">SUM(BB32:BB34)</f>
        <v>354010</v>
      </c>
      <c r="BC31" s="31">
        <f t="shared" ref="BC31" si="370">SUM(BC32:BC34)</f>
        <v>354010</v>
      </c>
      <c r="BD31" s="31">
        <f t="shared" ref="BD31" si="371">SUM(BD32:BD34)</f>
        <v>354010</v>
      </c>
      <c r="BE31" s="31">
        <f t="shared" ref="BE31" si="372">SUM(BE32:BE34)</f>
        <v>354010</v>
      </c>
      <c r="BF31" s="31">
        <f t="shared" ref="BF31" si="373">SUM(BF32:BF34)</f>
        <v>354010</v>
      </c>
      <c r="BG31" s="31">
        <f t="shared" ref="BG31" si="374">SUM(BG32:BG34)</f>
        <v>354010</v>
      </c>
      <c r="BH31" s="31">
        <f t="shared" ref="BH31" si="375">SUM(BH32:BH34)</f>
        <v>354010</v>
      </c>
      <c r="BI31" s="31">
        <f t="shared" ref="BI31" si="376">SUM(BI32:BI34)</f>
        <v>354010</v>
      </c>
      <c r="BJ31" s="31">
        <f t="shared" ref="BJ31" si="377">SUM(BJ32:BJ34)</f>
        <v>354010</v>
      </c>
      <c r="BK31" s="31">
        <f t="shared" ref="BK31" si="378">SUM(BK32:BK34)</f>
        <v>354010</v>
      </c>
      <c r="BL31" s="31">
        <f t="shared" ref="BL31" si="379">SUM(BL32:BL34)</f>
        <v>354010</v>
      </c>
      <c r="BM31" s="31">
        <f t="shared" ref="BM31" si="380">SUM(BM32:BM34)</f>
        <v>354010</v>
      </c>
      <c r="BN31" s="31">
        <f t="shared" ref="BN31" si="381">SUM(BN32:BN34)</f>
        <v>354010</v>
      </c>
      <c r="BO31" s="31">
        <f t="shared" ref="BO31" si="382">SUM(BO32:BO34)</f>
        <v>354010</v>
      </c>
      <c r="BP31" s="31">
        <f t="shared" ref="BP31" si="383">SUM(BP32:BP34)</f>
        <v>354010</v>
      </c>
      <c r="BQ31" s="31">
        <f t="shared" ref="BQ31" si="384">SUM(BQ32:BQ34)</f>
        <v>354010</v>
      </c>
      <c r="BR31" s="31">
        <f t="shared" ref="BR31" si="385">SUM(BR32:BR34)</f>
        <v>354010</v>
      </c>
      <c r="BS31" s="31">
        <f t="shared" ref="BS31" si="386">SUM(BS32:BS34)</f>
        <v>354010</v>
      </c>
      <c r="BT31" s="31">
        <f t="shared" ref="BT31" si="387">SUM(BT32:BT34)</f>
        <v>354010</v>
      </c>
      <c r="BU31" s="31">
        <f t="shared" ref="BU31" si="388">SUM(BU32:BU34)</f>
        <v>354010</v>
      </c>
      <c r="BV31" s="31">
        <f t="shared" ref="BV31" si="389">SUM(BV32:BV34)</f>
        <v>354010</v>
      </c>
      <c r="BW31" s="31">
        <f t="shared" ref="BW31" si="390">SUM(BW32:BW34)</f>
        <v>354010</v>
      </c>
      <c r="BX31" s="31">
        <f t="shared" ref="BX31" si="391">SUM(BX32:BX34)</f>
        <v>354010</v>
      </c>
      <c r="BY31" s="31">
        <f t="shared" ref="BY31:DI31" si="392">SUM(BY32:BY34)</f>
        <v>354010</v>
      </c>
      <c r="BZ31" s="31">
        <f t="shared" si="392"/>
        <v>354010</v>
      </c>
      <c r="CA31" s="31">
        <f t="shared" si="392"/>
        <v>354010</v>
      </c>
      <c r="CB31" s="31">
        <f t="shared" si="392"/>
        <v>354010</v>
      </c>
      <c r="CC31" s="31">
        <f t="shared" si="392"/>
        <v>354010</v>
      </c>
      <c r="CD31" s="31">
        <f t="shared" si="392"/>
        <v>354010</v>
      </c>
      <c r="CE31" s="31">
        <f t="shared" si="392"/>
        <v>354010</v>
      </c>
      <c r="CF31" s="31">
        <f t="shared" si="392"/>
        <v>354010</v>
      </c>
      <c r="CG31" s="31">
        <f t="shared" si="392"/>
        <v>354010</v>
      </c>
      <c r="CH31" s="31">
        <f t="shared" si="392"/>
        <v>354010</v>
      </c>
      <c r="CI31" s="31">
        <f t="shared" si="392"/>
        <v>354010</v>
      </c>
      <c r="CJ31" s="31">
        <f t="shared" si="392"/>
        <v>354010</v>
      </c>
      <c r="CK31" s="31">
        <f t="shared" si="392"/>
        <v>354010</v>
      </c>
      <c r="CL31" s="31">
        <f t="shared" si="392"/>
        <v>354010</v>
      </c>
      <c r="CM31" s="31">
        <f t="shared" si="392"/>
        <v>354010</v>
      </c>
      <c r="CN31" s="31">
        <f t="shared" si="392"/>
        <v>354010</v>
      </c>
      <c r="CO31" s="31">
        <f t="shared" si="392"/>
        <v>354010</v>
      </c>
      <c r="CP31" s="31">
        <f t="shared" si="392"/>
        <v>354010</v>
      </c>
      <c r="CQ31" s="31">
        <f t="shared" si="392"/>
        <v>354010</v>
      </c>
      <c r="CR31" s="31">
        <f t="shared" si="392"/>
        <v>354010</v>
      </c>
      <c r="CS31" s="31">
        <f t="shared" si="392"/>
        <v>354010</v>
      </c>
      <c r="CT31" s="31">
        <f t="shared" si="392"/>
        <v>354010</v>
      </c>
      <c r="CU31" s="31">
        <f t="shared" si="392"/>
        <v>354010</v>
      </c>
      <c r="CV31" s="31">
        <f t="shared" si="392"/>
        <v>354010</v>
      </c>
      <c r="CW31" s="31">
        <f t="shared" si="392"/>
        <v>354010</v>
      </c>
      <c r="CX31" s="31">
        <f t="shared" si="392"/>
        <v>354010</v>
      </c>
      <c r="CY31" s="31">
        <f t="shared" si="392"/>
        <v>354010</v>
      </c>
      <c r="CZ31" s="31">
        <f t="shared" si="392"/>
        <v>354010</v>
      </c>
      <c r="DA31" s="31">
        <f t="shared" si="392"/>
        <v>354010</v>
      </c>
      <c r="DB31" s="31">
        <f t="shared" si="392"/>
        <v>354010</v>
      </c>
      <c r="DC31" s="31">
        <f t="shared" si="392"/>
        <v>354010</v>
      </c>
      <c r="DD31" s="31">
        <f t="shared" si="392"/>
        <v>354010</v>
      </c>
      <c r="DE31" s="31">
        <f t="shared" si="392"/>
        <v>354010</v>
      </c>
      <c r="DF31" s="31">
        <f t="shared" si="392"/>
        <v>354010</v>
      </c>
      <c r="DG31" s="31">
        <f t="shared" si="392"/>
        <v>354010</v>
      </c>
      <c r="DH31" s="31">
        <f t="shared" si="392"/>
        <v>354010</v>
      </c>
      <c r="DI31" s="31">
        <f t="shared" si="392"/>
        <v>354010</v>
      </c>
    </row>
    <row r="32" spans="2:113" s="28" customFormat="1" hidden="1" outlineLevel="2" x14ac:dyDescent="0.3">
      <c r="B32" s="37" t="s">
        <v>99</v>
      </c>
      <c r="C32" s="29"/>
      <c r="D32" s="31">
        <f t="shared" ref="D32:AK32" si="393">Building</f>
        <v>350000</v>
      </c>
      <c r="E32" s="31"/>
      <c r="F32" s="31">
        <f t="shared" si="393"/>
        <v>350000</v>
      </c>
      <c r="G32" s="31">
        <f t="shared" si="393"/>
        <v>350000</v>
      </c>
      <c r="H32" s="31">
        <f t="shared" si="393"/>
        <v>350000</v>
      </c>
      <c r="I32" s="31">
        <f t="shared" si="393"/>
        <v>350000</v>
      </c>
      <c r="J32" s="31">
        <f t="shared" si="393"/>
        <v>350000</v>
      </c>
      <c r="K32" s="31">
        <f t="shared" si="393"/>
        <v>350000</v>
      </c>
      <c r="L32" s="31">
        <f t="shared" si="393"/>
        <v>350000</v>
      </c>
      <c r="M32" s="31">
        <f t="shared" si="393"/>
        <v>350000</v>
      </c>
      <c r="N32" s="31">
        <f t="shared" si="393"/>
        <v>350000</v>
      </c>
      <c r="O32" s="31">
        <f t="shared" si="393"/>
        <v>350000</v>
      </c>
      <c r="P32" s="31">
        <f t="shared" si="393"/>
        <v>350000</v>
      </c>
      <c r="Q32" s="31">
        <f t="shared" si="393"/>
        <v>350000</v>
      </c>
      <c r="R32" s="31">
        <f t="shared" si="393"/>
        <v>350000</v>
      </c>
      <c r="S32" s="31">
        <f t="shared" si="393"/>
        <v>350000</v>
      </c>
      <c r="T32" s="31">
        <f t="shared" si="393"/>
        <v>350000</v>
      </c>
      <c r="U32" s="31">
        <f t="shared" si="393"/>
        <v>350000</v>
      </c>
      <c r="V32" s="31">
        <f t="shared" si="393"/>
        <v>350000</v>
      </c>
      <c r="W32" s="31">
        <f t="shared" si="393"/>
        <v>350000</v>
      </c>
      <c r="X32" s="31">
        <f t="shared" si="393"/>
        <v>350000</v>
      </c>
      <c r="Y32" s="31">
        <f t="shared" si="393"/>
        <v>350000</v>
      </c>
      <c r="Z32" s="31">
        <f t="shared" si="393"/>
        <v>350000</v>
      </c>
      <c r="AA32" s="31">
        <f t="shared" si="393"/>
        <v>350000</v>
      </c>
      <c r="AB32" s="31">
        <f t="shared" si="393"/>
        <v>350000</v>
      </c>
      <c r="AC32" s="31">
        <f t="shared" si="393"/>
        <v>350000</v>
      </c>
      <c r="AD32" s="31">
        <f t="shared" si="393"/>
        <v>350000</v>
      </c>
      <c r="AE32" s="31">
        <f t="shared" si="393"/>
        <v>350000</v>
      </c>
      <c r="AF32" s="31">
        <f t="shared" si="393"/>
        <v>350000</v>
      </c>
      <c r="AG32" s="31">
        <f t="shared" si="393"/>
        <v>350000</v>
      </c>
      <c r="AH32" s="31">
        <f t="shared" si="393"/>
        <v>350000</v>
      </c>
      <c r="AI32" s="31">
        <f t="shared" si="393"/>
        <v>350000</v>
      </c>
      <c r="AJ32" s="31">
        <f t="shared" si="393"/>
        <v>350000</v>
      </c>
      <c r="AK32" s="31">
        <f t="shared" si="393"/>
        <v>350000</v>
      </c>
      <c r="AL32" s="31">
        <f t="shared" ref="AL32:BQ32" si="394">Building</f>
        <v>350000</v>
      </c>
      <c r="AM32" s="31">
        <f t="shared" si="394"/>
        <v>350000</v>
      </c>
      <c r="AN32" s="31">
        <f t="shared" si="394"/>
        <v>350000</v>
      </c>
      <c r="AO32" s="31">
        <f t="shared" si="394"/>
        <v>350000</v>
      </c>
      <c r="AP32" s="31">
        <f t="shared" si="394"/>
        <v>350000</v>
      </c>
      <c r="AQ32" s="31">
        <f t="shared" si="394"/>
        <v>350000</v>
      </c>
      <c r="AR32" s="31">
        <f t="shared" si="394"/>
        <v>350000</v>
      </c>
      <c r="AS32" s="31">
        <f t="shared" si="394"/>
        <v>350000</v>
      </c>
      <c r="AT32" s="31">
        <f t="shared" si="394"/>
        <v>350000</v>
      </c>
      <c r="AU32" s="31">
        <f t="shared" si="394"/>
        <v>350000</v>
      </c>
      <c r="AV32" s="31">
        <f t="shared" si="394"/>
        <v>350000</v>
      </c>
      <c r="AW32" s="31">
        <f t="shared" si="394"/>
        <v>350000</v>
      </c>
      <c r="AX32" s="31">
        <f t="shared" si="394"/>
        <v>350000</v>
      </c>
      <c r="AY32" s="31">
        <f t="shared" si="394"/>
        <v>350000</v>
      </c>
      <c r="AZ32" s="31">
        <f t="shared" si="394"/>
        <v>350000</v>
      </c>
      <c r="BA32" s="31">
        <f t="shared" si="394"/>
        <v>350000</v>
      </c>
      <c r="BB32" s="31">
        <f t="shared" si="394"/>
        <v>350000</v>
      </c>
      <c r="BC32" s="31">
        <f t="shared" si="394"/>
        <v>350000</v>
      </c>
      <c r="BD32" s="31">
        <f t="shared" si="394"/>
        <v>350000</v>
      </c>
      <c r="BE32" s="31">
        <f t="shared" si="394"/>
        <v>350000</v>
      </c>
      <c r="BF32" s="31">
        <f t="shared" si="394"/>
        <v>350000</v>
      </c>
      <c r="BG32" s="31">
        <f t="shared" si="394"/>
        <v>350000</v>
      </c>
      <c r="BH32" s="31">
        <f t="shared" si="394"/>
        <v>350000</v>
      </c>
      <c r="BI32" s="31">
        <f t="shared" si="394"/>
        <v>350000</v>
      </c>
      <c r="BJ32" s="31">
        <f t="shared" si="394"/>
        <v>350000</v>
      </c>
      <c r="BK32" s="31">
        <f t="shared" si="394"/>
        <v>350000</v>
      </c>
      <c r="BL32" s="31">
        <f t="shared" si="394"/>
        <v>350000</v>
      </c>
      <c r="BM32" s="31">
        <f t="shared" si="394"/>
        <v>350000</v>
      </c>
      <c r="BN32" s="31">
        <f t="shared" si="394"/>
        <v>350000</v>
      </c>
      <c r="BO32" s="31">
        <f t="shared" si="394"/>
        <v>350000</v>
      </c>
      <c r="BP32" s="31">
        <f t="shared" si="394"/>
        <v>350000</v>
      </c>
      <c r="BQ32" s="31">
        <f t="shared" si="394"/>
        <v>350000</v>
      </c>
      <c r="BR32" s="31">
        <f t="shared" ref="BR32:DI32" si="395">Building</f>
        <v>350000</v>
      </c>
      <c r="BS32" s="31">
        <f t="shared" si="395"/>
        <v>350000</v>
      </c>
      <c r="BT32" s="31">
        <f t="shared" si="395"/>
        <v>350000</v>
      </c>
      <c r="BU32" s="31">
        <f t="shared" si="395"/>
        <v>350000</v>
      </c>
      <c r="BV32" s="31">
        <f t="shared" si="395"/>
        <v>350000</v>
      </c>
      <c r="BW32" s="31">
        <f t="shared" si="395"/>
        <v>350000</v>
      </c>
      <c r="BX32" s="31">
        <f t="shared" si="395"/>
        <v>350000</v>
      </c>
      <c r="BY32" s="31">
        <f t="shared" si="395"/>
        <v>350000</v>
      </c>
      <c r="BZ32" s="31">
        <f t="shared" si="395"/>
        <v>350000</v>
      </c>
      <c r="CA32" s="31">
        <f t="shared" si="395"/>
        <v>350000</v>
      </c>
      <c r="CB32" s="31">
        <f t="shared" si="395"/>
        <v>350000</v>
      </c>
      <c r="CC32" s="31">
        <f t="shared" si="395"/>
        <v>350000</v>
      </c>
      <c r="CD32" s="31">
        <f t="shared" si="395"/>
        <v>350000</v>
      </c>
      <c r="CE32" s="31">
        <f t="shared" si="395"/>
        <v>350000</v>
      </c>
      <c r="CF32" s="31">
        <f t="shared" si="395"/>
        <v>350000</v>
      </c>
      <c r="CG32" s="31">
        <f t="shared" si="395"/>
        <v>350000</v>
      </c>
      <c r="CH32" s="31">
        <f t="shared" si="395"/>
        <v>350000</v>
      </c>
      <c r="CI32" s="31">
        <f t="shared" si="395"/>
        <v>350000</v>
      </c>
      <c r="CJ32" s="31">
        <f t="shared" si="395"/>
        <v>350000</v>
      </c>
      <c r="CK32" s="31">
        <f t="shared" si="395"/>
        <v>350000</v>
      </c>
      <c r="CL32" s="31">
        <f t="shared" si="395"/>
        <v>350000</v>
      </c>
      <c r="CM32" s="31">
        <f t="shared" si="395"/>
        <v>350000</v>
      </c>
      <c r="CN32" s="31">
        <f t="shared" si="395"/>
        <v>350000</v>
      </c>
      <c r="CO32" s="31">
        <f t="shared" si="395"/>
        <v>350000</v>
      </c>
      <c r="CP32" s="31">
        <f t="shared" si="395"/>
        <v>350000</v>
      </c>
      <c r="CQ32" s="31">
        <f t="shared" si="395"/>
        <v>350000</v>
      </c>
      <c r="CR32" s="31">
        <f t="shared" si="395"/>
        <v>350000</v>
      </c>
      <c r="CS32" s="31">
        <f t="shared" si="395"/>
        <v>350000</v>
      </c>
      <c r="CT32" s="31">
        <f t="shared" si="395"/>
        <v>350000</v>
      </c>
      <c r="CU32" s="31">
        <f t="shared" si="395"/>
        <v>350000</v>
      </c>
      <c r="CV32" s="31">
        <f t="shared" si="395"/>
        <v>350000</v>
      </c>
      <c r="CW32" s="31">
        <f t="shared" si="395"/>
        <v>350000</v>
      </c>
      <c r="CX32" s="31">
        <f t="shared" si="395"/>
        <v>350000</v>
      </c>
      <c r="CY32" s="31">
        <f t="shared" si="395"/>
        <v>350000</v>
      </c>
      <c r="CZ32" s="31">
        <f t="shared" si="395"/>
        <v>350000</v>
      </c>
      <c r="DA32" s="31">
        <f t="shared" si="395"/>
        <v>350000</v>
      </c>
      <c r="DB32" s="31">
        <f t="shared" si="395"/>
        <v>350000</v>
      </c>
      <c r="DC32" s="31">
        <f t="shared" si="395"/>
        <v>350000</v>
      </c>
      <c r="DD32" s="31">
        <f t="shared" si="395"/>
        <v>350000</v>
      </c>
      <c r="DE32" s="31">
        <f t="shared" si="395"/>
        <v>350000</v>
      </c>
      <c r="DF32" s="31">
        <f t="shared" si="395"/>
        <v>350000</v>
      </c>
      <c r="DG32" s="31">
        <f t="shared" si="395"/>
        <v>350000</v>
      </c>
      <c r="DH32" s="31">
        <f t="shared" si="395"/>
        <v>350000</v>
      </c>
      <c r="DI32" s="31">
        <f t="shared" si="395"/>
        <v>350000</v>
      </c>
    </row>
    <row r="33" spans="2:113" s="28" customFormat="1" hidden="1" outlineLevel="2" x14ac:dyDescent="0.3">
      <c r="B33" s="37" t="s">
        <v>100</v>
      </c>
      <c r="C33" s="29"/>
      <c r="D33" s="31">
        <f t="shared" ref="D33:AK33" si="396">Equipment</f>
        <v>4000</v>
      </c>
      <c r="E33" s="31"/>
      <c r="F33" s="31">
        <f t="shared" si="396"/>
        <v>4000</v>
      </c>
      <c r="G33" s="31">
        <f t="shared" si="396"/>
        <v>4000</v>
      </c>
      <c r="H33" s="31">
        <f t="shared" si="396"/>
        <v>4000</v>
      </c>
      <c r="I33" s="31">
        <f t="shared" si="396"/>
        <v>4000</v>
      </c>
      <c r="J33" s="31">
        <f t="shared" si="396"/>
        <v>4000</v>
      </c>
      <c r="K33" s="31">
        <f t="shared" si="396"/>
        <v>4000</v>
      </c>
      <c r="L33" s="31">
        <f t="shared" si="396"/>
        <v>4000</v>
      </c>
      <c r="M33" s="31">
        <f t="shared" si="396"/>
        <v>4000</v>
      </c>
      <c r="N33" s="31">
        <f t="shared" si="396"/>
        <v>4000</v>
      </c>
      <c r="O33" s="31">
        <f t="shared" si="396"/>
        <v>4000</v>
      </c>
      <c r="P33" s="31">
        <f t="shared" si="396"/>
        <v>4000</v>
      </c>
      <c r="Q33" s="31">
        <f t="shared" si="396"/>
        <v>4000</v>
      </c>
      <c r="R33" s="31">
        <f t="shared" si="396"/>
        <v>4000</v>
      </c>
      <c r="S33" s="31">
        <f t="shared" si="396"/>
        <v>4000</v>
      </c>
      <c r="T33" s="31">
        <f t="shared" si="396"/>
        <v>4000</v>
      </c>
      <c r="U33" s="31">
        <f t="shared" si="396"/>
        <v>4000</v>
      </c>
      <c r="V33" s="31">
        <f t="shared" si="396"/>
        <v>4000</v>
      </c>
      <c r="W33" s="31">
        <f t="shared" si="396"/>
        <v>4000</v>
      </c>
      <c r="X33" s="31">
        <f t="shared" si="396"/>
        <v>4000</v>
      </c>
      <c r="Y33" s="31">
        <f t="shared" si="396"/>
        <v>4000</v>
      </c>
      <c r="Z33" s="31">
        <f t="shared" si="396"/>
        <v>4000</v>
      </c>
      <c r="AA33" s="31">
        <f t="shared" si="396"/>
        <v>4000</v>
      </c>
      <c r="AB33" s="31">
        <f t="shared" si="396"/>
        <v>4000</v>
      </c>
      <c r="AC33" s="31">
        <f t="shared" si="396"/>
        <v>4000</v>
      </c>
      <c r="AD33" s="31">
        <f t="shared" si="396"/>
        <v>4000</v>
      </c>
      <c r="AE33" s="31">
        <f t="shared" si="396"/>
        <v>4000</v>
      </c>
      <c r="AF33" s="31">
        <f t="shared" si="396"/>
        <v>4000</v>
      </c>
      <c r="AG33" s="31">
        <f t="shared" si="396"/>
        <v>4000</v>
      </c>
      <c r="AH33" s="31">
        <f t="shared" si="396"/>
        <v>4000</v>
      </c>
      <c r="AI33" s="31">
        <f t="shared" si="396"/>
        <v>4000</v>
      </c>
      <c r="AJ33" s="31">
        <f t="shared" si="396"/>
        <v>4000</v>
      </c>
      <c r="AK33" s="31">
        <f t="shared" si="396"/>
        <v>4000</v>
      </c>
      <c r="AL33" s="31">
        <f t="shared" ref="AL33:BQ33" si="397">Equipment</f>
        <v>4000</v>
      </c>
      <c r="AM33" s="31">
        <f t="shared" si="397"/>
        <v>4000</v>
      </c>
      <c r="AN33" s="31">
        <f t="shared" si="397"/>
        <v>4000</v>
      </c>
      <c r="AO33" s="31">
        <f t="shared" si="397"/>
        <v>4000</v>
      </c>
      <c r="AP33" s="31">
        <f t="shared" si="397"/>
        <v>4000</v>
      </c>
      <c r="AQ33" s="31">
        <f t="shared" si="397"/>
        <v>4000</v>
      </c>
      <c r="AR33" s="31">
        <f t="shared" si="397"/>
        <v>4000</v>
      </c>
      <c r="AS33" s="31">
        <f t="shared" si="397"/>
        <v>4000</v>
      </c>
      <c r="AT33" s="31">
        <f t="shared" si="397"/>
        <v>4000</v>
      </c>
      <c r="AU33" s="31">
        <f t="shared" si="397"/>
        <v>4000</v>
      </c>
      <c r="AV33" s="31">
        <f t="shared" si="397"/>
        <v>4000</v>
      </c>
      <c r="AW33" s="31">
        <f t="shared" si="397"/>
        <v>4000</v>
      </c>
      <c r="AX33" s="31">
        <f t="shared" si="397"/>
        <v>4000</v>
      </c>
      <c r="AY33" s="31">
        <f t="shared" si="397"/>
        <v>4000</v>
      </c>
      <c r="AZ33" s="31">
        <f t="shared" si="397"/>
        <v>4000</v>
      </c>
      <c r="BA33" s="31">
        <f t="shared" si="397"/>
        <v>4000</v>
      </c>
      <c r="BB33" s="31">
        <f t="shared" si="397"/>
        <v>4000</v>
      </c>
      <c r="BC33" s="31">
        <f t="shared" si="397"/>
        <v>4000</v>
      </c>
      <c r="BD33" s="31">
        <f t="shared" si="397"/>
        <v>4000</v>
      </c>
      <c r="BE33" s="31">
        <f t="shared" si="397"/>
        <v>4000</v>
      </c>
      <c r="BF33" s="31">
        <f t="shared" si="397"/>
        <v>4000</v>
      </c>
      <c r="BG33" s="31">
        <f t="shared" si="397"/>
        <v>4000</v>
      </c>
      <c r="BH33" s="31">
        <f t="shared" si="397"/>
        <v>4000</v>
      </c>
      <c r="BI33" s="31">
        <f t="shared" si="397"/>
        <v>4000</v>
      </c>
      <c r="BJ33" s="31">
        <f t="shared" si="397"/>
        <v>4000</v>
      </c>
      <c r="BK33" s="31">
        <f t="shared" si="397"/>
        <v>4000</v>
      </c>
      <c r="BL33" s="31">
        <f t="shared" si="397"/>
        <v>4000</v>
      </c>
      <c r="BM33" s="31">
        <f t="shared" si="397"/>
        <v>4000</v>
      </c>
      <c r="BN33" s="31">
        <f t="shared" si="397"/>
        <v>4000</v>
      </c>
      <c r="BO33" s="31">
        <f t="shared" si="397"/>
        <v>4000</v>
      </c>
      <c r="BP33" s="31">
        <f t="shared" si="397"/>
        <v>4000</v>
      </c>
      <c r="BQ33" s="31">
        <f t="shared" si="397"/>
        <v>4000</v>
      </c>
      <c r="BR33" s="31">
        <f t="shared" ref="BR33:DI33" si="398">Equipment</f>
        <v>4000</v>
      </c>
      <c r="BS33" s="31">
        <f t="shared" si="398"/>
        <v>4000</v>
      </c>
      <c r="BT33" s="31">
        <f t="shared" si="398"/>
        <v>4000</v>
      </c>
      <c r="BU33" s="31">
        <f t="shared" si="398"/>
        <v>4000</v>
      </c>
      <c r="BV33" s="31">
        <f t="shared" si="398"/>
        <v>4000</v>
      </c>
      <c r="BW33" s="31">
        <f t="shared" si="398"/>
        <v>4000</v>
      </c>
      <c r="BX33" s="31">
        <f t="shared" si="398"/>
        <v>4000</v>
      </c>
      <c r="BY33" s="31">
        <f t="shared" si="398"/>
        <v>4000</v>
      </c>
      <c r="BZ33" s="31">
        <f t="shared" si="398"/>
        <v>4000</v>
      </c>
      <c r="CA33" s="31">
        <f t="shared" si="398"/>
        <v>4000</v>
      </c>
      <c r="CB33" s="31">
        <f t="shared" si="398"/>
        <v>4000</v>
      </c>
      <c r="CC33" s="31">
        <f t="shared" si="398"/>
        <v>4000</v>
      </c>
      <c r="CD33" s="31">
        <f t="shared" si="398"/>
        <v>4000</v>
      </c>
      <c r="CE33" s="31">
        <f t="shared" si="398"/>
        <v>4000</v>
      </c>
      <c r="CF33" s="31">
        <f t="shared" si="398"/>
        <v>4000</v>
      </c>
      <c r="CG33" s="31">
        <f t="shared" si="398"/>
        <v>4000</v>
      </c>
      <c r="CH33" s="31">
        <f t="shared" si="398"/>
        <v>4000</v>
      </c>
      <c r="CI33" s="31">
        <f t="shared" si="398"/>
        <v>4000</v>
      </c>
      <c r="CJ33" s="31">
        <f t="shared" si="398"/>
        <v>4000</v>
      </c>
      <c r="CK33" s="31">
        <f t="shared" si="398"/>
        <v>4000</v>
      </c>
      <c r="CL33" s="31">
        <f t="shared" si="398"/>
        <v>4000</v>
      </c>
      <c r="CM33" s="31">
        <f t="shared" si="398"/>
        <v>4000</v>
      </c>
      <c r="CN33" s="31">
        <f t="shared" si="398"/>
        <v>4000</v>
      </c>
      <c r="CO33" s="31">
        <f t="shared" si="398"/>
        <v>4000</v>
      </c>
      <c r="CP33" s="31">
        <f t="shared" si="398"/>
        <v>4000</v>
      </c>
      <c r="CQ33" s="31">
        <f t="shared" si="398"/>
        <v>4000</v>
      </c>
      <c r="CR33" s="31">
        <f t="shared" si="398"/>
        <v>4000</v>
      </c>
      <c r="CS33" s="31">
        <f t="shared" si="398"/>
        <v>4000</v>
      </c>
      <c r="CT33" s="31">
        <f t="shared" si="398"/>
        <v>4000</v>
      </c>
      <c r="CU33" s="31">
        <f t="shared" si="398"/>
        <v>4000</v>
      </c>
      <c r="CV33" s="31">
        <f t="shared" si="398"/>
        <v>4000</v>
      </c>
      <c r="CW33" s="31">
        <f t="shared" si="398"/>
        <v>4000</v>
      </c>
      <c r="CX33" s="31">
        <f t="shared" si="398"/>
        <v>4000</v>
      </c>
      <c r="CY33" s="31">
        <f t="shared" si="398"/>
        <v>4000</v>
      </c>
      <c r="CZ33" s="31">
        <f t="shared" si="398"/>
        <v>4000</v>
      </c>
      <c r="DA33" s="31">
        <f t="shared" si="398"/>
        <v>4000</v>
      </c>
      <c r="DB33" s="31">
        <f t="shared" si="398"/>
        <v>4000</v>
      </c>
      <c r="DC33" s="31">
        <f t="shared" si="398"/>
        <v>4000</v>
      </c>
      <c r="DD33" s="31">
        <f t="shared" si="398"/>
        <v>4000</v>
      </c>
      <c r="DE33" s="31">
        <f t="shared" si="398"/>
        <v>4000</v>
      </c>
      <c r="DF33" s="31">
        <f t="shared" si="398"/>
        <v>4000</v>
      </c>
      <c r="DG33" s="31">
        <f t="shared" si="398"/>
        <v>4000</v>
      </c>
      <c r="DH33" s="31">
        <f t="shared" si="398"/>
        <v>4000</v>
      </c>
      <c r="DI33" s="31">
        <f t="shared" si="398"/>
        <v>4000</v>
      </c>
    </row>
    <row r="34" spans="2:113" s="28" customFormat="1" hidden="1" outlineLevel="2" x14ac:dyDescent="0.3">
      <c r="B34" s="37" t="s">
        <v>121</v>
      </c>
      <c r="C34" s="29"/>
      <c r="D34" s="31">
        <f t="shared" ref="D34:AK34" si="399">Furniture</f>
        <v>10</v>
      </c>
      <c r="E34" s="31"/>
      <c r="F34" s="31">
        <f t="shared" si="399"/>
        <v>10</v>
      </c>
      <c r="G34" s="31">
        <f t="shared" si="399"/>
        <v>10</v>
      </c>
      <c r="H34" s="31">
        <f t="shared" si="399"/>
        <v>10</v>
      </c>
      <c r="I34" s="31">
        <f t="shared" si="399"/>
        <v>10</v>
      </c>
      <c r="J34" s="31">
        <f t="shared" si="399"/>
        <v>10</v>
      </c>
      <c r="K34" s="31">
        <f t="shared" si="399"/>
        <v>10</v>
      </c>
      <c r="L34" s="31">
        <f t="shared" si="399"/>
        <v>10</v>
      </c>
      <c r="M34" s="31">
        <f t="shared" si="399"/>
        <v>10</v>
      </c>
      <c r="N34" s="31">
        <f t="shared" si="399"/>
        <v>10</v>
      </c>
      <c r="O34" s="31">
        <f t="shared" si="399"/>
        <v>10</v>
      </c>
      <c r="P34" s="31">
        <f t="shared" si="399"/>
        <v>10</v>
      </c>
      <c r="Q34" s="31">
        <f t="shared" si="399"/>
        <v>10</v>
      </c>
      <c r="R34" s="31">
        <f t="shared" si="399"/>
        <v>10</v>
      </c>
      <c r="S34" s="31">
        <f t="shared" si="399"/>
        <v>10</v>
      </c>
      <c r="T34" s="31">
        <f t="shared" si="399"/>
        <v>10</v>
      </c>
      <c r="U34" s="31">
        <f t="shared" si="399"/>
        <v>10</v>
      </c>
      <c r="V34" s="31">
        <f t="shared" si="399"/>
        <v>10</v>
      </c>
      <c r="W34" s="31">
        <f t="shared" si="399"/>
        <v>10</v>
      </c>
      <c r="X34" s="31">
        <f t="shared" si="399"/>
        <v>10</v>
      </c>
      <c r="Y34" s="31">
        <f t="shared" si="399"/>
        <v>10</v>
      </c>
      <c r="Z34" s="31">
        <f t="shared" si="399"/>
        <v>10</v>
      </c>
      <c r="AA34" s="31">
        <f t="shared" si="399"/>
        <v>10</v>
      </c>
      <c r="AB34" s="31">
        <f t="shared" si="399"/>
        <v>10</v>
      </c>
      <c r="AC34" s="31">
        <f t="shared" si="399"/>
        <v>10</v>
      </c>
      <c r="AD34" s="31">
        <f t="shared" si="399"/>
        <v>10</v>
      </c>
      <c r="AE34" s="31">
        <f t="shared" si="399"/>
        <v>10</v>
      </c>
      <c r="AF34" s="31">
        <f t="shared" si="399"/>
        <v>10</v>
      </c>
      <c r="AG34" s="31">
        <f t="shared" si="399"/>
        <v>10</v>
      </c>
      <c r="AH34" s="31">
        <f t="shared" si="399"/>
        <v>10</v>
      </c>
      <c r="AI34" s="31">
        <f t="shared" si="399"/>
        <v>10</v>
      </c>
      <c r="AJ34" s="31">
        <f t="shared" si="399"/>
        <v>10</v>
      </c>
      <c r="AK34" s="31">
        <f t="shared" si="399"/>
        <v>10</v>
      </c>
      <c r="AL34" s="31">
        <f t="shared" ref="AL34:BQ34" si="400">Furniture</f>
        <v>10</v>
      </c>
      <c r="AM34" s="31">
        <f t="shared" si="400"/>
        <v>10</v>
      </c>
      <c r="AN34" s="31">
        <f t="shared" si="400"/>
        <v>10</v>
      </c>
      <c r="AO34" s="31">
        <f t="shared" si="400"/>
        <v>10</v>
      </c>
      <c r="AP34" s="31">
        <f t="shared" si="400"/>
        <v>10</v>
      </c>
      <c r="AQ34" s="31">
        <f t="shared" si="400"/>
        <v>10</v>
      </c>
      <c r="AR34" s="31">
        <f t="shared" si="400"/>
        <v>10</v>
      </c>
      <c r="AS34" s="31">
        <f t="shared" si="400"/>
        <v>10</v>
      </c>
      <c r="AT34" s="31">
        <f t="shared" si="400"/>
        <v>10</v>
      </c>
      <c r="AU34" s="31">
        <f t="shared" si="400"/>
        <v>10</v>
      </c>
      <c r="AV34" s="31">
        <f t="shared" si="400"/>
        <v>10</v>
      </c>
      <c r="AW34" s="31">
        <f t="shared" si="400"/>
        <v>10</v>
      </c>
      <c r="AX34" s="31">
        <f t="shared" si="400"/>
        <v>10</v>
      </c>
      <c r="AY34" s="31">
        <f t="shared" si="400"/>
        <v>10</v>
      </c>
      <c r="AZ34" s="31">
        <f t="shared" si="400"/>
        <v>10</v>
      </c>
      <c r="BA34" s="31">
        <f t="shared" si="400"/>
        <v>10</v>
      </c>
      <c r="BB34" s="31">
        <f t="shared" si="400"/>
        <v>10</v>
      </c>
      <c r="BC34" s="31">
        <f t="shared" si="400"/>
        <v>10</v>
      </c>
      <c r="BD34" s="31">
        <f t="shared" si="400"/>
        <v>10</v>
      </c>
      <c r="BE34" s="31">
        <f t="shared" si="400"/>
        <v>10</v>
      </c>
      <c r="BF34" s="31">
        <f t="shared" si="400"/>
        <v>10</v>
      </c>
      <c r="BG34" s="31">
        <f t="shared" si="400"/>
        <v>10</v>
      </c>
      <c r="BH34" s="31">
        <f t="shared" si="400"/>
        <v>10</v>
      </c>
      <c r="BI34" s="31">
        <f t="shared" si="400"/>
        <v>10</v>
      </c>
      <c r="BJ34" s="31">
        <f t="shared" si="400"/>
        <v>10</v>
      </c>
      <c r="BK34" s="31">
        <f t="shared" si="400"/>
        <v>10</v>
      </c>
      <c r="BL34" s="31">
        <f t="shared" si="400"/>
        <v>10</v>
      </c>
      <c r="BM34" s="31">
        <f t="shared" si="400"/>
        <v>10</v>
      </c>
      <c r="BN34" s="31">
        <f t="shared" si="400"/>
        <v>10</v>
      </c>
      <c r="BO34" s="31">
        <f t="shared" si="400"/>
        <v>10</v>
      </c>
      <c r="BP34" s="31">
        <f t="shared" si="400"/>
        <v>10</v>
      </c>
      <c r="BQ34" s="31">
        <f t="shared" si="400"/>
        <v>10</v>
      </c>
      <c r="BR34" s="31">
        <f t="shared" ref="BR34:DI34" si="401">Furniture</f>
        <v>10</v>
      </c>
      <c r="BS34" s="31">
        <f t="shared" si="401"/>
        <v>10</v>
      </c>
      <c r="BT34" s="31">
        <f t="shared" si="401"/>
        <v>10</v>
      </c>
      <c r="BU34" s="31">
        <f t="shared" si="401"/>
        <v>10</v>
      </c>
      <c r="BV34" s="31">
        <f t="shared" si="401"/>
        <v>10</v>
      </c>
      <c r="BW34" s="31">
        <f t="shared" si="401"/>
        <v>10</v>
      </c>
      <c r="BX34" s="31">
        <f t="shared" si="401"/>
        <v>10</v>
      </c>
      <c r="BY34" s="31">
        <f t="shared" si="401"/>
        <v>10</v>
      </c>
      <c r="BZ34" s="31">
        <f t="shared" si="401"/>
        <v>10</v>
      </c>
      <c r="CA34" s="31">
        <f t="shared" si="401"/>
        <v>10</v>
      </c>
      <c r="CB34" s="31">
        <f t="shared" si="401"/>
        <v>10</v>
      </c>
      <c r="CC34" s="31">
        <f t="shared" si="401"/>
        <v>10</v>
      </c>
      <c r="CD34" s="31">
        <f t="shared" si="401"/>
        <v>10</v>
      </c>
      <c r="CE34" s="31">
        <f t="shared" si="401"/>
        <v>10</v>
      </c>
      <c r="CF34" s="31">
        <f t="shared" si="401"/>
        <v>10</v>
      </c>
      <c r="CG34" s="31">
        <f t="shared" si="401"/>
        <v>10</v>
      </c>
      <c r="CH34" s="31">
        <f t="shared" si="401"/>
        <v>10</v>
      </c>
      <c r="CI34" s="31">
        <f t="shared" si="401"/>
        <v>10</v>
      </c>
      <c r="CJ34" s="31">
        <f t="shared" si="401"/>
        <v>10</v>
      </c>
      <c r="CK34" s="31">
        <f t="shared" si="401"/>
        <v>10</v>
      </c>
      <c r="CL34" s="31">
        <f t="shared" si="401"/>
        <v>10</v>
      </c>
      <c r="CM34" s="31">
        <f t="shared" si="401"/>
        <v>10</v>
      </c>
      <c r="CN34" s="31">
        <f t="shared" si="401"/>
        <v>10</v>
      </c>
      <c r="CO34" s="31">
        <f t="shared" si="401"/>
        <v>10</v>
      </c>
      <c r="CP34" s="31">
        <f t="shared" si="401"/>
        <v>10</v>
      </c>
      <c r="CQ34" s="31">
        <f t="shared" si="401"/>
        <v>10</v>
      </c>
      <c r="CR34" s="31">
        <f t="shared" si="401"/>
        <v>10</v>
      </c>
      <c r="CS34" s="31">
        <f t="shared" si="401"/>
        <v>10</v>
      </c>
      <c r="CT34" s="31">
        <f t="shared" si="401"/>
        <v>10</v>
      </c>
      <c r="CU34" s="31">
        <f t="shared" si="401"/>
        <v>10</v>
      </c>
      <c r="CV34" s="31">
        <f t="shared" si="401"/>
        <v>10</v>
      </c>
      <c r="CW34" s="31">
        <f t="shared" si="401"/>
        <v>10</v>
      </c>
      <c r="CX34" s="31">
        <f t="shared" si="401"/>
        <v>10</v>
      </c>
      <c r="CY34" s="31">
        <f t="shared" si="401"/>
        <v>10</v>
      </c>
      <c r="CZ34" s="31">
        <f t="shared" si="401"/>
        <v>10</v>
      </c>
      <c r="DA34" s="31">
        <f t="shared" si="401"/>
        <v>10</v>
      </c>
      <c r="DB34" s="31">
        <f t="shared" si="401"/>
        <v>10</v>
      </c>
      <c r="DC34" s="31">
        <f t="shared" si="401"/>
        <v>10</v>
      </c>
      <c r="DD34" s="31">
        <f t="shared" si="401"/>
        <v>10</v>
      </c>
      <c r="DE34" s="31">
        <f t="shared" si="401"/>
        <v>10</v>
      </c>
      <c r="DF34" s="31">
        <f t="shared" si="401"/>
        <v>10</v>
      </c>
      <c r="DG34" s="31">
        <f t="shared" si="401"/>
        <v>10</v>
      </c>
      <c r="DH34" s="31">
        <f t="shared" si="401"/>
        <v>10</v>
      </c>
      <c r="DI34" s="31">
        <f t="shared" si="401"/>
        <v>10</v>
      </c>
    </row>
    <row r="35" spans="2:113" s="28" customFormat="1" hidden="1" outlineLevel="1" x14ac:dyDescent="0.3">
      <c r="B35" s="36" t="s">
        <v>20</v>
      </c>
      <c r="C35" s="29"/>
      <c r="D35" s="31">
        <f>BY35</f>
        <v>56509.999999999956</v>
      </c>
      <c r="E35" s="31"/>
      <c r="F35" s="31">
        <f t="shared" ref="F35" si="402">SUM(F36:F38)</f>
        <v>1072.5</v>
      </c>
      <c r="G35" s="31">
        <f>SUM(G36:G38)</f>
        <v>2135</v>
      </c>
      <c r="H35" s="31">
        <f>SUM(H36:H38)</f>
        <v>3197.5</v>
      </c>
      <c r="I35" s="31">
        <f t="shared" ref="I35:K35" si="403">SUM(I36:I38)</f>
        <v>4260</v>
      </c>
      <c r="J35" s="31">
        <f t="shared" si="403"/>
        <v>5322.5</v>
      </c>
      <c r="K35" s="31">
        <f t="shared" si="403"/>
        <v>6385</v>
      </c>
      <c r="L35" s="31">
        <f t="shared" ref="L35" si="404">SUM(L36:L38)</f>
        <v>7447.5</v>
      </c>
      <c r="M35" s="31">
        <f t="shared" ref="M35" si="405">SUM(M36:M38)</f>
        <v>8510</v>
      </c>
      <c r="N35" s="31">
        <f t="shared" ref="N35" si="406">SUM(N36:N38)</f>
        <v>9572.5</v>
      </c>
      <c r="O35" s="31">
        <f t="shared" ref="O35" si="407">SUM(O36:O38)</f>
        <v>10635.000000000002</v>
      </c>
      <c r="P35" s="31">
        <f t="shared" ref="P35" si="408">SUM(P36:P38)</f>
        <v>11697.500000000002</v>
      </c>
      <c r="Q35" s="31">
        <f t="shared" ref="Q35" si="409">SUM(Q36:Q38)</f>
        <v>12760.000000000002</v>
      </c>
      <c r="R35" s="31">
        <f t="shared" ref="R35" si="410">SUM(R36:R38)</f>
        <v>13489.166666666668</v>
      </c>
      <c r="S35" s="31">
        <f t="shared" ref="S35" si="411">SUM(S36:S38)</f>
        <v>14218.333333333334</v>
      </c>
      <c r="T35" s="31">
        <f t="shared" ref="T35" si="412">SUM(T36:T38)</f>
        <v>14947.5</v>
      </c>
      <c r="U35" s="31">
        <f t="shared" ref="U35" si="413">SUM(U36:U38)</f>
        <v>15676.666666666666</v>
      </c>
      <c r="V35" s="31">
        <f t="shared" ref="V35" si="414">SUM(V36:V38)</f>
        <v>16405.833333333332</v>
      </c>
      <c r="W35" s="31">
        <f t="shared" ref="W35" si="415">SUM(W36:W38)</f>
        <v>17135</v>
      </c>
      <c r="X35" s="31">
        <f t="shared" ref="X35" si="416">SUM(X36:X38)</f>
        <v>17864.166666666664</v>
      </c>
      <c r="Y35" s="31">
        <f t="shared" ref="Y35" si="417">SUM(Y36:Y38)</f>
        <v>18593.333333333332</v>
      </c>
      <c r="Z35" s="31">
        <f t="shared" ref="Z35" si="418">SUM(Z36:Z38)</f>
        <v>19322.499999999996</v>
      </c>
      <c r="AA35" s="31">
        <f t="shared" ref="AA35" si="419">SUM(AA36:AA38)</f>
        <v>20051.666666666664</v>
      </c>
      <c r="AB35" s="31">
        <f t="shared" ref="AB35" si="420">SUM(AB36:AB38)</f>
        <v>20780.833333333328</v>
      </c>
      <c r="AC35" s="31">
        <f t="shared" ref="AC35" si="421">SUM(AC36:AC38)</f>
        <v>21509.999999999996</v>
      </c>
      <c r="AD35" s="31">
        <f t="shared" ref="AD35" si="422">SUM(AD36:AD38)</f>
        <v>22239.166666666664</v>
      </c>
      <c r="AE35" s="31">
        <f t="shared" ref="AE35" si="423">SUM(AE36:AE38)</f>
        <v>22968.333333333332</v>
      </c>
      <c r="AF35" s="31">
        <f t="shared" ref="AF35" si="424">SUM(AF36:AF38)</f>
        <v>23697.5</v>
      </c>
      <c r="AG35" s="31">
        <f t="shared" ref="AG35" si="425">SUM(AG36:AG38)</f>
        <v>24426.666666666668</v>
      </c>
      <c r="AH35" s="31">
        <f t="shared" ref="AH35" si="426">SUM(AH36:AH38)</f>
        <v>25155.833333333336</v>
      </c>
      <c r="AI35" s="31">
        <f t="shared" ref="AI35" si="427">SUM(AI36:AI38)</f>
        <v>25885.000000000004</v>
      </c>
      <c r="AJ35" s="31">
        <f t="shared" ref="AJ35" si="428">SUM(AJ36:AJ38)</f>
        <v>26614.166666666672</v>
      </c>
      <c r="AK35" s="31">
        <f t="shared" ref="AK35" si="429">SUM(AK36:AK38)</f>
        <v>27343.333333333339</v>
      </c>
      <c r="AL35" s="31">
        <f t="shared" ref="AL35" si="430">SUM(AL36:AL38)</f>
        <v>28072.500000000007</v>
      </c>
      <c r="AM35" s="31">
        <f t="shared" ref="AM35" si="431">SUM(AM36:AM38)</f>
        <v>28801.666666666675</v>
      </c>
      <c r="AN35" s="31">
        <f t="shared" ref="AN35" si="432">SUM(AN36:AN38)</f>
        <v>29530.833333333343</v>
      </c>
      <c r="AO35" s="31">
        <f t="shared" ref="AO35" si="433">SUM(AO36:AO38)</f>
        <v>30260.000000000011</v>
      </c>
      <c r="AP35" s="31">
        <f t="shared" ref="AP35" si="434">SUM(AP36:AP38)</f>
        <v>30989.166666666679</v>
      </c>
      <c r="AQ35" s="31">
        <f t="shared" ref="AQ35" si="435">SUM(AQ36:AQ38)</f>
        <v>31718.333333333347</v>
      </c>
      <c r="AR35" s="31">
        <f t="shared" ref="AR35" si="436">SUM(AR36:AR38)</f>
        <v>32447.500000000015</v>
      </c>
      <c r="AS35" s="31">
        <f t="shared" ref="AS35" si="437">SUM(AS36:AS38)</f>
        <v>33176.666666666686</v>
      </c>
      <c r="AT35" s="31">
        <f t="shared" ref="AT35" si="438">SUM(AT36:AT38)</f>
        <v>33905.83333333335</v>
      </c>
      <c r="AU35" s="31">
        <f t="shared" ref="AU35" si="439">SUM(AU36:AU38)</f>
        <v>34635.000000000022</v>
      </c>
      <c r="AV35" s="31">
        <f t="shared" ref="AV35" si="440">SUM(AV36:AV38)</f>
        <v>35364.166666666686</v>
      </c>
      <c r="AW35" s="31">
        <f t="shared" ref="AW35" si="441">SUM(AW36:AW38)</f>
        <v>36093.333333333358</v>
      </c>
      <c r="AX35" s="31">
        <f t="shared" ref="AX35" si="442">SUM(AX36:AX38)</f>
        <v>36822.500000000022</v>
      </c>
      <c r="AY35" s="31">
        <f t="shared" ref="AY35" si="443">SUM(AY36:AY38)</f>
        <v>37551.666666666686</v>
      </c>
      <c r="AZ35" s="31">
        <f t="shared" ref="AZ35:BA35" si="444">SUM(AZ36:AZ38)</f>
        <v>38280.83333333335</v>
      </c>
      <c r="BA35" s="31">
        <f t="shared" si="444"/>
        <v>39010.000000000015</v>
      </c>
      <c r="BB35" s="31">
        <f t="shared" ref="BB35" si="445">SUM(BB36:BB38)</f>
        <v>39739.166666666679</v>
      </c>
      <c r="BC35" s="31">
        <f t="shared" ref="BC35" si="446">SUM(BC36:BC38)</f>
        <v>40468.333333333343</v>
      </c>
      <c r="BD35" s="31">
        <f t="shared" ref="BD35" si="447">SUM(BD36:BD38)</f>
        <v>41197.500000000007</v>
      </c>
      <c r="BE35" s="31">
        <f t="shared" ref="BE35" si="448">SUM(BE36:BE38)</f>
        <v>41926.666666666672</v>
      </c>
      <c r="BF35" s="31">
        <f t="shared" ref="BF35" si="449">SUM(BF36:BF38)</f>
        <v>42655.833333333336</v>
      </c>
      <c r="BG35" s="31">
        <f t="shared" ref="BG35" si="450">SUM(BG36:BG38)</f>
        <v>43385</v>
      </c>
      <c r="BH35" s="31">
        <f t="shared" ref="BH35" si="451">SUM(BH36:BH38)</f>
        <v>44114.166666666664</v>
      </c>
      <c r="BI35" s="31">
        <f t="shared" ref="BI35" si="452">SUM(BI36:BI38)</f>
        <v>44843.333333333328</v>
      </c>
      <c r="BJ35" s="31">
        <f t="shared" ref="BJ35" si="453">SUM(BJ36:BJ38)</f>
        <v>45572.499999999993</v>
      </c>
      <c r="BK35" s="31">
        <f t="shared" ref="BK35" si="454">SUM(BK36:BK38)</f>
        <v>46301.666666666657</v>
      </c>
      <c r="BL35" s="31">
        <f t="shared" ref="BL35" si="455">SUM(BL36:BL38)</f>
        <v>47030.833333333321</v>
      </c>
      <c r="BM35" s="31">
        <f t="shared" ref="BM35" si="456">SUM(BM36:BM38)</f>
        <v>47759.999999999985</v>
      </c>
      <c r="BN35" s="31">
        <f t="shared" ref="BN35" si="457">SUM(BN36:BN38)</f>
        <v>48489.16666666665</v>
      </c>
      <c r="BO35" s="31">
        <f t="shared" ref="BO35" si="458">SUM(BO36:BO38)</f>
        <v>49218.333333333314</v>
      </c>
      <c r="BP35" s="31">
        <f t="shared" ref="BP35" si="459">SUM(BP36:BP38)</f>
        <v>49947.499999999978</v>
      </c>
      <c r="BQ35" s="31">
        <f t="shared" ref="BQ35" si="460">SUM(BQ36:BQ38)</f>
        <v>50676.666666666642</v>
      </c>
      <c r="BR35" s="31">
        <f t="shared" ref="BR35" si="461">SUM(BR36:BR38)</f>
        <v>51405.833333333307</v>
      </c>
      <c r="BS35" s="31">
        <f t="shared" ref="BS35" si="462">SUM(BS36:BS38)</f>
        <v>52134.999999999971</v>
      </c>
      <c r="BT35" s="31">
        <f t="shared" ref="BT35" si="463">SUM(BT36:BT38)</f>
        <v>52864.166666666635</v>
      </c>
      <c r="BU35" s="31">
        <f t="shared" ref="BU35" si="464">SUM(BU36:BU38)</f>
        <v>53593.333333333299</v>
      </c>
      <c r="BV35" s="31">
        <f t="shared" ref="BV35" si="465">SUM(BV36:BV38)</f>
        <v>54322.499999999964</v>
      </c>
      <c r="BW35" s="31">
        <f t="shared" ref="BW35" si="466">SUM(BW36:BW38)</f>
        <v>55051.666666666628</v>
      </c>
      <c r="BX35" s="31">
        <f t="shared" ref="BX35" si="467">SUM(BX36:BX38)</f>
        <v>55780.833333333292</v>
      </c>
      <c r="BY35" s="31">
        <f t="shared" ref="BY35:DI35" si="468">SUM(BY36:BY38)</f>
        <v>56509.999999999956</v>
      </c>
      <c r="BZ35" s="31">
        <f t="shared" si="468"/>
        <v>57239.166666666621</v>
      </c>
      <c r="CA35" s="31">
        <f t="shared" si="468"/>
        <v>57968.333333333285</v>
      </c>
      <c r="CB35" s="31">
        <f t="shared" si="468"/>
        <v>58697.499999999949</v>
      </c>
      <c r="CC35" s="31">
        <f t="shared" si="468"/>
        <v>59426.666666666613</v>
      </c>
      <c r="CD35" s="31">
        <f t="shared" si="468"/>
        <v>60155.833333333278</v>
      </c>
      <c r="CE35" s="31">
        <f t="shared" si="468"/>
        <v>60884.999999999942</v>
      </c>
      <c r="CF35" s="31">
        <f t="shared" si="468"/>
        <v>61614.166666666606</v>
      </c>
      <c r="CG35" s="31">
        <f t="shared" si="468"/>
        <v>62343.33333333327</v>
      </c>
      <c r="CH35" s="31">
        <f t="shared" si="468"/>
        <v>63072.499999999935</v>
      </c>
      <c r="CI35" s="31">
        <f t="shared" si="468"/>
        <v>63801.666666666599</v>
      </c>
      <c r="CJ35" s="31">
        <f t="shared" si="468"/>
        <v>64530.833333333263</v>
      </c>
      <c r="CK35" s="31">
        <f t="shared" si="468"/>
        <v>65259.999999999927</v>
      </c>
      <c r="CL35" s="31">
        <f t="shared" si="468"/>
        <v>65989.166666666599</v>
      </c>
      <c r="CM35" s="31">
        <f t="shared" si="468"/>
        <v>66718.333333333256</v>
      </c>
      <c r="CN35" s="31">
        <f t="shared" si="468"/>
        <v>67447.499999999927</v>
      </c>
      <c r="CO35" s="31">
        <f t="shared" si="468"/>
        <v>68176.666666666584</v>
      </c>
      <c r="CP35" s="31">
        <f t="shared" si="468"/>
        <v>68905.833333333256</v>
      </c>
      <c r="CQ35" s="31">
        <f t="shared" si="468"/>
        <v>69634.999999999913</v>
      </c>
      <c r="CR35" s="31">
        <f t="shared" si="468"/>
        <v>70364.166666666584</v>
      </c>
      <c r="CS35" s="31">
        <f t="shared" si="468"/>
        <v>71093.333333333256</v>
      </c>
      <c r="CT35" s="31">
        <f t="shared" si="468"/>
        <v>71822.499999999927</v>
      </c>
      <c r="CU35" s="31">
        <f t="shared" si="468"/>
        <v>72551.666666666599</v>
      </c>
      <c r="CV35" s="31">
        <f t="shared" si="468"/>
        <v>73280.83333333327</v>
      </c>
      <c r="CW35" s="31">
        <f t="shared" si="468"/>
        <v>74009.999999999942</v>
      </c>
      <c r="CX35" s="31">
        <f t="shared" si="468"/>
        <v>74739.166666666613</v>
      </c>
      <c r="CY35" s="31">
        <f t="shared" si="468"/>
        <v>75468.333333333285</v>
      </c>
      <c r="CZ35" s="31">
        <f t="shared" si="468"/>
        <v>76197.499999999956</v>
      </c>
      <c r="DA35" s="31">
        <f t="shared" si="468"/>
        <v>76926.666666666628</v>
      </c>
      <c r="DB35" s="31">
        <f t="shared" si="468"/>
        <v>77655.833333333299</v>
      </c>
      <c r="DC35" s="31">
        <f t="shared" si="468"/>
        <v>78384.999999999971</v>
      </c>
      <c r="DD35" s="31">
        <f t="shared" si="468"/>
        <v>79114.166666666642</v>
      </c>
      <c r="DE35" s="31">
        <f t="shared" si="468"/>
        <v>79843.333333333314</v>
      </c>
      <c r="DF35" s="31">
        <f t="shared" si="468"/>
        <v>80572.499999999985</v>
      </c>
      <c r="DG35" s="31">
        <f t="shared" si="468"/>
        <v>81301.666666666657</v>
      </c>
      <c r="DH35" s="31">
        <f t="shared" si="468"/>
        <v>82030.833333333328</v>
      </c>
      <c r="DI35" s="31">
        <f t="shared" si="468"/>
        <v>82760</v>
      </c>
    </row>
    <row r="36" spans="2:113" s="28" customFormat="1" hidden="1" outlineLevel="2" x14ac:dyDescent="0.3">
      <c r="B36" s="37" t="s">
        <v>99</v>
      </c>
      <c r="C36" s="29"/>
      <c r="D36" s="31">
        <f t="shared" ref="D36:D38" si="469">BY36</f>
        <v>52499.999999999956</v>
      </c>
      <c r="E36" s="31"/>
      <c r="F36" s="31">
        <f t="shared" ref="F36:AK36" si="470">IF(OR(F3&lt;Start,F3&gt;Finish),0,E36+IF(E36=F32,0,Building*BuildingDepreciationRate))</f>
        <v>729.16666666666663</v>
      </c>
      <c r="G36" s="31">
        <f t="shared" si="470"/>
        <v>1458.3333333333333</v>
      </c>
      <c r="H36" s="31">
        <f t="shared" si="470"/>
        <v>2187.5</v>
      </c>
      <c r="I36" s="31">
        <f t="shared" si="470"/>
        <v>2916.6666666666665</v>
      </c>
      <c r="J36" s="31">
        <f t="shared" si="470"/>
        <v>3645.833333333333</v>
      </c>
      <c r="K36" s="31">
        <f t="shared" si="470"/>
        <v>4375</v>
      </c>
      <c r="L36" s="31">
        <f t="shared" si="470"/>
        <v>5104.166666666667</v>
      </c>
      <c r="M36" s="31">
        <f t="shared" si="470"/>
        <v>5833.3333333333339</v>
      </c>
      <c r="N36" s="31">
        <f t="shared" si="470"/>
        <v>6562.5000000000009</v>
      </c>
      <c r="O36" s="31">
        <f t="shared" si="470"/>
        <v>7291.6666666666679</v>
      </c>
      <c r="P36" s="31">
        <f t="shared" si="470"/>
        <v>8020.8333333333348</v>
      </c>
      <c r="Q36" s="31">
        <f t="shared" si="470"/>
        <v>8750.0000000000018</v>
      </c>
      <c r="R36" s="31">
        <f t="shared" si="470"/>
        <v>9479.1666666666679</v>
      </c>
      <c r="S36" s="31">
        <f t="shared" si="470"/>
        <v>10208.333333333334</v>
      </c>
      <c r="T36" s="31">
        <f t="shared" si="470"/>
        <v>10937.5</v>
      </c>
      <c r="U36" s="31">
        <f t="shared" si="470"/>
        <v>11666.666666666666</v>
      </c>
      <c r="V36" s="31">
        <f t="shared" si="470"/>
        <v>12395.833333333332</v>
      </c>
      <c r="W36" s="31">
        <f t="shared" si="470"/>
        <v>13124.999999999998</v>
      </c>
      <c r="X36" s="31">
        <f t="shared" si="470"/>
        <v>13854.166666666664</v>
      </c>
      <c r="Y36" s="31">
        <f t="shared" si="470"/>
        <v>14583.33333333333</v>
      </c>
      <c r="Z36" s="31">
        <f t="shared" si="470"/>
        <v>15312.499999999996</v>
      </c>
      <c r="AA36" s="31">
        <f t="shared" si="470"/>
        <v>16041.666666666662</v>
      </c>
      <c r="AB36" s="31">
        <f t="shared" si="470"/>
        <v>16770.833333333328</v>
      </c>
      <c r="AC36" s="31">
        <f t="shared" si="470"/>
        <v>17499.999999999996</v>
      </c>
      <c r="AD36" s="31">
        <f t="shared" si="470"/>
        <v>18229.166666666664</v>
      </c>
      <c r="AE36" s="31">
        <f t="shared" si="470"/>
        <v>18958.333333333332</v>
      </c>
      <c r="AF36" s="31">
        <f t="shared" si="470"/>
        <v>19687.5</v>
      </c>
      <c r="AG36" s="31">
        <f t="shared" si="470"/>
        <v>20416.666666666668</v>
      </c>
      <c r="AH36" s="31">
        <f t="shared" si="470"/>
        <v>21145.833333333336</v>
      </c>
      <c r="AI36" s="31">
        <f t="shared" si="470"/>
        <v>21875.000000000004</v>
      </c>
      <c r="AJ36" s="31">
        <f t="shared" si="470"/>
        <v>22604.166666666672</v>
      </c>
      <c r="AK36" s="31">
        <f t="shared" si="470"/>
        <v>23333.333333333339</v>
      </c>
      <c r="AL36" s="31">
        <f t="shared" ref="AL36:BQ36" si="471">IF(OR(AL3&lt;Start,AL3&gt;Finish),0,AK36+IF(AK36=AL32,0,Building*BuildingDepreciationRate))</f>
        <v>24062.500000000007</v>
      </c>
      <c r="AM36" s="31">
        <f t="shared" si="471"/>
        <v>24791.666666666675</v>
      </c>
      <c r="AN36" s="31">
        <f t="shared" si="471"/>
        <v>25520.833333333343</v>
      </c>
      <c r="AO36" s="31">
        <f t="shared" si="471"/>
        <v>26250.000000000011</v>
      </c>
      <c r="AP36" s="31">
        <f t="shared" si="471"/>
        <v>26979.166666666679</v>
      </c>
      <c r="AQ36" s="31">
        <f t="shared" si="471"/>
        <v>27708.333333333347</v>
      </c>
      <c r="AR36" s="31">
        <f t="shared" si="471"/>
        <v>28437.500000000015</v>
      </c>
      <c r="AS36" s="31">
        <f t="shared" si="471"/>
        <v>29166.666666666682</v>
      </c>
      <c r="AT36" s="31">
        <f t="shared" si="471"/>
        <v>29895.83333333335</v>
      </c>
      <c r="AU36" s="31">
        <f t="shared" si="471"/>
        <v>30625.000000000018</v>
      </c>
      <c r="AV36" s="31">
        <f t="shared" si="471"/>
        <v>31354.166666666686</v>
      </c>
      <c r="AW36" s="31">
        <f t="shared" si="471"/>
        <v>32083.333333333354</v>
      </c>
      <c r="AX36" s="31">
        <f t="shared" si="471"/>
        <v>32812.500000000022</v>
      </c>
      <c r="AY36" s="31">
        <f t="shared" si="471"/>
        <v>33541.666666666686</v>
      </c>
      <c r="AZ36" s="31">
        <f t="shared" si="471"/>
        <v>34270.83333333335</v>
      </c>
      <c r="BA36" s="31">
        <f t="shared" si="471"/>
        <v>35000.000000000015</v>
      </c>
      <c r="BB36" s="31">
        <f t="shared" si="471"/>
        <v>35729.166666666679</v>
      </c>
      <c r="BC36" s="31">
        <f t="shared" si="471"/>
        <v>36458.333333333343</v>
      </c>
      <c r="BD36" s="31">
        <f t="shared" si="471"/>
        <v>37187.500000000007</v>
      </c>
      <c r="BE36" s="31">
        <f t="shared" si="471"/>
        <v>37916.666666666672</v>
      </c>
      <c r="BF36" s="31">
        <f t="shared" si="471"/>
        <v>38645.833333333336</v>
      </c>
      <c r="BG36" s="31">
        <f t="shared" si="471"/>
        <v>39375</v>
      </c>
      <c r="BH36" s="31">
        <f t="shared" si="471"/>
        <v>40104.166666666664</v>
      </c>
      <c r="BI36" s="31">
        <f t="shared" si="471"/>
        <v>40833.333333333328</v>
      </c>
      <c r="BJ36" s="31">
        <f t="shared" si="471"/>
        <v>41562.499999999993</v>
      </c>
      <c r="BK36" s="31">
        <f t="shared" si="471"/>
        <v>42291.666666666657</v>
      </c>
      <c r="BL36" s="31">
        <f t="shared" si="471"/>
        <v>43020.833333333321</v>
      </c>
      <c r="BM36" s="31">
        <f t="shared" si="471"/>
        <v>43749.999999999985</v>
      </c>
      <c r="BN36" s="31">
        <f t="shared" si="471"/>
        <v>44479.16666666665</v>
      </c>
      <c r="BO36" s="31">
        <f t="shared" si="471"/>
        <v>45208.333333333314</v>
      </c>
      <c r="BP36" s="31">
        <f t="shared" si="471"/>
        <v>45937.499999999978</v>
      </c>
      <c r="BQ36" s="31">
        <f t="shared" si="471"/>
        <v>46666.666666666642</v>
      </c>
      <c r="BR36" s="31">
        <f t="shared" ref="BR36:BY36" si="472">IF(OR(BR3&lt;Start,BR3&gt;Finish),0,BQ36+IF(BQ36=BR32,0,Building*BuildingDepreciationRate))</f>
        <v>47395.833333333307</v>
      </c>
      <c r="BS36" s="31">
        <f t="shared" si="472"/>
        <v>48124.999999999971</v>
      </c>
      <c r="BT36" s="31">
        <f t="shared" si="472"/>
        <v>48854.166666666635</v>
      </c>
      <c r="BU36" s="31">
        <f t="shared" si="472"/>
        <v>49583.333333333299</v>
      </c>
      <c r="BV36" s="31">
        <f t="shared" si="472"/>
        <v>50312.499999999964</v>
      </c>
      <c r="BW36" s="31">
        <f t="shared" si="472"/>
        <v>51041.666666666628</v>
      </c>
      <c r="BX36" s="31">
        <f t="shared" si="472"/>
        <v>51770.833333333292</v>
      </c>
      <c r="BY36" s="31">
        <f t="shared" si="472"/>
        <v>52499.999999999956</v>
      </c>
      <c r="BZ36" s="31">
        <f t="shared" ref="BZ36:DI36" si="473">IF(OR(BZ3&lt;Start,BZ3&gt;Finish),0,BY36+IF(BY36=BZ32,0,Building*BuildingDepreciationRate))</f>
        <v>53229.166666666621</v>
      </c>
      <c r="CA36" s="31">
        <f t="shared" si="473"/>
        <v>53958.333333333285</v>
      </c>
      <c r="CB36" s="31">
        <f t="shared" si="473"/>
        <v>54687.499999999949</v>
      </c>
      <c r="CC36" s="31">
        <f t="shared" si="473"/>
        <v>55416.666666666613</v>
      </c>
      <c r="CD36" s="31">
        <f t="shared" si="473"/>
        <v>56145.833333333278</v>
      </c>
      <c r="CE36" s="31">
        <f t="shared" si="473"/>
        <v>56874.999999999942</v>
      </c>
      <c r="CF36" s="31">
        <f t="shared" si="473"/>
        <v>57604.166666666606</v>
      </c>
      <c r="CG36" s="31">
        <f t="shared" si="473"/>
        <v>58333.33333333327</v>
      </c>
      <c r="CH36" s="31">
        <f t="shared" si="473"/>
        <v>59062.499999999935</v>
      </c>
      <c r="CI36" s="31">
        <f t="shared" si="473"/>
        <v>59791.666666666599</v>
      </c>
      <c r="CJ36" s="31">
        <f t="shared" si="473"/>
        <v>60520.833333333263</v>
      </c>
      <c r="CK36" s="31">
        <f t="shared" si="473"/>
        <v>61249.999999999927</v>
      </c>
      <c r="CL36" s="31">
        <f t="shared" si="473"/>
        <v>61979.166666666591</v>
      </c>
      <c r="CM36" s="31">
        <f t="shared" si="473"/>
        <v>62708.333333333256</v>
      </c>
      <c r="CN36" s="31">
        <f t="shared" si="473"/>
        <v>63437.49999999992</v>
      </c>
      <c r="CO36" s="31">
        <f t="shared" si="473"/>
        <v>64166.666666666584</v>
      </c>
      <c r="CP36" s="31">
        <f t="shared" si="473"/>
        <v>64895.833333333248</v>
      </c>
      <c r="CQ36" s="31">
        <f t="shared" si="473"/>
        <v>65624.999999999913</v>
      </c>
      <c r="CR36" s="31">
        <f t="shared" si="473"/>
        <v>66354.166666666584</v>
      </c>
      <c r="CS36" s="31">
        <f t="shared" si="473"/>
        <v>67083.333333333256</v>
      </c>
      <c r="CT36" s="31">
        <f t="shared" si="473"/>
        <v>67812.499999999927</v>
      </c>
      <c r="CU36" s="31">
        <f t="shared" si="473"/>
        <v>68541.666666666599</v>
      </c>
      <c r="CV36" s="31">
        <f t="shared" si="473"/>
        <v>69270.83333333327</v>
      </c>
      <c r="CW36" s="31">
        <f t="shared" si="473"/>
        <v>69999.999999999942</v>
      </c>
      <c r="CX36" s="31">
        <f t="shared" si="473"/>
        <v>70729.166666666613</v>
      </c>
      <c r="CY36" s="31">
        <f t="shared" si="473"/>
        <v>71458.333333333285</v>
      </c>
      <c r="CZ36" s="31">
        <f t="shared" si="473"/>
        <v>72187.499999999956</v>
      </c>
      <c r="DA36" s="31">
        <f t="shared" si="473"/>
        <v>72916.666666666628</v>
      </c>
      <c r="DB36" s="31">
        <f t="shared" si="473"/>
        <v>73645.833333333299</v>
      </c>
      <c r="DC36" s="31">
        <f t="shared" si="473"/>
        <v>74374.999999999971</v>
      </c>
      <c r="DD36" s="31">
        <f t="shared" si="473"/>
        <v>75104.166666666642</v>
      </c>
      <c r="DE36" s="31">
        <f t="shared" si="473"/>
        <v>75833.333333333314</v>
      </c>
      <c r="DF36" s="31">
        <f t="shared" si="473"/>
        <v>76562.499999999985</v>
      </c>
      <c r="DG36" s="31">
        <f t="shared" si="473"/>
        <v>77291.666666666657</v>
      </c>
      <c r="DH36" s="31">
        <f t="shared" si="473"/>
        <v>78020.833333333328</v>
      </c>
      <c r="DI36" s="31">
        <f t="shared" si="473"/>
        <v>78750</v>
      </c>
    </row>
    <row r="37" spans="2:113" s="28" customFormat="1" hidden="1" outlineLevel="2" x14ac:dyDescent="0.3">
      <c r="B37" s="37" t="s">
        <v>100</v>
      </c>
      <c r="C37" s="29"/>
      <c r="D37" s="31">
        <f t="shared" si="469"/>
        <v>4000.0000000000005</v>
      </c>
      <c r="E37" s="31"/>
      <c r="F37" s="31">
        <f t="shared" ref="F37:AK37" si="474">IF(OR(F3&lt;Start,F3&gt;Finish),0,E37+IF(E37=F33,0,Equipment*EquipmetDepreciationRate))</f>
        <v>333.33333333333331</v>
      </c>
      <c r="G37" s="31">
        <f t="shared" si="474"/>
        <v>666.66666666666663</v>
      </c>
      <c r="H37" s="31">
        <f t="shared" si="474"/>
        <v>1000</v>
      </c>
      <c r="I37" s="31">
        <f t="shared" si="474"/>
        <v>1333.3333333333333</v>
      </c>
      <c r="J37" s="31">
        <f t="shared" si="474"/>
        <v>1666.6666666666665</v>
      </c>
      <c r="K37" s="31">
        <f t="shared" si="474"/>
        <v>1999.9999999999998</v>
      </c>
      <c r="L37" s="31">
        <f t="shared" si="474"/>
        <v>2333.333333333333</v>
      </c>
      <c r="M37" s="31">
        <f t="shared" si="474"/>
        <v>2666.6666666666665</v>
      </c>
      <c r="N37" s="31">
        <f t="shared" si="474"/>
        <v>3000</v>
      </c>
      <c r="O37" s="31">
        <f t="shared" si="474"/>
        <v>3333.3333333333335</v>
      </c>
      <c r="P37" s="31">
        <f t="shared" si="474"/>
        <v>3666.666666666667</v>
      </c>
      <c r="Q37" s="31">
        <f t="shared" si="474"/>
        <v>4000.0000000000005</v>
      </c>
      <c r="R37" s="31">
        <f t="shared" si="474"/>
        <v>4000.0000000000005</v>
      </c>
      <c r="S37" s="31">
        <f t="shared" si="474"/>
        <v>4000.0000000000005</v>
      </c>
      <c r="T37" s="31">
        <f t="shared" si="474"/>
        <v>4000.0000000000005</v>
      </c>
      <c r="U37" s="31">
        <f t="shared" si="474"/>
        <v>4000.0000000000005</v>
      </c>
      <c r="V37" s="31">
        <f t="shared" si="474"/>
        <v>4000.0000000000005</v>
      </c>
      <c r="W37" s="31">
        <f t="shared" si="474"/>
        <v>4000.0000000000005</v>
      </c>
      <c r="X37" s="31">
        <f t="shared" si="474"/>
        <v>4000.0000000000005</v>
      </c>
      <c r="Y37" s="31">
        <f t="shared" si="474"/>
        <v>4000.0000000000005</v>
      </c>
      <c r="Z37" s="31">
        <f t="shared" si="474"/>
        <v>4000.0000000000005</v>
      </c>
      <c r="AA37" s="31">
        <f t="shared" si="474"/>
        <v>4000.0000000000005</v>
      </c>
      <c r="AB37" s="31">
        <f t="shared" si="474"/>
        <v>4000.0000000000005</v>
      </c>
      <c r="AC37" s="31">
        <f t="shared" si="474"/>
        <v>4000.0000000000005</v>
      </c>
      <c r="AD37" s="31">
        <f t="shared" si="474"/>
        <v>4000.0000000000005</v>
      </c>
      <c r="AE37" s="31">
        <f t="shared" si="474"/>
        <v>4000.0000000000005</v>
      </c>
      <c r="AF37" s="31">
        <f t="shared" si="474"/>
        <v>4000.0000000000005</v>
      </c>
      <c r="AG37" s="31">
        <f t="shared" si="474"/>
        <v>4000.0000000000005</v>
      </c>
      <c r="AH37" s="31">
        <f t="shared" si="474"/>
        <v>4000.0000000000005</v>
      </c>
      <c r="AI37" s="31">
        <f t="shared" si="474"/>
        <v>4000.0000000000005</v>
      </c>
      <c r="AJ37" s="31">
        <f t="shared" si="474"/>
        <v>4000.0000000000005</v>
      </c>
      <c r="AK37" s="31">
        <f t="shared" si="474"/>
        <v>4000.0000000000005</v>
      </c>
      <c r="AL37" s="31">
        <f t="shared" ref="AL37:BQ37" si="475">IF(OR(AL3&lt;Start,AL3&gt;Finish),0,AK37+IF(AK37=AL33,0,Equipment*EquipmetDepreciationRate))</f>
        <v>4000.0000000000005</v>
      </c>
      <c r="AM37" s="31">
        <f t="shared" si="475"/>
        <v>4000.0000000000005</v>
      </c>
      <c r="AN37" s="31">
        <f t="shared" si="475"/>
        <v>4000.0000000000005</v>
      </c>
      <c r="AO37" s="31">
        <f t="shared" si="475"/>
        <v>4000.0000000000005</v>
      </c>
      <c r="AP37" s="31">
        <f t="shared" si="475"/>
        <v>4000.0000000000005</v>
      </c>
      <c r="AQ37" s="31">
        <f t="shared" si="475"/>
        <v>4000.0000000000005</v>
      </c>
      <c r="AR37" s="31">
        <f t="shared" si="475"/>
        <v>4000.0000000000005</v>
      </c>
      <c r="AS37" s="31">
        <f t="shared" si="475"/>
        <v>4000.0000000000005</v>
      </c>
      <c r="AT37" s="31">
        <f t="shared" si="475"/>
        <v>4000.0000000000005</v>
      </c>
      <c r="AU37" s="31">
        <f t="shared" si="475"/>
        <v>4000.0000000000005</v>
      </c>
      <c r="AV37" s="31">
        <f t="shared" si="475"/>
        <v>4000.0000000000005</v>
      </c>
      <c r="AW37" s="31">
        <f t="shared" si="475"/>
        <v>4000.0000000000005</v>
      </c>
      <c r="AX37" s="31">
        <f t="shared" si="475"/>
        <v>4000.0000000000005</v>
      </c>
      <c r="AY37" s="31">
        <f t="shared" si="475"/>
        <v>4000.0000000000005</v>
      </c>
      <c r="AZ37" s="31">
        <f t="shared" si="475"/>
        <v>4000.0000000000005</v>
      </c>
      <c r="BA37" s="31">
        <f t="shared" si="475"/>
        <v>4000.0000000000005</v>
      </c>
      <c r="BB37" s="31">
        <f t="shared" si="475"/>
        <v>4000.0000000000005</v>
      </c>
      <c r="BC37" s="31">
        <f t="shared" si="475"/>
        <v>4000.0000000000005</v>
      </c>
      <c r="BD37" s="31">
        <f t="shared" si="475"/>
        <v>4000.0000000000005</v>
      </c>
      <c r="BE37" s="31">
        <f t="shared" si="475"/>
        <v>4000.0000000000005</v>
      </c>
      <c r="BF37" s="31">
        <f t="shared" si="475"/>
        <v>4000.0000000000005</v>
      </c>
      <c r="BG37" s="31">
        <f t="shared" si="475"/>
        <v>4000.0000000000005</v>
      </c>
      <c r="BH37" s="31">
        <f t="shared" si="475"/>
        <v>4000.0000000000005</v>
      </c>
      <c r="BI37" s="31">
        <f t="shared" si="475"/>
        <v>4000.0000000000005</v>
      </c>
      <c r="BJ37" s="31">
        <f t="shared" si="475"/>
        <v>4000.0000000000005</v>
      </c>
      <c r="BK37" s="31">
        <f t="shared" si="475"/>
        <v>4000.0000000000005</v>
      </c>
      <c r="BL37" s="31">
        <f t="shared" si="475"/>
        <v>4000.0000000000005</v>
      </c>
      <c r="BM37" s="31">
        <f t="shared" si="475"/>
        <v>4000.0000000000005</v>
      </c>
      <c r="BN37" s="31">
        <f t="shared" si="475"/>
        <v>4000.0000000000005</v>
      </c>
      <c r="BO37" s="31">
        <f t="shared" si="475"/>
        <v>4000.0000000000005</v>
      </c>
      <c r="BP37" s="31">
        <f t="shared" si="475"/>
        <v>4000.0000000000005</v>
      </c>
      <c r="BQ37" s="31">
        <f t="shared" si="475"/>
        <v>4000.0000000000005</v>
      </c>
      <c r="BR37" s="31">
        <f t="shared" ref="BR37:BY37" si="476">IF(OR(BR3&lt;Start,BR3&gt;Finish),0,BQ37+IF(BQ37=BR33,0,Equipment*EquipmetDepreciationRate))</f>
        <v>4000.0000000000005</v>
      </c>
      <c r="BS37" s="31">
        <f t="shared" si="476"/>
        <v>4000.0000000000005</v>
      </c>
      <c r="BT37" s="31">
        <f t="shared" si="476"/>
        <v>4000.0000000000005</v>
      </c>
      <c r="BU37" s="31">
        <f t="shared" si="476"/>
        <v>4000.0000000000005</v>
      </c>
      <c r="BV37" s="31">
        <f t="shared" si="476"/>
        <v>4000.0000000000005</v>
      </c>
      <c r="BW37" s="31">
        <f t="shared" si="476"/>
        <v>4000.0000000000005</v>
      </c>
      <c r="BX37" s="31">
        <f t="shared" si="476"/>
        <v>4000.0000000000005</v>
      </c>
      <c r="BY37" s="31">
        <f t="shared" si="476"/>
        <v>4000.0000000000005</v>
      </c>
      <c r="BZ37" s="31">
        <f t="shared" ref="BZ37:DI37" si="477">IF(OR(BZ3&lt;Start,BZ3&gt;Finish),0,BY37+IF(BY37=BZ33,0,Equipment*EquipmetDepreciationRate))</f>
        <v>4000.0000000000005</v>
      </c>
      <c r="CA37" s="31">
        <f t="shared" si="477"/>
        <v>4000.0000000000005</v>
      </c>
      <c r="CB37" s="31">
        <f t="shared" si="477"/>
        <v>4000.0000000000005</v>
      </c>
      <c r="CC37" s="31">
        <f t="shared" si="477"/>
        <v>4000.0000000000005</v>
      </c>
      <c r="CD37" s="31">
        <f t="shared" si="477"/>
        <v>4000.0000000000005</v>
      </c>
      <c r="CE37" s="31">
        <f t="shared" si="477"/>
        <v>4000.0000000000005</v>
      </c>
      <c r="CF37" s="31">
        <f t="shared" si="477"/>
        <v>4000.0000000000005</v>
      </c>
      <c r="CG37" s="31">
        <f t="shared" si="477"/>
        <v>4000.0000000000005</v>
      </c>
      <c r="CH37" s="31">
        <f t="shared" si="477"/>
        <v>4000.0000000000005</v>
      </c>
      <c r="CI37" s="31">
        <f t="shared" si="477"/>
        <v>4000.0000000000005</v>
      </c>
      <c r="CJ37" s="31">
        <f t="shared" si="477"/>
        <v>4000.0000000000005</v>
      </c>
      <c r="CK37" s="31">
        <f t="shared" si="477"/>
        <v>4000.0000000000005</v>
      </c>
      <c r="CL37" s="31">
        <f t="shared" si="477"/>
        <v>4000.0000000000005</v>
      </c>
      <c r="CM37" s="31">
        <f t="shared" si="477"/>
        <v>4000.0000000000005</v>
      </c>
      <c r="CN37" s="31">
        <f t="shared" si="477"/>
        <v>4000.0000000000005</v>
      </c>
      <c r="CO37" s="31">
        <f t="shared" si="477"/>
        <v>4000.0000000000005</v>
      </c>
      <c r="CP37" s="31">
        <f t="shared" si="477"/>
        <v>4000.0000000000005</v>
      </c>
      <c r="CQ37" s="31">
        <f t="shared" si="477"/>
        <v>4000.0000000000005</v>
      </c>
      <c r="CR37" s="31">
        <f t="shared" si="477"/>
        <v>4000.0000000000005</v>
      </c>
      <c r="CS37" s="31">
        <f t="shared" si="477"/>
        <v>4000.0000000000005</v>
      </c>
      <c r="CT37" s="31">
        <f t="shared" si="477"/>
        <v>4000.0000000000005</v>
      </c>
      <c r="CU37" s="31">
        <f t="shared" si="477"/>
        <v>4000.0000000000005</v>
      </c>
      <c r="CV37" s="31">
        <f t="shared" si="477"/>
        <v>4000.0000000000005</v>
      </c>
      <c r="CW37" s="31">
        <f t="shared" si="477"/>
        <v>4000.0000000000005</v>
      </c>
      <c r="CX37" s="31">
        <f t="shared" si="477"/>
        <v>4000.0000000000005</v>
      </c>
      <c r="CY37" s="31">
        <f t="shared" si="477"/>
        <v>4000.0000000000005</v>
      </c>
      <c r="CZ37" s="31">
        <f t="shared" si="477"/>
        <v>4000.0000000000005</v>
      </c>
      <c r="DA37" s="31">
        <f t="shared" si="477"/>
        <v>4000.0000000000005</v>
      </c>
      <c r="DB37" s="31">
        <f t="shared" si="477"/>
        <v>4000.0000000000005</v>
      </c>
      <c r="DC37" s="31">
        <f t="shared" si="477"/>
        <v>4000.0000000000005</v>
      </c>
      <c r="DD37" s="31">
        <f t="shared" si="477"/>
        <v>4000.0000000000005</v>
      </c>
      <c r="DE37" s="31">
        <f t="shared" si="477"/>
        <v>4000.0000000000005</v>
      </c>
      <c r="DF37" s="31">
        <f t="shared" si="477"/>
        <v>4000.0000000000005</v>
      </c>
      <c r="DG37" s="31">
        <f t="shared" si="477"/>
        <v>4000.0000000000005</v>
      </c>
      <c r="DH37" s="31">
        <f t="shared" si="477"/>
        <v>4000.0000000000005</v>
      </c>
      <c r="DI37" s="31">
        <f t="shared" si="477"/>
        <v>4000.0000000000005</v>
      </c>
    </row>
    <row r="38" spans="2:113" s="28" customFormat="1" hidden="1" outlineLevel="2" x14ac:dyDescent="0.3">
      <c r="B38" s="37" t="s">
        <v>121</v>
      </c>
      <c r="C38" s="29"/>
      <c r="D38" s="31">
        <f t="shared" si="469"/>
        <v>10</v>
      </c>
      <c r="E38" s="31"/>
      <c r="F38" s="31">
        <f t="shared" ref="F38:AK38" si="478">IF(OR(F3&lt;Start,F3&gt;Finish),0,E38+IF(E38=F34,0,Furniture*FurnitureDepreciationRate))</f>
        <v>10</v>
      </c>
      <c r="G38" s="31">
        <f t="shared" si="478"/>
        <v>10</v>
      </c>
      <c r="H38" s="31">
        <f t="shared" si="478"/>
        <v>10</v>
      </c>
      <c r="I38" s="31">
        <f t="shared" si="478"/>
        <v>10</v>
      </c>
      <c r="J38" s="31">
        <f t="shared" si="478"/>
        <v>10</v>
      </c>
      <c r="K38" s="31">
        <f t="shared" si="478"/>
        <v>10</v>
      </c>
      <c r="L38" s="31">
        <f t="shared" si="478"/>
        <v>10</v>
      </c>
      <c r="M38" s="31">
        <f t="shared" si="478"/>
        <v>10</v>
      </c>
      <c r="N38" s="31">
        <f t="shared" si="478"/>
        <v>10</v>
      </c>
      <c r="O38" s="31">
        <f t="shared" si="478"/>
        <v>10</v>
      </c>
      <c r="P38" s="31">
        <f t="shared" si="478"/>
        <v>10</v>
      </c>
      <c r="Q38" s="31">
        <f t="shared" si="478"/>
        <v>10</v>
      </c>
      <c r="R38" s="31">
        <f t="shared" si="478"/>
        <v>10</v>
      </c>
      <c r="S38" s="31">
        <f t="shared" si="478"/>
        <v>10</v>
      </c>
      <c r="T38" s="31">
        <f t="shared" si="478"/>
        <v>10</v>
      </c>
      <c r="U38" s="31">
        <f t="shared" si="478"/>
        <v>10</v>
      </c>
      <c r="V38" s="31">
        <f t="shared" si="478"/>
        <v>10</v>
      </c>
      <c r="W38" s="31">
        <f t="shared" si="478"/>
        <v>10</v>
      </c>
      <c r="X38" s="31">
        <f t="shared" si="478"/>
        <v>10</v>
      </c>
      <c r="Y38" s="31">
        <f t="shared" si="478"/>
        <v>10</v>
      </c>
      <c r="Z38" s="31">
        <f t="shared" si="478"/>
        <v>10</v>
      </c>
      <c r="AA38" s="31">
        <f t="shared" si="478"/>
        <v>10</v>
      </c>
      <c r="AB38" s="31">
        <f t="shared" si="478"/>
        <v>10</v>
      </c>
      <c r="AC38" s="31">
        <f t="shared" si="478"/>
        <v>10</v>
      </c>
      <c r="AD38" s="31">
        <f t="shared" si="478"/>
        <v>10</v>
      </c>
      <c r="AE38" s="31">
        <f t="shared" si="478"/>
        <v>10</v>
      </c>
      <c r="AF38" s="31">
        <f t="shared" si="478"/>
        <v>10</v>
      </c>
      <c r="AG38" s="31">
        <f t="shared" si="478"/>
        <v>10</v>
      </c>
      <c r="AH38" s="31">
        <f t="shared" si="478"/>
        <v>10</v>
      </c>
      <c r="AI38" s="31">
        <f t="shared" si="478"/>
        <v>10</v>
      </c>
      <c r="AJ38" s="31">
        <f t="shared" si="478"/>
        <v>10</v>
      </c>
      <c r="AK38" s="31">
        <f t="shared" si="478"/>
        <v>10</v>
      </c>
      <c r="AL38" s="31">
        <f t="shared" ref="AL38:BQ38" si="479">IF(OR(AL3&lt;Start,AL3&gt;Finish),0,AK38+IF(AK38=AL34,0,Furniture*FurnitureDepreciationRate))</f>
        <v>10</v>
      </c>
      <c r="AM38" s="31">
        <f t="shared" si="479"/>
        <v>10</v>
      </c>
      <c r="AN38" s="31">
        <f t="shared" si="479"/>
        <v>10</v>
      </c>
      <c r="AO38" s="31">
        <f t="shared" si="479"/>
        <v>10</v>
      </c>
      <c r="AP38" s="31">
        <f t="shared" si="479"/>
        <v>10</v>
      </c>
      <c r="AQ38" s="31">
        <f t="shared" si="479"/>
        <v>10</v>
      </c>
      <c r="AR38" s="31">
        <f t="shared" si="479"/>
        <v>10</v>
      </c>
      <c r="AS38" s="31">
        <f t="shared" si="479"/>
        <v>10</v>
      </c>
      <c r="AT38" s="31">
        <f t="shared" si="479"/>
        <v>10</v>
      </c>
      <c r="AU38" s="31">
        <f t="shared" si="479"/>
        <v>10</v>
      </c>
      <c r="AV38" s="31">
        <f t="shared" si="479"/>
        <v>10</v>
      </c>
      <c r="AW38" s="31">
        <f t="shared" si="479"/>
        <v>10</v>
      </c>
      <c r="AX38" s="31">
        <f t="shared" si="479"/>
        <v>10</v>
      </c>
      <c r="AY38" s="31">
        <f t="shared" si="479"/>
        <v>10</v>
      </c>
      <c r="AZ38" s="31">
        <f t="shared" si="479"/>
        <v>10</v>
      </c>
      <c r="BA38" s="31">
        <f t="shared" si="479"/>
        <v>10</v>
      </c>
      <c r="BB38" s="31">
        <f t="shared" si="479"/>
        <v>10</v>
      </c>
      <c r="BC38" s="31">
        <f t="shared" si="479"/>
        <v>10</v>
      </c>
      <c r="BD38" s="31">
        <f t="shared" si="479"/>
        <v>10</v>
      </c>
      <c r="BE38" s="31">
        <f t="shared" si="479"/>
        <v>10</v>
      </c>
      <c r="BF38" s="31">
        <f t="shared" si="479"/>
        <v>10</v>
      </c>
      <c r="BG38" s="31">
        <f t="shared" si="479"/>
        <v>10</v>
      </c>
      <c r="BH38" s="31">
        <f t="shared" si="479"/>
        <v>10</v>
      </c>
      <c r="BI38" s="31">
        <f t="shared" si="479"/>
        <v>10</v>
      </c>
      <c r="BJ38" s="31">
        <f t="shared" si="479"/>
        <v>10</v>
      </c>
      <c r="BK38" s="31">
        <f t="shared" si="479"/>
        <v>10</v>
      </c>
      <c r="BL38" s="31">
        <f t="shared" si="479"/>
        <v>10</v>
      </c>
      <c r="BM38" s="31">
        <f t="shared" si="479"/>
        <v>10</v>
      </c>
      <c r="BN38" s="31">
        <f t="shared" si="479"/>
        <v>10</v>
      </c>
      <c r="BO38" s="31">
        <f t="shared" si="479"/>
        <v>10</v>
      </c>
      <c r="BP38" s="31">
        <f t="shared" si="479"/>
        <v>10</v>
      </c>
      <c r="BQ38" s="31">
        <f t="shared" si="479"/>
        <v>10</v>
      </c>
      <c r="BR38" s="31">
        <f t="shared" ref="BR38:BY38" si="480">IF(OR(BR3&lt;Start,BR3&gt;Finish),0,BQ38+IF(BQ38=BR34,0,Furniture*FurnitureDepreciationRate))</f>
        <v>10</v>
      </c>
      <c r="BS38" s="31">
        <f t="shared" si="480"/>
        <v>10</v>
      </c>
      <c r="BT38" s="31">
        <f t="shared" si="480"/>
        <v>10</v>
      </c>
      <c r="BU38" s="31">
        <f t="shared" si="480"/>
        <v>10</v>
      </c>
      <c r="BV38" s="31">
        <f t="shared" si="480"/>
        <v>10</v>
      </c>
      <c r="BW38" s="31">
        <f t="shared" si="480"/>
        <v>10</v>
      </c>
      <c r="BX38" s="31">
        <f t="shared" si="480"/>
        <v>10</v>
      </c>
      <c r="BY38" s="31">
        <f t="shared" si="480"/>
        <v>10</v>
      </c>
      <c r="BZ38" s="31">
        <f t="shared" ref="BZ38:DI38" si="481">IF(OR(BZ3&lt;Start,BZ3&gt;Finish),0,BY38+IF(BY38=BZ34,0,Furniture*FurnitureDepreciationRate))</f>
        <v>10</v>
      </c>
      <c r="CA38" s="31">
        <f t="shared" si="481"/>
        <v>10</v>
      </c>
      <c r="CB38" s="31">
        <f t="shared" si="481"/>
        <v>10</v>
      </c>
      <c r="CC38" s="31">
        <f t="shared" si="481"/>
        <v>10</v>
      </c>
      <c r="CD38" s="31">
        <f t="shared" si="481"/>
        <v>10</v>
      </c>
      <c r="CE38" s="31">
        <f t="shared" si="481"/>
        <v>10</v>
      </c>
      <c r="CF38" s="31">
        <f t="shared" si="481"/>
        <v>10</v>
      </c>
      <c r="CG38" s="31">
        <f t="shared" si="481"/>
        <v>10</v>
      </c>
      <c r="CH38" s="31">
        <f t="shared" si="481"/>
        <v>10</v>
      </c>
      <c r="CI38" s="31">
        <f t="shared" si="481"/>
        <v>10</v>
      </c>
      <c r="CJ38" s="31">
        <f t="shared" si="481"/>
        <v>10</v>
      </c>
      <c r="CK38" s="31">
        <f t="shared" si="481"/>
        <v>10</v>
      </c>
      <c r="CL38" s="31">
        <f t="shared" si="481"/>
        <v>10</v>
      </c>
      <c r="CM38" s="31">
        <f t="shared" si="481"/>
        <v>10</v>
      </c>
      <c r="CN38" s="31">
        <f t="shared" si="481"/>
        <v>10</v>
      </c>
      <c r="CO38" s="31">
        <f t="shared" si="481"/>
        <v>10</v>
      </c>
      <c r="CP38" s="31">
        <f t="shared" si="481"/>
        <v>10</v>
      </c>
      <c r="CQ38" s="31">
        <f t="shared" si="481"/>
        <v>10</v>
      </c>
      <c r="CR38" s="31">
        <f t="shared" si="481"/>
        <v>10</v>
      </c>
      <c r="CS38" s="31">
        <f t="shared" si="481"/>
        <v>10</v>
      </c>
      <c r="CT38" s="31">
        <f t="shared" si="481"/>
        <v>10</v>
      </c>
      <c r="CU38" s="31">
        <f t="shared" si="481"/>
        <v>10</v>
      </c>
      <c r="CV38" s="31">
        <f t="shared" si="481"/>
        <v>10</v>
      </c>
      <c r="CW38" s="31">
        <f t="shared" si="481"/>
        <v>10</v>
      </c>
      <c r="CX38" s="31">
        <f t="shared" si="481"/>
        <v>10</v>
      </c>
      <c r="CY38" s="31">
        <f t="shared" si="481"/>
        <v>10</v>
      </c>
      <c r="CZ38" s="31">
        <f t="shared" si="481"/>
        <v>10</v>
      </c>
      <c r="DA38" s="31">
        <f t="shared" si="481"/>
        <v>10</v>
      </c>
      <c r="DB38" s="31">
        <f t="shared" si="481"/>
        <v>10</v>
      </c>
      <c r="DC38" s="31">
        <f t="shared" si="481"/>
        <v>10</v>
      </c>
      <c r="DD38" s="31">
        <f t="shared" si="481"/>
        <v>10</v>
      </c>
      <c r="DE38" s="31">
        <f t="shared" si="481"/>
        <v>10</v>
      </c>
      <c r="DF38" s="31">
        <f t="shared" si="481"/>
        <v>10</v>
      </c>
      <c r="DG38" s="31">
        <f t="shared" si="481"/>
        <v>10</v>
      </c>
      <c r="DH38" s="31">
        <f t="shared" si="481"/>
        <v>10</v>
      </c>
      <c r="DI38" s="31">
        <f t="shared" si="481"/>
        <v>10</v>
      </c>
    </row>
    <row r="39" spans="2:113" x14ac:dyDescent="0.3">
      <c r="B39" s="22" t="s">
        <v>122</v>
      </c>
      <c r="C39" s="23"/>
      <c r="D39" s="24">
        <f>D28-D30</f>
        <v>418333.97663835168</v>
      </c>
      <c r="E39" s="24"/>
      <c r="F39" s="24">
        <f>F28-F30</f>
        <v>205.15613333333386</v>
      </c>
      <c r="G39" s="24">
        <f t="shared" ref="G39:AZ39" si="482">G28-G30</f>
        <v>642.05677353919418</v>
      </c>
      <c r="H39" s="24">
        <f t="shared" si="482"/>
        <v>-1919.3570839661652</v>
      </c>
      <c r="I39" s="24">
        <f t="shared" si="482"/>
        <v>1490.6429653923205</v>
      </c>
      <c r="J39" s="24">
        <f t="shared" si="482"/>
        <v>1926.0357499489382</v>
      </c>
      <c r="K39" s="24">
        <f t="shared" si="482"/>
        <v>-640.65981934177216</v>
      </c>
      <c r="L39" s="24">
        <f t="shared" si="482"/>
        <v>2791.5960412751911</v>
      </c>
      <c r="M39" s="24">
        <f t="shared" si="482"/>
        <v>3235.6084043855253</v>
      </c>
      <c r="N39" s="24">
        <f t="shared" si="482"/>
        <v>649.5269536439846</v>
      </c>
      <c r="O39" s="24">
        <f t="shared" si="482"/>
        <v>4090.3951065166611</v>
      </c>
      <c r="P39" s="24">
        <f t="shared" si="482"/>
        <v>4529.0147314907517</v>
      </c>
      <c r="Q39" s="24">
        <f t="shared" si="482"/>
        <v>1993.4498644072255</v>
      </c>
      <c r="R39" s="24">
        <f t="shared" si="482"/>
        <v>6856.3716134006709</v>
      </c>
      <c r="S39" s="24">
        <f t="shared" si="482"/>
        <v>6881.6567410008956</v>
      </c>
      <c r="T39" s="24">
        <f t="shared" si="482"/>
        <v>3915.8798465597897</v>
      </c>
      <c r="U39" s="24">
        <f t="shared" si="482"/>
        <v>6932.4801284232099</v>
      </c>
      <c r="V39" s="24">
        <f t="shared" si="482"/>
        <v>6958.0189510735063</v>
      </c>
      <c r="W39" s="24">
        <f t="shared" si="482"/>
        <v>3992.4965973326457</v>
      </c>
      <c r="X39" s="24">
        <f t="shared" si="482"/>
        <v>7009.3522683653073</v>
      </c>
      <c r="Y39" s="24">
        <f t="shared" si="482"/>
        <v>7035.1473314820805</v>
      </c>
      <c r="Z39" s="24">
        <f t="shared" si="482"/>
        <v>4069.8820723425774</v>
      </c>
      <c r="AA39" s="24">
        <f t="shared" si="482"/>
        <v>7086.9956949586112</v>
      </c>
      <c r="AB39" s="24">
        <f t="shared" si="482"/>
        <v>7113.0495694973606</v>
      </c>
      <c r="AC39" s="24">
        <f t="shared" si="482"/>
        <v>4148.043984484576</v>
      </c>
      <c r="AD39" s="24">
        <f t="shared" si="482"/>
        <v>7165.4181468077468</v>
      </c>
      <c r="AE39" s="24">
        <f t="shared" si="482"/>
        <v>7191.7334295193277</v>
      </c>
      <c r="AF39" s="24">
        <f t="shared" si="482"/>
        <v>4226.9901240399495</v>
      </c>
      <c r="AG39" s="24">
        <f t="shared" si="482"/>
        <v>7244.6274401616374</v>
      </c>
      <c r="AH39" s="24">
        <f t="shared" si="482"/>
        <v>7271.2067538510664</v>
      </c>
      <c r="AI39" s="24">
        <f t="shared" si="482"/>
        <v>4306.7283594527917</v>
      </c>
      <c r="AJ39" s="24">
        <f t="shared" si="482"/>
        <v>7324.6314696925238</v>
      </c>
      <c r="AK39" s="24">
        <f t="shared" si="482"/>
        <v>7351.4774634803898</v>
      </c>
      <c r="AL39" s="24">
        <f t="shared" si="482"/>
        <v>4387.2666381142135</v>
      </c>
      <c r="AM39" s="24">
        <f t="shared" si="482"/>
        <v>7405.4382092828209</v>
      </c>
      <c r="AN39" s="24">
        <f t="shared" si="482"/>
        <v>7432.5535588693183</v>
      </c>
      <c r="AO39" s="24">
        <f t="shared" si="482"/>
        <v>4468.6129871544399</v>
      </c>
      <c r="AP39" s="24">
        <f t="shared" si="482"/>
        <v>7487.0557128198407</v>
      </c>
      <c r="AQ39" s="24">
        <f t="shared" si="482"/>
        <v>7514.4431207514654</v>
      </c>
      <c r="AR39" s="24">
        <f t="shared" si="482"/>
        <v>4550.7755142428587</v>
      </c>
      <c r="AS39" s="24">
        <f t="shared" si="482"/>
        <v>7569.4921149985576</v>
      </c>
      <c r="AT39" s="24">
        <f t="shared" si="482"/>
        <v>7597.1543109374425</v>
      </c>
      <c r="AU39" s="24">
        <f t="shared" si="482"/>
        <v>4633.7624083961264</v>
      </c>
      <c r="AV39" s="24">
        <f t="shared" si="482"/>
        <v>7652.7556321323327</v>
      </c>
      <c r="AW39" s="24">
        <f t="shared" si="482"/>
        <v>7680.6953731283311</v>
      </c>
      <c r="AX39" s="24">
        <f t="shared" si="482"/>
        <v>4717.5819407943127</v>
      </c>
      <c r="AY39" s="24">
        <f t="shared" si="482"/>
        <v>7736.854562971851</v>
      </c>
      <c r="AZ39" s="24">
        <f t="shared" si="482"/>
        <v>7765.0746337373121</v>
      </c>
      <c r="BA39" s="24">
        <f t="shared" ref="BA39:BB39" si="483">BA28-BA30</f>
        <v>4802.2424656053263</v>
      </c>
      <c r="BB39" s="24">
        <f t="shared" si="483"/>
        <v>7821.7972895322337</v>
      </c>
      <c r="BC39" s="24">
        <f t="shared" ref="BC39:BT39" si="484">BC28-BC30</f>
        <v>7850.3005027195641</v>
      </c>
      <c r="BD39" s="24">
        <f t="shared" si="484"/>
        <v>4887.7524208175191</v>
      </c>
      <c r="BE39" s="24">
        <f t="shared" si="484"/>
        <v>7907.5922779284674</v>
      </c>
      <c r="BF39" s="24">
        <f t="shared" si="484"/>
        <v>7936.3814744104502</v>
      </c>
      <c r="BG39" s="24">
        <f t="shared" si="484"/>
        <v>4974.1203290807107</v>
      </c>
      <c r="BH39" s="24">
        <f t="shared" si="484"/>
        <v>7994.2480792192009</v>
      </c>
      <c r="BI39" s="24">
        <f t="shared" si="484"/>
        <v>8023.3261283721522</v>
      </c>
      <c r="BJ39" s="24">
        <f t="shared" si="484"/>
        <v>5061.3547985556179</v>
      </c>
      <c r="BK39" s="24">
        <f t="shared" si="484"/>
        <v>8081.773330259025</v>
      </c>
      <c r="BL39" s="24">
        <f t="shared" si="484"/>
        <v>8111.1431302487754</v>
      </c>
      <c r="BM39" s="24">
        <f t="shared" si="484"/>
        <v>5149.4645237718287</v>
      </c>
      <c r="BN39" s="24">
        <f t="shared" si="484"/>
        <v>8170.1767545592929</v>
      </c>
      <c r="BO39" s="24">
        <f t="shared" si="484"/>
        <v>8199.8412326300477</v>
      </c>
      <c r="BP39" s="24">
        <f t="shared" si="484"/>
        <v>5238.4582864943686</v>
      </c>
      <c r="BQ39" s="24">
        <f t="shared" si="484"/>
        <v>8259.4671631575748</v>
      </c>
      <c r="BR39" s="24">
        <f t="shared" si="484"/>
        <v>8289.429275923656</v>
      </c>
      <c r="BS39" s="24">
        <f t="shared" si="484"/>
        <v>5328.3449565989549</v>
      </c>
      <c r="BT39" s="24">
        <f t="shared" si="484"/>
        <v>8349.6534554958453</v>
      </c>
      <c r="BU39" s="24">
        <f t="shared" ref="BU39:BY39" si="485">BU28-BU30</f>
        <v>8379.9161892363827</v>
      </c>
      <c r="BV39" s="24">
        <f t="shared" si="485"/>
        <v>5419.1334929560626</v>
      </c>
      <c r="BW39" s="24">
        <f t="shared" si="485"/>
        <v>8440.7446203074705</v>
      </c>
      <c r="BX39" s="24">
        <f t="shared" si="485"/>
        <v>8471.3109912640484</v>
      </c>
      <c r="BY39" s="24">
        <f t="shared" si="485"/>
        <v>5510.8329443238217</v>
      </c>
      <c r="BZ39" s="24">
        <f t="shared" ref="BZ39:DI39" si="486">BZ28-BZ30</f>
        <v>8532.7497365131258</v>
      </c>
      <c r="CA39" s="24">
        <f t="shared" si="486"/>
        <v>8563.6227911903898</v>
      </c>
      <c r="CB39" s="24">
        <f t="shared" si="486"/>
        <v>5603.4524502499171</v>
      </c>
      <c r="CC39" s="24">
        <f t="shared" si="486"/>
        <v>8625.6779741256396</v>
      </c>
      <c r="CD39" s="24">
        <f t="shared" si="486"/>
        <v>8656.8607895949499</v>
      </c>
      <c r="CE39" s="24">
        <f t="shared" si="486"/>
        <v>5697.001241982488</v>
      </c>
      <c r="CF39" s="24">
        <f t="shared" si="486"/>
        <v>8719.5385951639855</v>
      </c>
      <c r="CG39" s="24">
        <f t="shared" si="486"/>
        <v>8751.0342793700911</v>
      </c>
      <c r="CH39" s="24">
        <f t="shared" si="486"/>
        <v>5791.4886433902111</v>
      </c>
      <c r="CI39" s="24">
        <f t="shared" si="486"/>
        <v>8814.3409545764025</v>
      </c>
      <c r="CJ39" s="24">
        <f t="shared" si="486"/>
        <v>8846.1526466472151</v>
      </c>
      <c r="CK39" s="24">
        <f t="shared" si="486"/>
        <v>5886.9240718915926</v>
      </c>
      <c r="CL39" s="24">
        <f t="shared" si="486"/>
        <v>8910.0945011727872</v>
      </c>
      <c r="CM39" s="24">
        <f t="shared" si="486"/>
        <v>8942.2253717322546</v>
      </c>
      <c r="CN39" s="24">
        <f t="shared" si="486"/>
        <v>5983.3170393935825</v>
      </c>
      <c r="CO39" s="24">
        <f t="shared" si="486"/>
        <v>9006.808778566452</v>
      </c>
      <c r="CP39" s="24">
        <f t="shared" si="486"/>
        <v>9039.2620300505641</v>
      </c>
      <c r="CQ39" s="24">
        <f t="shared" si="486"/>
        <v>6080.6771532396215</v>
      </c>
      <c r="CR39" s="24">
        <f t="shared" si="486"/>
        <v>9104.4934261253075</v>
      </c>
      <c r="CS39" s="24">
        <f t="shared" si="486"/>
        <v>9137.2722931012831</v>
      </c>
      <c r="CT39" s="24">
        <f t="shared" si="486"/>
        <v>6179.0141171671767</v>
      </c>
      <c r="CU39" s="24">
        <f t="shared" si="486"/>
        <v>9203.158179932625</v>
      </c>
      <c r="CV39" s="24">
        <f t="shared" si="486"/>
        <v>9236.2659294212899</v>
      </c>
      <c r="CW39" s="24">
        <f t="shared" si="486"/>
        <v>6278.3377322749157</v>
      </c>
      <c r="CX39" s="24">
        <f t="shared" si="486"/>
        <v>9302.8128737573916</v>
      </c>
      <c r="CY39" s="24">
        <f t="shared" si="486"/>
        <v>9336.2528055588045</v>
      </c>
      <c r="CZ39" s="24">
        <f t="shared" si="486"/>
        <v>6378.6578979995575</v>
      </c>
      <c r="DA39" s="24">
        <f t="shared" si="486"/>
        <v>9403.4674400344429</v>
      </c>
      <c r="DB39" s="24">
        <f t="shared" si="486"/>
        <v>9437.2428870567837</v>
      </c>
      <c r="DC39" s="24">
        <f t="shared" si="486"/>
        <v>6479.9846131025288</v>
      </c>
      <c r="DD39" s="24">
        <f t="shared" si="486"/>
        <v>9505.1319108544249</v>
      </c>
      <c r="DE39" s="24">
        <f t="shared" si="486"/>
        <v>9539.2462394461636</v>
      </c>
      <c r="DF39" s="24">
        <f t="shared" si="486"/>
        <v>6582.3279766665401</v>
      </c>
      <c r="DG39" s="24">
        <f t="shared" si="486"/>
        <v>9607.8164189636536</v>
      </c>
      <c r="DH39" s="24">
        <f t="shared" si="486"/>
        <v>9642.2730292490869</v>
      </c>
      <c r="DI39" s="24">
        <f t="shared" si="486"/>
        <v>6685.6981891021405</v>
      </c>
    </row>
    <row r="40" spans="2:113" collapsed="1" x14ac:dyDescent="0.3">
      <c r="B40" s="6" t="s">
        <v>125</v>
      </c>
      <c r="D40" s="27">
        <f>SUM(F40:BY40)</f>
        <v>85195.357702930211</v>
      </c>
      <c r="F40" s="27">
        <f t="shared" ref="F40:AK40" si="487">F41*LoanInterestRate/12</f>
        <v>2587.5</v>
      </c>
      <c r="G40" s="27">
        <f t="shared" si="487"/>
        <v>2587.5</v>
      </c>
      <c r="H40" s="27">
        <f t="shared" si="487"/>
        <v>2549.0388888888892</v>
      </c>
      <c r="I40" s="27">
        <f t="shared" si="487"/>
        <v>2510.4495740740745</v>
      </c>
      <c r="J40" s="27">
        <f t="shared" si="487"/>
        <v>2471.7316282098768</v>
      </c>
      <c r="K40" s="27">
        <f t="shared" si="487"/>
        <v>2432.8846225261318</v>
      </c>
      <c r="L40" s="27">
        <f t="shared" si="487"/>
        <v>2393.9081268234413</v>
      </c>
      <c r="M40" s="27">
        <f>M41*LoanInterestRate/12</f>
        <v>2354.8017094684083</v>
      </c>
      <c r="N40" s="27">
        <f t="shared" si="487"/>
        <v>2315.5649373888587</v>
      </c>
      <c r="O40" s="27">
        <f t="shared" si="487"/>
        <v>2276.1973760690435</v>
      </c>
      <c r="P40" s="27">
        <f t="shared" si="487"/>
        <v>2236.6985895448292</v>
      </c>
      <c r="Q40" s="27">
        <f t="shared" si="487"/>
        <v>2197.0681403988669</v>
      </c>
      <c r="R40" s="27">
        <f t="shared" si="487"/>
        <v>2157.305589755752</v>
      </c>
      <c r="S40" s="27">
        <f t="shared" si="487"/>
        <v>2117.4104972771602</v>
      </c>
      <c r="T40" s="27">
        <f t="shared" si="487"/>
        <v>2077.3824211569731</v>
      </c>
      <c r="U40" s="27">
        <f t="shared" si="487"/>
        <v>2037.2209181163851</v>
      </c>
      <c r="V40" s="27">
        <f t="shared" si="487"/>
        <v>1996.9255433989954</v>
      </c>
      <c r="W40" s="27">
        <f t="shared" si="487"/>
        <v>1956.495850765881</v>
      </c>
      <c r="X40" s="27">
        <f t="shared" si="487"/>
        <v>1915.9313924906558</v>
      </c>
      <c r="Y40" s="27">
        <f t="shared" si="487"/>
        <v>1875.2317193545134</v>
      </c>
      <c r="Z40" s="27">
        <f t="shared" si="487"/>
        <v>1834.396380641251</v>
      </c>
      <c r="AA40" s="27">
        <f t="shared" si="487"/>
        <v>1793.4249241322771</v>
      </c>
      <c r="AB40" s="27">
        <f t="shared" si="487"/>
        <v>1752.316896101607</v>
      </c>
      <c r="AC40" s="27">
        <f t="shared" si="487"/>
        <v>1711.0718413108343</v>
      </c>
      <c r="AD40" s="27">
        <f t="shared" si="487"/>
        <v>1669.6893030040926</v>
      </c>
      <c r="AE40" s="27">
        <f t="shared" si="487"/>
        <v>1628.1688229029949</v>
      </c>
      <c r="AF40" s="27">
        <f t="shared" si="487"/>
        <v>1586.5099412015604</v>
      </c>
      <c r="AG40" s="27">
        <f t="shared" si="487"/>
        <v>1544.7121965611211</v>
      </c>
      <c r="AH40" s="27">
        <f t="shared" si="487"/>
        <v>1502.7751261052135</v>
      </c>
      <c r="AI40" s="27">
        <f t="shared" si="487"/>
        <v>1460.6982654144531</v>
      </c>
      <c r="AJ40" s="27">
        <f t="shared" si="487"/>
        <v>1418.4811485213902</v>
      </c>
      <c r="AK40" s="27">
        <f t="shared" si="487"/>
        <v>1376.12330790535</v>
      </c>
      <c r="AL40" s="27">
        <f t="shared" ref="AL40:BQ40" si="488">AL41*LoanInterestRate/12</f>
        <v>1333.6242744872566</v>
      </c>
      <c r="AM40" s="27">
        <f t="shared" si="488"/>
        <v>1290.9835776244363</v>
      </c>
      <c r="AN40" s="27">
        <f t="shared" si="488"/>
        <v>1248.2007451054064</v>
      </c>
      <c r="AO40" s="27">
        <f t="shared" si="488"/>
        <v>1205.2753031446466</v>
      </c>
      <c r="AP40" s="27">
        <f t="shared" si="488"/>
        <v>1162.2067763773509</v>
      </c>
      <c r="AQ40" s="27">
        <f t="shared" si="488"/>
        <v>1118.9946878541641</v>
      </c>
      <c r="AR40" s="27">
        <f t="shared" si="488"/>
        <v>1075.6385590359</v>
      </c>
      <c r="AS40" s="27">
        <f t="shared" si="488"/>
        <v>1032.1379097882416</v>
      </c>
      <c r="AT40" s="27">
        <f t="shared" si="488"/>
        <v>988.49225837642462</v>
      </c>
      <c r="AU40" s="27">
        <f t="shared" si="488"/>
        <v>944.7011214599014</v>
      </c>
      <c r="AV40" s="27">
        <f t="shared" si="488"/>
        <v>900.76401408698985</v>
      </c>
      <c r="AW40" s="27">
        <f t="shared" si="488"/>
        <v>856.68044968950187</v>
      </c>
      <c r="AX40" s="27">
        <f t="shared" si="488"/>
        <v>812.44994007735556</v>
      </c>
      <c r="AY40" s="27">
        <f t="shared" si="488"/>
        <v>768.07199543316881</v>
      </c>
      <c r="AZ40" s="27">
        <f t="shared" si="488"/>
        <v>723.54612430683471</v>
      </c>
      <c r="BA40" s="27">
        <f t="shared" si="488"/>
        <v>678.87183361007953</v>
      </c>
      <c r="BB40" s="27">
        <f t="shared" si="488"/>
        <v>634.04862861100185</v>
      </c>
      <c r="BC40" s="27">
        <f t="shared" si="488"/>
        <v>589.07601292859397</v>
      </c>
      <c r="BD40" s="27">
        <f t="shared" si="488"/>
        <v>543.95348852724453</v>
      </c>
      <c r="BE40" s="27">
        <f t="shared" si="488"/>
        <v>498.68055571122409</v>
      </c>
      <c r="BF40" s="27">
        <f t="shared" si="488"/>
        <v>453.25671311915022</v>
      </c>
      <c r="BG40" s="27">
        <f t="shared" si="488"/>
        <v>407.68145771843609</v>
      </c>
      <c r="BH40" s="27">
        <f t="shared" si="488"/>
        <v>361.95428479971957</v>
      </c>
      <c r="BI40" s="27">
        <f t="shared" si="488"/>
        <v>316.07468797127393</v>
      </c>
      <c r="BJ40" s="27">
        <f t="shared" si="488"/>
        <v>270.04215915340023</v>
      </c>
      <c r="BK40" s="27">
        <f t="shared" si="488"/>
        <v>223.85618857280022</v>
      </c>
      <c r="BL40" s="27">
        <f t="shared" si="488"/>
        <v>177.51626475693158</v>
      </c>
      <c r="BM40" s="27">
        <f t="shared" si="488"/>
        <v>131.02187452834337</v>
      </c>
      <c r="BN40" s="27">
        <f t="shared" si="488"/>
        <v>84.37250299899317</v>
      </c>
      <c r="BO40" s="27">
        <f t="shared" si="488"/>
        <v>37.567633564545162</v>
      </c>
      <c r="BP40" s="27">
        <f t="shared" si="488"/>
        <v>0</v>
      </c>
      <c r="BQ40" s="27">
        <f t="shared" si="488"/>
        <v>0</v>
      </c>
      <c r="BR40" s="27">
        <f t="shared" ref="BR40:DI40" si="489">BR41*LoanInterestRate/12</f>
        <v>0</v>
      </c>
      <c r="BS40" s="27">
        <f t="shared" si="489"/>
        <v>0</v>
      </c>
      <c r="BT40" s="27">
        <f t="shared" si="489"/>
        <v>0</v>
      </c>
      <c r="BU40" s="27">
        <f t="shared" si="489"/>
        <v>0</v>
      </c>
      <c r="BV40" s="27">
        <f t="shared" si="489"/>
        <v>0</v>
      </c>
      <c r="BW40" s="27">
        <f t="shared" si="489"/>
        <v>0</v>
      </c>
      <c r="BX40" s="27">
        <f t="shared" si="489"/>
        <v>0</v>
      </c>
      <c r="BY40" s="27">
        <f t="shared" si="489"/>
        <v>0</v>
      </c>
      <c r="BZ40" s="27">
        <f t="shared" si="489"/>
        <v>0</v>
      </c>
      <c r="CA40" s="27">
        <f t="shared" si="489"/>
        <v>0</v>
      </c>
      <c r="CB40" s="27">
        <f t="shared" si="489"/>
        <v>0</v>
      </c>
      <c r="CC40" s="27">
        <f t="shared" si="489"/>
        <v>0</v>
      </c>
      <c r="CD40" s="27">
        <f t="shared" si="489"/>
        <v>0</v>
      </c>
      <c r="CE40" s="27">
        <f t="shared" si="489"/>
        <v>0</v>
      </c>
      <c r="CF40" s="27">
        <f t="shared" si="489"/>
        <v>0</v>
      </c>
      <c r="CG40" s="27">
        <f t="shared" si="489"/>
        <v>0</v>
      </c>
      <c r="CH40" s="27">
        <f t="shared" si="489"/>
        <v>0</v>
      </c>
      <c r="CI40" s="27">
        <f t="shared" si="489"/>
        <v>0</v>
      </c>
      <c r="CJ40" s="27">
        <f t="shared" si="489"/>
        <v>0</v>
      </c>
      <c r="CK40" s="27">
        <f t="shared" si="489"/>
        <v>0</v>
      </c>
      <c r="CL40" s="27">
        <f t="shared" si="489"/>
        <v>0</v>
      </c>
      <c r="CM40" s="27">
        <f t="shared" si="489"/>
        <v>0</v>
      </c>
      <c r="CN40" s="27">
        <f t="shared" si="489"/>
        <v>0</v>
      </c>
      <c r="CO40" s="27">
        <f t="shared" si="489"/>
        <v>0</v>
      </c>
      <c r="CP40" s="27">
        <f t="shared" si="489"/>
        <v>0</v>
      </c>
      <c r="CQ40" s="27">
        <f t="shared" si="489"/>
        <v>0</v>
      </c>
      <c r="CR40" s="27">
        <f t="shared" si="489"/>
        <v>0</v>
      </c>
      <c r="CS40" s="27">
        <f t="shared" si="489"/>
        <v>0</v>
      </c>
      <c r="CT40" s="27">
        <f t="shared" si="489"/>
        <v>0</v>
      </c>
      <c r="CU40" s="27">
        <f t="shared" si="489"/>
        <v>0</v>
      </c>
      <c r="CV40" s="27">
        <f t="shared" si="489"/>
        <v>0</v>
      </c>
      <c r="CW40" s="27">
        <f t="shared" si="489"/>
        <v>0</v>
      </c>
      <c r="CX40" s="27">
        <f t="shared" si="489"/>
        <v>0</v>
      </c>
      <c r="CY40" s="27">
        <f t="shared" si="489"/>
        <v>0</v>
      </c>
      <c r="CZ40" s="27">
        <f t="shared" si="489"/>
        <v>0</v>
      </c>
      <c r="DA40" s="27">
        <f t="shared" si="489"/>
        <v>0</v>
      </c>
      <c r="DB40" s="27">
        <f t="shared" si="489"/>
        <v>0</v>
      </c>
      <c r="DC40" s="27">
        <f t="shared" si="489"/>
        <v>0</v>
      </c>
      <c r="DD40" s="27">
        <f t="shared" si="489"/>
        <v>0</v>
      </c>
      <c r="DE40" s="27">
        <f t="shared" si="489"/>
        <v>0</v>
      </c>
      <c r="DF40" s="27">
        <f t="shared" si="489"/>
        <v>0</v>
      </c>
      <c r="DG40" s="27">
        <f t="shared" si="489"/>
        <v>0</v>
      </c>
      <c r="DH40" s="27">
        <f t="shared" si="489"/>
        <v>0</v>
      </c>
      <c r="DI40" s="27">
        <f t="shared" si="489"/>
        <v>0</v>
      </c>
    </row>
    <row r="41" spans="2:113" s="28" customFormat="1" hidden="1" outlineLevel="1" x14ac:dyDescent="0.3">
      <c r="B41" s="36" t="s">
        <v>127</v>
      </c>
      <c r="C41" s="29"/>
      <c r="D41" s="31"/>
      <c r="F41" s="31">
        <f>Loan</f>
        <v>270000</v>
      </c>
      <c r="G41" s="31">
        <f>F41-F42</f>
        <v>270000</v>
      </c>
      <c r="H41" s="31">
        <f t="shared" ref="H41:P41" si="490">G41-G42</f>
        <v>265986.66666666669</v>
      </c>
      <c r="I41" s="31">
        <f t="shared" si="490"/>
        <v>261959.95555555559</v>
      </c>
      <c r="J41" s="31">
        <f t="shared" si="490"/>
        <v>257919.82207407409</v>
      </c>
      <c r="K41" s="31">
        <f t="shared" si="490"/>
        <v>253866.22148098768</v>
      </c>
      <c r="L41" s="31">
        <f t="shared" si="490"/>
        <v>249799.1088859243</v>
      </c>
      <c r="M41" s="31">
        <f t="shared" si="490"/>
        <v>245718.43924887737</v>
      </c>
      <c r="N41" s="31">
        <f t="shared" si="490"/>
        <v>241624.16737970695</v>
      </c>
      <c r="O41" s="31">
        <f t="shared" si="490"/>
        <v>237516.2479376393</v>
      </c>
      <c r="P41" s="31">
        <f t="shared" si="490"/>
        <v>233394.63543076476</v>
      </c>
      <c r="Q41" s="31">
        <f t="shared" ref="Q41:AZ41" si="491">P41-P42</f>
        <v>229259.28421553396</v>
      </c>
      <c r="R41" s="31">
        <f>Q41-Q42</f>
        <v>225110.1484962524</v>
      </c>
      <c r="S41" s="31">
        <f t="shared" si="491"/>
        <v>220947.18232457322</v>
      </c>
      <c r="T41" s="31">
        <f t="shared" si="491"/>
        <v>216770.33959898847</v>
      </c>
      <c r="U41" s="31">
        <f t="shared" si="491"/>
        <v>212579.57406431844</v>
      </c>
      <c r="V41" s="31">
        <f t="shared" si="491"/>
        <v>208374.8393111995</v>
      </c>
      <c r="W41" s="31">
        <f t="shared" si="491"/>
        <v>204156.08877557016</v>
      </c>
      <c r="X41" s="31">
        <f t="shared" si="491"/>
        <v>199923.27573815538</v>
      </c>
      <c r="Y41" s="31">
        <f t="shared" si="491"/>
        <v>195676.35332394924</v>
      </c>
      <c r="Z41" s="31">
        <f t="shared" si="491"/>
        <v>191415.27450169573</v>
      </c>
      <c r="AA41" s="31">
        <f t="shared" si="491"/>
        <v>187139.99208336804</v>
      </c>
      <c r="AB41" s="31">
        <f t="shared" si="491"/>
        <v>182850.45872364592</v>
      </c>
      <c r="AC41" s="31">
        <f t="shared" si="491"/>
        <v>178546.62691939139</v>
      </c>
      <c r="AD41" s="31">
        <f t="shared" si="491"/>
        <v>174228.44900912268</v>
      </c>
      <c r="AE41" s="31">
        <f t="shared" si="491"/>
        <v>169895.87717248642</v>
      </c>
      <c r="AF41" s="31">
        <f t="shared" si="491"/>
        <v>165548.86342972802</v>
      </c>
      <c r="AG41" s="31">
        <f t="shared" si="491"/>
        <v>161187.35964116044</v>
      </c>
      <c r="AH41" s="31">
        <f t="shared" si="491"/>
        <v>156811.31750663096</v>
      </c>
      <c r="AI41" s="31">
        <f t="shared" si="491"/>
        <v>152420.6885649864</v>
      </c>
      <c r="AJ41" s="31">
        <f t="shared" si="491"/>
        <v>148015.42419353634</v>
      </c>
      <c r="AK41" s="31">
        <f t="shared" si="491"/>
        <v>143595.47560751479</v>
      </c>
      <c r="AL41" s="31">
        <f t="shared" si="491"/>
        <v>139160.79385953982</v>
      </c>
      <c r="AM41" s="31">
        <f t="shared" si="491"/>
        <v>134711.32983907161</v>
      </c>
      <c r="AN41" s="31">
        <f t="shared" si="491"/>
        <v>130247.0342718685</v>
      </c>
      <c r="AO41" s="31">
        <f t="shared" si="491"/>
        <v>125767.85771944138</v>
      </c>
      <c r="AP41" s="31">
        <f t="shared" si="491"/>
        <v>121273.75057850617</v>
      </c>
      <c r="AQ41" s="31">
        <f t="shared" si="491"/>
        <v>116764.6630804345</v>
      </c>
      <c r="AR41" s="31">
        <f t="shared" si="491"/>
        <v>112240.5452907026</v>
      </c>
      <c r="AS41" s="31">
        <f t="shared" si="491"/>
        <v>107701.34710833826</v>
      </c>
      <c r="AT41" s="31">
        <f t="shared" si="491"/>
        <v>103147.01826536604</v>
      </c>
      <c r="AU41" s="31">
        <f t="shared" si="491"/>
        <v>98577.50832625058</v>
      </c>
      <c r="AV41" s="31">
        <f t="shared" si="491"/>
        <v>93992.766687338066</v>
      </c>
      <c r="AW41" s="31">
        <f t="shared" si="491"/>
        <v>89392.742576295845</v>
      </c>
      <c r="AX41" s="31">
        <f t="shared" si="491"/>
        <v>84777.38505155014</v>
      </c>
      <c r="AY41" s="31">
        <f t="shared" si="491"/>
        <v>80146.643001721954</v>
      </c>
      <c r="AZ41" s="31">
        <f t="shared" si="491"/>
        <v>75500.465145061011</v>
      </c>
      <c r="BA41" s="31">
        <f t="shared" ref="BA41:BB41" si="492">AZ41-AZ42</f>
        <v>70838.800028877857</v>
      </c>
      <c r="BB41" s="31">
        <f t="shared" si="492"/>
        <v>66161.596028974105</v>
      </c>
      <c r="BC41" s="31">
        <f t="shared" ref="BC41:BT41" si="493">BB41-BB42</f>
        <v>61468.801349070665</v>
      </c>
      <c r="BD41" s="31">
        <f t="shared" si="493"/>
        <v>56760.364020234214</v>
      </c>
      <c r="BE41" s="31">
        <f t="shared" si="493"/>
        <v>52036.231900301646</v>
      </c>
      <c r="BF41" s="31">
        <f t="shared" si="493"/>
        <v>47296.35267330263</v>
      </c>
      <c r="BG41" s="31">
        <f t="shared" si="493"/>
        <v>42540.673848880288</v>
      </c>
      <c r="BH41" s="31">
        <f t="shared" si="493"/>
        <v>37769.142761709867</v>
      </c>
      <c r="BI41" s="31">
        <f t="shared" si="493"/>
        <v>32981.706570915543</v>
      </c>
      <c r="BJ41" s="31">
        <f t="shared" si="493"/>
        <v>28178.312259485239</v>
      </c>
      <c r="BK41" s="31">
        <f t="shared" si="493"/>
        <v>23358.906633683502</v>
      </c>
      <c r="BL41" s="31">
        <f t="shared" si="493"/>
        <v>18523.436322462425</v>
      </c>
      <c r="BM41" s="31">
        <f t="shared" si="493"/>
        <v>13671.847776870611</v>
      </c>
      <c r="BN41" s="31">
        <f t="shared" si="493"/>
        <v>8804.0872694601567</v>
      </c>
      <c r="BO41" s="31">
        <f t="shared" si="493"/>
        <v>3920.1008936916687</v>
      </c>
      <c r="BP41" s="31">
        <f t="shared" si="493"/>
        <v>0</v>
      </c>
      <c r="BQ41" s="31">
        <f t="shared" si="493"/>
        <v>0</v>
      </c>
      <c r="BR41" s="31">
        <f t="shared" si="493"/>
        <v>0</v>
      </c>
      <c r="BS41" s="31">
        <f t="shared" si="493"/>
        <v>0</v>
      </c>
      <c r="BT41" s="31">
        <f t="shared" si="493"/>
        <v>0</v>
      </c>
      <c r="BU41" s="31">
        <f t="shared" ref="BU41:BY41" si="494">BT41-BT42</f>
        <v>0</v>
      </c>
      <c r="BV41" s="31">
        <f t="shared" si="494"/>
        <v>0</v>
      </c>
      <c r="BW41" s="31">
        <f t="shared" si="494"/>
        <v>0</v>
      </c>
      <c r="BX41" s="31">
        <f t="shared" si="494"/>
        <v>0</v>
      </c>
      <c r="BY41" s="31">
        <f t="shared" si="494"/>
        <v>0</v>
      </c>
      <c r="BZ41" s="31">
        <f t="shared" ref="BZ41" si="495">BY41-BY42</f>
        <v>0</v>
      </c>
      <c r="CA41" s="31">
        <f t="shared" ref="CA41" si="496">BZ41-BZ42</f>
        <v>0</v>
      </c>
      <c r="CB41" s="31">
        <f t="shared" ref="CB41" si="497">CA41-CA42</f>
        <v>0</v>
      </c>
      <c r="CC41" s="31">
        <f t="shared" ref="CC41" si="498">CB41-CB42</f>
        <v>0</v>
      </c>
      <c r="CD41" s="31">
        <f t="shared" ref="CD41" si="499">CC41-CC42</f>
        <v>0</v>
      </c>
      <c r="CE41" s="31">
        <f t="shared" ref="CE41" si="500">CD41-CD42</f>
        <v>0</v>
      </c>
      <c r="CF41" s="31">
        <f t="shared" ref="CF41" si="501">CE41-CE42</f>
        <v>0</v>
      </c>
      <c r="CG41" s="31">
        <f t="shared" ref="CG41" si="502">CF41-CF42</f>
        <v>0</v>
      </c>
      <c r="CH41" s="31">
        <f t="shared" ref="CH41" si="503">CG41-CG42</f>
        <v>0</v>
      </c>
      <c r="CI41" s="31">
        <f t="shared" ref="CI41" si="504">CH41-CH42</f>
        <v>0</v>
      </c>
      <c r="CJ41" s="31">
        <f t="shared" ref="CJ41" si="505">CI41-CI42</f>
        <v>0</v>
      </c>
      <c r="CK41" s="31">
        <f t="shared" ref="CK41" si="506">CJ41-CJ42</f>
        <v>0</v>
      </c>
      <c r="CL41" s="31">
        <f t="shared" ref="CL41" si="507">CK41-CK42</f>
        <v>0</v>
      </c>
      <c r="CM41" s="31">
        <f t="shared" ref="CM41" si="508">CL41-CL42</f>
        <v>0</v>
      </c>
      <c r="CN41" s="31">
        <f t="shared" ref="CN41" si="509">CM41-CM42</f>
        <v>0</v>
      </c>
      <c r="CO41" s="31">
        <f t="shared" ref="CO41" si="510">CN41-CN42</f>
        <v>0</v>
      </c>
      <c r="CP41" s="31">
        <f t="shared" ref="CP41" si="511">CO41-CO42</f>
        <v>0</v>
      </c>
      <c r="CQ41" s="31">
        <f t="shared" ref="CQ41" si="512">CP41-CP42</f>
        <v>0</v>
      </c>
      <c r="CR41" s="31">
        <f t="shared" ref="CR41" si="513">CQ41-CQ42</f>
        <v>0</v>
      </c>
      <c r="CS41" s="31">
        <f t="shared" ref="CS41" si="514">CR41-CR42</f>
        <v>0</v>
      </c>
      <c r="CT41" s="31">
        <f t="shared" ref="CT41" si="515">CS41-CS42</f>
        <v>0</v>
      </c>
      <c r="CU41" s="31">
        <f t="shared" ref="CU41" si="516">CT41-CT42</f>
        <v>0</v>
      </c>
      <c r="CV41" s="31">
        <f t="shared" ref="CV41" si="517">CU41-CU42</f>
        <v>0</v>
      </c>
      <c r="CW41" s="31">
        <f t="shared" ref="CW41" si="518">CV41-CV42</f>
        <v>0</v>
      </c>
      <c r="CX41" s="31">
        <f t="shared" ref="CX41" si="519">CW41-CW42</f>
        <v>0</v>
      </c>
      <c r="CY41" s="31">
        <f t="shared" ref="CY41" si="520">CX41-CX42</f>
        <v>0</v>
      </c>
      <c r="CZ41" s="31">
        <f t="shared" ref="CZ41" si="521">CY41-CY42</f>
        <v>0</v>
      </c>
      <c r="DA41" s="31">
        <f t="shared" ref="DA41" si="522">CZ41-CZ42</f>
        <v>0</v>
      </c>
      <c r="DB41" s="31">
        <f t="shared" ref="DB41" si="523">DA41-DA42</f>
        <v>0</v>
      </c>
      <c r="DC41" s="31">
        <f t="shared" ref="DC41" si="524">DB41-DB42</f>
        <v>0</v>
      </c>
      <c r="DD41" s="31">
        <f t="shared" ref="DD41" si="525">DC41-DC42</f>
        <v>0</v>
      </c>
      <c r="DE41" s="31">
        <f t="shared" ref="DE41" si="526">DD41-DD42</f>
        <v>0</v>
      </c>
      <c r="DF41" s="31">
        <f t="shared" ref="DF41" si="527">DE41-DE42</f>
        <v>0</v>
      </c>
      <c r="DG41" s="31">
        <f t="shared" ref="DG41" si="528">DF41-DF42</f>
        <v>0</v>
      </c>
      <c r="DH41" s="31">
        <f t="shared" ref="DH41" si="529">DG41-DG42</f>
        <v>0</v>
      </c>
      <c r="DI41" s="31">
        <f t="shared" ref="DI41" si="530">DH41-DH42</f>
        <v>0</v>
      </c>
    </row>
    <row r="42" spans="2:113" s="28" customFormat="1" hidden="1" outlineLevel="1" x14ac:dyDescent="0.3">
      <c r="B42" s="36" t="s">
        <v>128</v>
      </c>
      <c r="C42" s="29"/>
      <c r="D42" s="31">
        <f>SUM(F42:BY42)</f>
        <v>269999.99999999994</v>
      </c>
      <c r="F42" s="31">
        <f t="shared" ref="F42:AK42" si="531">IF(AND(LoanDate&gt;=F3,LoanDate&lt;=F4),0,IF(AND(F3&gt;=EDATE(LoanDate,1),F3&lt;=EDATE(LoanDate,2)-1),LoanPayment*(1+LoanPaymentGrow/3),IF(E42*(1+LoanPaymentGrow/3)&gt;=F41,F41,E42*(1+LoanPaymentGrow/3))))</f>
        <v>0</v>
      </c>
      <c r="G42" s="31">
        <f t="shared" si="531"/>
        <v>4013.3333333333335</v>
      </c>
      <c r="H42" s="31">
        <f t="shared" si="531"/>
        <v>4026.7111111111117</v>
      </c>
      <c r="I42" s="31">
        <f t="shared" si="531"/>
        <v>4040.1334814814822</v>
      </c>
      <c r="J42" s="31">
        <f t="shared" si="531"/>
        <v>4053.6005930864208</v>
      </c>
      <c r="K42" s="31">
        <f t="shared" si="531"/>
        <v>4067.1125950633759</v>
      </c>
      <c r="L42" s="31">
        <f t="shared" si="531"/>
        <v>4080.6696370469208</v>
      </c>
      <c r="M42" s="31">
        <f t="shared" si="531"/>
        <v>4094.2718691704108</v>
      </c>
      <c r="N42" s="31">
        <f t="shared" si="531"/>
        <v>4107.9194420676458</v>
      </c>
      <c r="O42" s="31">
        <f t="shared" si="531"/>
        <v>4121.6125068745387</v>
      </c>
      <c r="P42" s="31">
        <f t="shared" si="531"/>
        <v>4135.3512152307876</v>
      </c>
      <c r="Q42" s="31">
        <f t="shared" si="531"/>
        <v>4149.1357192815576</v>
      </c>
      <c r="R42" s="31">
        <f t="shared" si="531"/>
        <v>4162.9661716791634</v>
      </c>
      <c r="S42" s="31">
        <f t="shared" si="531"/>
        <v>4176.842725584761</v>
      </c>
      <c r="T42" s="31">
        <f t="shared" si="531"/>
        <v>4190.765534670044</v>
      </c>
      <c r="U42" s="31">
        <f t="shared" si="531"/>
        <v>4204.7347531189444</v>
      </c>
      <c r="V42" s="31">
        <f t="shared" si="531"/>
        <v>4218.7505356293414</v>
      </c>
      <c r="W42" s="31">
        <f t="shared" si="531"/>
        <v>4232.8130374147731</v>
      </c>
      <c r="X42" s="31">
        <f t="shared" si="531"/>
        <v>4246.9224142061557</v>
      </c>
      <c r="Y42" s="31">
        <f t="shared" si="531"/>
        <v>4261.0788222535102</v>
      </c>
      <c r="Z42" s="31">
        <f t="shared" si="531"/>
        <v>4275.2824183276889</v>
      </c>
      <c r="AA42" s="31">
        <f t="shared" si="531"/>
        <v>4289.5333597221152</v>
      </c>
      <c r="AB42" s="31">
        <f t="shared" si="531"/>
        <v>4303.8318042545225</v>
      </c>
      <c r="AC42" s="31">
        <f t="shared" si="531"/>
        <v>4318.1779102687042</v>
      </c>
      <c r="AD42" s="31">
        <f t="shared" si="531"/>
        <v>4332.5718366362671</v>
      </c>
      <c r="AE42" s="31">
        <f t="shared" si="531"/>
        <v>4347.0137427583886</v>
      </c>
      <c r="AF42" s="31">
        <f t="shared" si="531"/>
        <v>4361.5037885675838</v>
      </c>
      <c r="AG42" s="31">
        <f t="shared" si="531"/>
        <v>4376.0421345294762</v>
      </c>
      <c r="AH42" s="31">
        <f t="shared" si="531"/>
        <v>4390.6289416445752</v>
      </c>
      <c r="AI42" s="31">
        <f t="shared" si="531"/>
        <v>4405.2643714500573</v>
      </c>
      <c r="AJ42" s="31">
        <f t="shared" si="531"/>
        <v>4419.9485860215582</v>
      </c>
      <c r="AK42" s="31">
        <f t="shared" si="531"/>
        <v>4434.6817479749634</v>
      </c>
      <c r="AL42" s="31">
        <f t="shared" ref="AL42:BQ42" si="532">IF(AND(LoanDate&gt;=AL3,LoanDate&lt;=AL4),0,IF(AND(AL3&gt;=EDATE(LoanDate,1),AL3&lt;=EDATE(LoanDate,2)-1),LoanPayment*(1+LoanPaymentGrow/3),IF(AK42*(1+LoanPaymentGrow/3)&gt;=AL41,AL41,AK42*(1+LoanPaymentGrow/3))))</f>
        <v>4449.4640204682137</v>
      </c>
      <c r="AM42" s="31">
        <f t="shared" si="532"/>
        <v>4464.2955672031085</v>
      </c>
      <c r="AN42" s="31">
        <f t="shared" si="532"/>
        <v>4479.1765524271195</v>
      </c>
      <c r="AO42" s="31">
        <f t="shared" si="532"/>
        <v>4494.1071409352098</v>
      </c>
      <c r="AP42" s="31">
        <f t="shared" si="532"/>
        <v>4509.0874980716608</v>
      </c>
      <c r="AQ42" s="31">
        <f t="shared" si="532"/>
        <v>4524.1177897319003</v>
      </c>
      <c r="AR42" s="31">
        <f t="shared" si="532"/>
        <v>4539.19818236434</v>
      </c>
      <c r="AS42" s="31">
        <f t="shared" si="532"/>
        <v>4554.3288429722215</v>
      </c>
      <c r="AT42" s="31">
        <f t="shared" si="532"/>
        <v>4569.5099391154627</v>
      </c>
      <c r="AU42" s="31">
        <f t="shared" si="532"/>
        <v>4584.7416389125146</v>
      </c>
      <c r="AV42" s="31">
        <f t="shared" si="532"/>
        <v>4600.024111042223</v>
      </c>
      <c r="AW42" s="31">
        <f t="shared" si="532"/>
        <v>4615.3575247456974</v>
      </c>
      <c r="AX42" s="31">
        <f t="shared" si="532"/>
        <v>4630.7420498281836</v>
      </c>
      <c r="AY42" s="31">
        <f t="shared" si="532"/>
        <v>4646.1778566609446</v>
      </c>
      <c r="AZ42" s="31">
        <f t="shared" si="532"/>
        <v>4661.6651161831478</v>
      </c>
      <c r="BA42" s="31">
        <f t="shared" si="532"/>
        <v>4677.2039999037588</v>
      </c>
      <c r="BB42" s="31">
        <f t="shared" si="532"/>
        <v>4692.794679903438</v>
      </c>
      <c r="BC42" s="31">
        <f t="shared" si="532"/>
        <v>4708.4373288364495</v>
      </c>
      <c r="BD42" s="31">
        <f t="shared" si="532"/>
        <v>4724.1321199325712</v>
      </c>
      <c r="BE42" s="31">
        <f t="shared" si="532"/>
        <v>4739.8792269990136</v>
      </c>
      <c r="BF42" s="31">
        <f t="shared" si="532"/>
        <v>4755.6788244223444</v>
      </c>
      <c r="BG42" s="31">
        <f t="shared" si="532"/>
        <v>4771.5310871704196</v>
      </c>
      <c r="BH42" s="31">
        <f t="shared" si="532"/>
        <v>4787.4361907943212</v>
      </c>
      <c r="BI42" s="31">
        <f t="shared" si="532"/>
        <v>4803.3943114303029</v>
      </c>
      <c r="BJ42" s="31">
        <f t="shared" si="532"/>
        <v>4819.4056258017372</v>
      </c>
      <c r="BK42" s="31">
        <f t="shared" si="532"/>
        <v>4835.4703112210764</v>
      </c>
      <c r="BL42" s="31">
        <f t="shared" si="532"/>
        <v>4851.5885455918133</v>
      </c>
      <c r="BM42" s="31">
        <f t="shared" si="532"/>
        <v>4867.7605074104531</v>
      </c>
      <c r="BN42" s="31">
        <f t="shared" si="532"/>
        <v>4883.986375768488</v>
      </c>
      <c r="BO42" s="31">
        <f t="shared" si="532"/>
        <v>3920.1008936916687</v>
      </c>
      <c r="BP42" s="31">
        <f t="shared" si="532"/>
        <v>0</v>
      </c>
      <c r="BQ42" s="31">
        <f t="shared" si="532"/>
        <v>0</v>
      </c>
      <c r="BR42" s="31">
        <f t="shared" ref="BR42:CW42" si="533">IF(AND(LoanDate&gt;=BR3,LoanDate&lt;=BR4),0,IF(AND(BR3&gt;=EDATE(LoanDate,1),BR3&lt;=EDATE(LoanDate,2)-1),LoanPayment*(1+LoanPaymentGrow/3),IF(BQ42*(1+LoanPaymentGrow/3)&gt;=BR41,BR41,BQ42*(1+LoanPaymentGrow/3))))</f>
        <v>0</v>
      </c>
      <c r="BS42" s="31">
        <f t="shared" si="533"/>
        <v>0</v>
      </c>
      <c r="BT42" s="31">
        <f t="shared" si="533"/>
        <v>0</v>
      </c>
      <c r="BU42" s="31">
        <f t="shared" si="533"/>
        <v>0</v>
      </c>
      <c r="BV42" s="31">
        <f t="shared" si="533"/>
        <v>0</v>
      </c>
      <c r="BW42" s="31">
        <f t="shared" si="533"/>
        <v>0</v>
      </c>
      <c r="BX42" s="31">
        <f t="shared" si="533"/>
        <v>0</v>
      </c>
      <c r="BY42" s="31">
        <f t="shared" si="533"/>
        <v>0</v>
      </c>
      <c r="BZ42" s="31">
        <f t="shared" si="533"/>
        <v>0</v>
      </c>
      <c r="CA42" s="31">
        <f t="shared" si="533"/>
        <v>0</v>
      </c>
      <c r="CB42" s="31">
        <f t="shared" si="533"/>
        <v>0</v>
      </c>
      <c r="CC42" s="31">
        <f t="shared" si="533"/>
        <v>0</v>
      </c>
      <c r="CD42" s="31">
        <f t="shared" si="533"/>
        <v>0</v>
      </c>
      <c r="CE42" s="31">
        <f t="shared" si="533"/>
        <v>0</v>
      </c>
      <c r="CF42" s="31">
        <f t="shared" si="533"/>
        <v>0</v>
      </c>
      <c r="CG42" s="31">
        <f t="shared" si="533"/>
        <v>0</v>
      </c>
      <c r="CH42" s="31">
        <f t="shared" si="533"/>
        <v>0</v>
      </c>
      <c r="CI42" s="31">
        <f t="shared" si="533"/>
        <v>0</v>
      </c>
      <c r="CJ42" s="31">
        <f t="shared" si="533"/>
        <v>0</v>
      </c>
      <c r="CK42" s="31">
        <f t="shared" si="533"/>
        <v>0</v>
      </c>
      <c r="CL42" s="31">
        <f t="shared" si="533"/>
        <v>0</v>
      </c>
      <c r="CM42" s="31">
        <f t="shared" si="533"/>
        <v>0</v>
      </c>
      <c r="CN42" s="31">
        <f t="shared" si="533"/>
        <v>0</v>
      </c>
      <c r="CO42" s="31">
        <f t="shared" si="533"/>
        <v>0</v>
      </c>
      <c r="CP42" s="31">
        <f t="shared" si="533"/>
        <v>0</v>
      </c>
      <c r="CQ42" s="31">
        <f t="shared" si="533"/>
        <v>0</v>
      </c>
      <c r="CR42" s="31">
        <f t="shared" si="533"/>
        <v>0</v>
      </c>
      <c r="CS42" s="31">
        <f t="shared" si="533"/>
        <v>0</v>
      </c>
      <c r="CT42" s="31">
        <f t="shared" si="533"/>
        <v>0</v>
      </c>
      <c r="CU42" s="31">
        <f t="shared" si="533"/>
        <v>0</v>
      </c>
      <c r="CV42" s="31">
        <f t="shared" si="533"/>
        <v>0</v>
      </c>
      <c r="CW42" s="31">
        <f t="shared" si="533"/>
        <v>0</v>
      </c>
      <c r="CX42" s="31">
        <f t="shared" ref="CX42:DI42" si="534">IF(AND(LoanDate&gt;=CX3,LoanDate&lt;=CX4),0,IF(AND(CX3&gt;=EDATE(LoanDate,1),CX3&lt;=EDATE(LoanDate,2)-1),LoanPayment*(1+LoanPaymentGrow/3),IF(CW42*(1+LoanPaymentGrow/3)&gt;=CX41,CX41,CW42*(1+LoanPaymentGrow/3))))</f>
        <v>0</v>
      </c>
      <c r="CY42" s="31">
        <f t="shared" si="534"/>
        <v>0</v>
      </c>
      <c r="CZ42" s="31">
        <f t="shared" si="534"/>
        <v>0</v>
      </c>
      <c r="DA42" s="31">
        <f t="shared" si="534"/>
        <v>0</v>
      </c>
      <c r="DB42" s="31">
        <f t="shared" si="534"/>
        <v>0</v>
      </c>
      <c r="DC42" s="31">
        <f t="shared" si="534"/>
        <v>0</v>
      </c>
      <c r="DD42" s="31">
        <f t="shared" si="534"/>
        <v>0</v>
      </c>
      <c r="DE42" s="31">
        <f t="shared" si="534"/>
        <v>0</v>
      </c>
      <c r="DF42" s="31">
        <f t="shared" si="534"/>
        <v>0</v>
      </c>
      <c r="DG42" s="31">
        <f t="shared" si="534"/>
        <v>0</v>
      </c>
      <c r="DH42" s="31">
        <f t="shared" si="534"/>
        <v>0</v>
      </c>
      <c r="DI42" s="31">
        <f t="shared" si="534"/>
        <v>0</v>
      </c>
    </row>
    <row r="43" spans="2:113" x14ac:dyDescent="0.3">
      <c r="B43" s="22" t="s">
        <v>123</v>
      </c>
      <c r="C43" s="23"/>
      <c r="D43" s="24">
        <f>SUM(F43:BY43)</f>
        <v>333138.61893542128</v>
      </c>
      <c r="E43" s="24"/>
      <c r="F43" s="24">
        <f t="shared" ref="F43:AK43" si="535">F39-F40</f>
        <v>-2382.3438666666661</v>
      </c>
      <c r="G43" s="24">
        <f t="shared" si="535"/>
        <v>-1945.4432264608058</v>
      </c>
      <c r="H43" s="24">
        <f t="shared" si="535"/>
        <v>-4468.3959728550544</v>
      </c>
      <c r="I43" s="24">
        <f t="shared" si="535"/>
        <v>-1019.8066086817539</v>
      </c>
      <c r="J43" s="24">
        <f t="shared" si="535"/>
        <v>-545.69587826093857</v>
      </c>
      <c r="K43" s="24">
        <f t="shared" si="535"/>
        <v>-3073.544441867904</v>
      </c>
      <c r="L43" s="24">
        <f t="shared" si="535"/>
        <v>397.68791445174975</v>
      </c>
      <c r="M43" s="24">
        <f t="shared" si="535"/>
        <v>880.80669491711706</v>
      </c>
      <c r="N43" s="24">
        <f t="shared" si="535"/>
        <v>-1666.0379837448741</v>
      </c>
      <c r="O43" s="24">
        <f t="shared" si="535"/>
        <v>1814.1977304476177</v>
      </c>
      <c r="P43" s="24">
        <f t="shared" si="535"/>
        <v>2292.3161419459225</v>
      </c>
      <c r="Q43" s="24">
        <f t="shared" si="535"/>
        <v>-203.61827599164144</v>
      </c>
      <c r="R43" s="24">
        <f t="shared" si="535"/>
        <v>4699.0660236449185</v>
      </c>
      <c r="S43" s="24">
        <f t="shared" si="535"/>
        <v>4764.2462437237355</v>
      </c>
      <c r="T43" s="24">
        <f t="shared" si="535"/>
        <v>1838.4974254028166</v>
      </c>
      <c r="U43" s="24">
        <f t="shared" si="535"/>
        <v>4895.2592103068246</v>
      </c>
      <c r="V43" s="24">
        <f t="shared" si="535"/>
        <v>4961.0934076745107</v>
      </c>
      <c r="W43" s="24">
        <f t="shared" si="535"/>
        <v>2036.0007465667647</v>
      </c>
      <c r="X43" s="24">
        <f t="shared" si="535"/>
        <v>5093.4208758746518</v>
      </c>
      <c r="Y43" s="24">
        <f t="shared" si="535"/>
        <v>5159.9156121275673</v>
      </c>
      <c r="Z43" s="24">
        <f t="shared" si="535"/>
        <v>2235.4856917013267</v>
      </c>
      <c r="AA43" s="24">
        <f t="shared" si="535"/>
        <v>5293.5707708263344</v>
      </c>
      <c r="AB43" s="24">
        <f t="shared" si="535"/>
        <v>5360.7326733957534</v>
      </c>
      <c r="AC43" s="24">
        <f t="shared" si="535"/>
        <v>2436.9721431737416</v>
      </c>
      <c r="AD43" s="24">
        <f t="shared" si="535"/>
        <v>5495.7288438036539</v>
      </c>
      <c r="AE43" s="24">
        <f t="shared" si="535"/>
        <v>5563.5646066163326</v>
      </c>
      <c r="AF43" s="24">
        <f t="shared" si="535"/>
        <v>2640.4801828383888</v>
      </c>
      <c r="AG43" s="24">
        <f t="shared" si="535"/>
        <v>5699.9152436005161</v>
      </c>
      <c r="AH43" s="24">
        <f t="shared" si="535"/>
        <v>5768.4316277458529</v>
      </c>
      <c r="AI43" s="24">
        <f t="shared" si="535"/>
        <v>2846.0300940383386</v>
      </c>
      <c r="AJ43" s="24">
        <f t="shared" si="535"/>
        <v>5906.1503211711333</v>
      </c>
      <c r="AK43" s="24">
        <f t="shared" si="535"/>
        <v>5975.3541555750398</v>
      </c>
      <c r="AL43" s="24">
        <f t="shared" ref="AL43:BQ43" si="536">AL39-AL40</f>
        <v>3053.6423636269569</v>
      </c>
      <c r="AM43" s="24">
        <f t="shared" si="536"/>
        <v>6114.4546316583846</v>
      </c>
      <c r="AN43" s="24">
        <f t="shared" si="536"/>
        <v>6184.3528137639114</v>
      </c>
      <c r="AO43" s="24">
        <f t="shared" si="536"/>
        <v>3263.3376840097935</v>
      </c>
      <c r="AP43" s="24">
        <f t="shared" si="536"/>
        <v>6324.8489364424895</v>
      </c>
      <c r="AQ43" s="24">
        <f t="shared" si="536"/>
        <v>6395.4484328973012</v>
      </c>
      <c r="AR43" s="24">
        <f t="shared" si="536"/>
        <v>3475.1369552069586</v>
      </c>
      <c r="AS43" s="24">
        <f t="shared" si="536"/>
        <v>6537.3542052103157</v>
      </c>
      <c r="AT43" s="24">
        <f t="shared" si="536"/>
        <v>6608.6620525610178</v>
      </c>
      <c r="AU43" s="24">
        <f t="shared" si="536"/>
        <v>3689.0612869362249</v>
      </c>
      <c r="AV43" s="24">
        <f t="shared" si="536"/>
        <v>6751.9916180453429</v>
      </c>
      <c r="AW43" s="24">
        <f t="shared" si="536"/>
        <v>6824.0149234388291</v>
      </c>
      <c r="AX43" s="24">
        <f t="shared" si="536"/>
        <v>3905.132000716957</v>
      </c>
      <c r="AY43" s="24">
        <f t="shared" si="536"/>
        <v>6968.7825675386821</v>
      </c>
      <c r="AZ43" s="24">
        <f t="shared" si="536"/>
        <v>7041.5285094304772</v>
      </c>
      <c r="BA43" s="24">
        <f t="shared" si="536"/>
        <v>4123.3706319952471</v>
      </c>
      <c r="BB43" s="24">
        <f t="shared" si="536"/>
        <v>7187.7486609212319</v>
      </c>
      <c r="BC43" s="24">
        <f t="shared" si="536"/>
        <v>7261.2244897909704</v>
      </c>
      <c r="BD43" s="24">
        <f t="shared" si="536"/>
        <v>4343.7989322902749</v>
      </c>
      <c r="BE43" s="24">
        <f t="shared" si="536"/>
        <v>7408.9117222172436</v>
      </c>
      <c r="BF43" s="24">
        <f t="shared" si="536"/>
        <v>7483.1247612913003</v>
      </c>
      <c r="BG43" s="24">
        <f t="shared" si="536"/>
        <v>4566.4388713622748</v>
      </c>
      <c r="BH43" s="24">
        <f t="shared" si="536"/>
        <v>7632.2937944194809</v>
      </c>
      <c r="BI43" s="24">
        <f t="shared" si="536"/>
        <v>7707.251440400878</v>
      </c>
      <c r="BJ43" s="24">
        <f t="shared" si="536"/>
        <v>4791.3126394022174</v>
      </c>
      <c r="BK43" s="24">
        <f t="shared" si="536"/>
        <v>7857.9171416862246</v>
      </c>
      <c r="BL43" s="24">
        <f t="shared" si="536"/>
        <v>7933.626865491844</v>
      </c>
      <c r="BM43" s="24">
        <f t="shared" si="536"/>
        <v>5018.442649243485</v>
      </c>
      <c r="BN43" s="24">
        <f t="shared" si="536"/>
        <v>8085.8042515603001</v>
      </c>
      <c r="BO43" s="24">
        <f t="shared" si="536"/>
        <v>8162.2735990655028</v>
      </c>
      <c r="BP43" s="24">
        <f t="shared" si="536"/>
        <v>5238.4582864943686</v>
      </c>
      <c r="BQ43" s="24">
        <f t="shared" si="536"/>
        <v>8259.4671631575748</v>
      </c>
      <c r="BR43" s="24">
        <f t="shared" ref="BR43:BY43" si="537">BR39-BR40</f>
        <v>8289.429275923656</v>
      </c>
      <c r="BS43" s="24">
        <f t="shared" si="537"/>
        <v>5328.3449565989549</v>
      </c>
      <c r="BT43" s="24">
        <f t="shared" si="537"/>
        <v>8349.6534554958453</v>
      </c>
      <c r="BU43" s="24">
        <f t="shared" si="537"/>
        <v>8379.9161892363827</v>
      </c>
      <c r="BV43" s="24">
        <f t="shared" si="537"/>
        <v>5419.1334929560626</v>
      </c>
      <c r="BW43" s="24">
        <f t="shared" si="537"/>
        <v>8440.7446203074705</v>
      </c>
      <c r="BX43" s="24">
        <f t="shared" si="537"/>
        <v>8471.3109912640484</v>
      </c>
      <c r="BY43" s="24">
        <f t="shared" si="537"/>
        <v>5510.8329443238217</v>
      </c>
      <c r="BZ43" s="24">
        <f t="shared" ref="BZ43:DI43" si="538">BZ39-BZ40</f>
        <v>8532.7497365131258</v>
      </c>
      <c r="CA43" s="24">
        <f t="shared" si="538"/>
        <v>8563.6227911903898</v>
      </c>
      <c r="CB43" s="24">
        <f t="shared" si="538"/>
        <v>5603.4524502499171</v>
      </c>
      <c r="CC43" s="24">
        <f t="shared" si="538"/>
        <v>8625.6779741256396</v>
      </c>
      <c r="CD43" s="24">
        <f t="shared" si="538"/>
        <v>8656.8607895949499</v>
      </c>
      <c r="CE43" s="24">
        <f t="shared" si="538"/>
        <v>5697.001241982488</v>
      </c>
      <c r="CF43" s="24">
        <f t="shared" si="538"/>
        <v>8719.5385951639855</v>
      </c>
      <c r="CG43" s="24">
        <f t="shared" si="538"/>
        <v>8751.0342793700911</v>
      </c>
      <c r="CH43" s="24">
        <f t="shared" si="538"/>
        <v>5791.4886433902111</v>
      </c>
      <c r="CI43" s="24">
        <f t="shared" si="538"/>
        <v>8814.3409545764025</v>
      </c>
      <c r="CJ43" s="24">
        <f t="shared" si="538"/>
        <v>8846.1526466472151</v>
      </c>
      <c r="CK43" s="24">
        <f t="shared" si="538"/>
        <v>5886.9240718915926</v>
      </c>
      <c r="CL43" s="24">
        <f t="shared" si="538"/>
        <v>8910.0945011727872</v>
      </c>
      <c r="CM43" s="24">
        <f t="shared" si="538"/>
        <v>8942.2253717322546</v>
      </c>
      <c r="CN43" s="24">
        <f t="shared" si="538"/>
        <v>5983.3170393935825</v>
      </c>
      <c r="CO43" s="24">
        <f t="shared" si="538"/>
        <v>9006.808778566452</v>
      </c>
      <c r="CP43" s="24">
        <f t="shared" si="538"/>
        <v>9039.2620300505641</v>
      </c>
      <c r="CQ43" s="24">
        <f t="shared" si="538"/>
        <v>6080.6771532396215</v>
      </c>
      <c r="CR43" s="24">
        <f t="shared" si="538"/>
        <v>9104.4934261253075</v>
      </c>
      <c r="CS43" s="24">
        <f t="shared" si="538"/>
        <v>9137.2722931012831</v>
      </c>
      <c r="CT43" s="24">
        <f t="shared" si="538"/>
        <v>6179.0141171671767</v>
      </c>
      <c r="CU43" s="24">
        <f t="shared" si="538"/>
        <v>9203.158179932625</v>
      </c>
      <c r="CV43" s="24">
        <f t="shared" si="538"/>
        <v>9236.2659294212899</v>
      </c>
      <c r="CW43" s="24">
        <f t="shared" si="538"/>
        <v>6278.3377322749157</v>
      </c>
      <c r="CX43" s="24">
        <f t="shared" si="538"/>
        <v>9302.8128737573916</v>
      </c>
      <c r="CY43" s="24">
        <f t="shared" si="538"/>
        <v>9336.2528055588045</v>
      </c>
      <c r="CZ43" s="24">
        <f t="shared" si="538"/>
        <v>6378.6578979995575</v>
      </c>
      <c r="DA43" s="24">
        <f t="shared" si="538"/>
        <v>9403.4674400344429</v>
      </c>
      <c r="DB43" s="24">
        <f t="shared" si="538"/>
        <v>9437.2428870567837</v>
      </c>
      <c r="DC43" s="24">
        <f t="shared" si="538"/>
        <v>6479.9846131025288</v>
      </c>
      <c r="DD43" s="24">
        <f t="shared" si="538"/>
        <v>9505.1319108544249</v>
      </c>
      <c r="DE43" s="24">
        <f t="shared" si="538"/>
        <v>9539.2462394461636</v>
      </c>
      <c r="DF43" s="24">
        <f t="shared" si="538"/>
        <v>6582.3279766665401</v>
      </c>
      <c r="DG43" s="24">
        <f t="shared" si="538"/>
        <v>9607.8164189636536</v>
      </c>
      <c r="DH43" s="24">
        <f t="shared" si="538"/>
        <v>9642.2730292490869</v>
      </c>
      <c r="DI43" s="24">
        <f t="shared" si="538"/>
        <v>6685.6981891021405</v>
      </c>
    </row>
    <row r="44" spans="2:113" collapsed="1" x14ac:dyDescent="0.3">
      <c r="B44" s="6" t="s">
        <v>129</v>
      </c>
      <c r="D44" s="27">
        <f>SUM(F44:BY44)</f>
        <v>68742.369811253317</v>
      </c>
      <c r="F44" s="27">
        <f t="shared" ref="F44:AK44" si="539">IF(F43&lt;0,0,(F43-F45)*IncomeTax)</f>
        <v>0</v>
      </c>
      <c r="G44" s="27">
        <f t="shared" si="539"/>
        <v>0</v>
      </c>
      <c r="H44" s="27">
        <f t="shared" si="539"/>
        <v>0</v>
      </c>
      <c r="I44" s="27">
        <f t="shared" si="539"/>
        <v>0</v>
      </c>
      <c r="J44" s="27">
        <f t="shared" si="539"/>
        <v>0</v>
      </c>
      <c r="K44" s="27">
        <f t="shared" si="539"/>
        <v>0</v>
      </c>
      <c r="L44" s="27">
        <f t="shared" si="539"/>
        <v>79.537582890349952</v>
      </c>
      <c r="M44" s="27">
        <f t="shared" si="539"/>
        <v>176.16133898342343</v>
      </c>
      <c r="N44" s="27">
        <f t="shared" si="539"/>
        <v>0</v>
      </c>
      <c r="O44" s="27">
        <f t="shared" si="539"/>
        <v>362.83954608952354</v>
      </c>
      <c r="P44" s="27">
        <f t="shared" si="539"/>
        <v>458.46322838918451</v>
      </c>
      <c r="Q44" s="27">
        <f t="shared" si="539"/>
        <v>0</v>
      </c>
      <c r="R44" s="27">
        <f t="shared" si="539"/>
        <v>469.90660236449185</v>
      </c>
      <c r="S44" s="27">
        <f t="shared" si="539"/>
        <v>476.42462437237356</v>
      </c>
      <c r="T44" s="27">
        <f t="shared" si="539"/>
        <v>367.69948508056336</v>
      </c>
      <c r="U44" s="27">
        <f t="shared" si="539"/>
        <v>979.05184206136494</v>
      </c>
      <c r="V44" s="27">
        <f t="shared" si="539"/>
        <v>992.2186815349022</v>
      </c>
      <c r="W44" s="27">
        <f t="shared" si="539"/>
        <v>407.20014931335299</v>
      </c>
      <c r="X44" s="27">
        <f t="shared" si="539"/>
        <v>1018.6841751749304</v>
      </c>
      <c r="Y44" s="27">
        <f t="shared" si="539"/>
        <v>1031.9831224255136</v>
      </c>
      <c r="Z44" s="27">
        <f t="shared" si="539"/>
        <v>447.09713834026536</v>
      </c>
      <c r="AA44" s="27">
        <f t="shared" si="539"/>
        <v>1058.714154165267</v>
      </c>
      <c r="AB44" s="27">
        <f t="shared" si="539"/>
        <v>1072.1465346791508</v>
      </c>
      <c r="AC44" s="27">
        <f t="shared" si="539"/>
        <v>487.39442863474835</v>
      </c>
      <c r="AD44" s="27">
        <f t="shared" si="539"/>
        <v>1099.1457687607308</v>
      </c>
      <c r="AE44" s="27">
        <f t="shared" si="539"/>
        <v>1112.7129213232665</v>
      </c>
      <c r="AF44" s="27">
        <f t="shared" si="539"/>
        <v>528.09603656767774</v>
      </c>
      <c r="AG44" s="27">
        <f t="shared" si="539"/>
        <v>1139.9830487201032</v>
      </c>
      <c r="AH44" s="27">
        <f t="shared" si="539"/>
        <v>1153.6863255491705</v>
      </c>
      <c r="AI44" s="27">
        <f t="shared" si="539"/>
        <v>569.20601880766776</v>
      </c>
      <c r="AJ44" s="27">
        <f t="shared" si="539"/>
        <v>1181.2300642342268</v>
      </c>
      <c r="AK44" s="27">
        <f t="shared" si="539"/>
        <v>1195.0708311150081</v>
      </c>
      <c r="AL44" s="27">
        <f t="shared" ref="AL44:BQ44" si="540">IF(AL43&lt;0,0,(AL43-AL45)*IncomeTax)</f>
        <v>610.72847272539138</v>
      </c>
      <c r="AM44" s="27">
        <f t="shared" si="540"/>
        <v>1222.8909263316771</v>
      </c>
      <c r="AN44" s="27">
        <f t="shared" si="540"/>
        <v>1236.8705627527825</v>
      </c>
      <c r="AO44" s="27">
        <f t="shared" si="540"/>
        <v>652.6675368019587</v>
      </c>
      <c r="AP44" s="27">
        <f t="shared" si="540"/>
        <v>1264.9697872884981</v>
      </c>
      <c r="AQ44" s="27">
        <f t="shared" si="540"/>
        <v>1279.0896865794602</v>
      </c>
      <c r="AR44" s="27">
        <f t="shared" si="540"/>
        <v>695.02739104139175</v>
      </c>
      <c r="AS44" s="27">
        <f t="shared" si="540"/>
        <v>1307.4708410420633</v>
      </c>
      <c r="AT44" s="27">
        <f t="shared" si="540"/>
        <v>1321.7324105122036</v>
      </c>
      <c r="AU44" s="27">
        <f t="shared" si="540"/>
        <v>737.81225738724504</v>
      </c>
      <c r="AV44" s="27">
        <f t="shared" si="540"/>
        <v>1350.3983236090687</v>
      </c>
      <c r="AW44" s="27">
        <f t="shared" si="540"/>
        <v>1364.802984687766</v>
      </c>
      <c r="AX44" s="27">
        <f t="shared" si="540"/>
        <v>781.02640014339147</v>
      </c>
      <c r="AY44" s="27">
        <f t="shared" si="540"/>
        <v>1393.7565135077366</v>
      </c>
      <c r="AZ44" s="27">
        <f t="shared" si="540"/>
        <v>1408.3057018860954</v>
      </c>
      <c r="BA44" s="27">
        <f t="shared" si="540"/>
        <v>824.67412639904944</v>
      </c>
      <c r="BB44" s="27">
        <f t="shared" si="540"/>
        <v>1437.5497321842465</v>
      </c>
      <c r="BC44" s="27">
        <f t="shared" si="540"/>
        <v>1452.2448979581941</v>
      </c>
      <c r="BD44" s="27">
        <f t="shared" si="540"/>
        <v>868.75978645805503</v>
      </c>
      <c r="BE44" s="27">
        <f t="shared" si="540"/>
        <v>1481.7823444434489</v>
      </c>
      <c r="BF44" s="27">
        <f t="shared" si="540"/>
        <v>1496.6249522582602</v>
      </c>
      <c r="BG44" s="27">
        <f t="shared" si="540"/>
        <v>913.28777427245495</v>
      </c>
      <c r="BH44" s="27">
        <f t="shared" si="540"/>
        <v>1526.4587588838963</v>
      </c>
      <c r="BI44" s="27">
        <f t="shared" si="540"/>
        <v>1541.4502880801756</v>
      </c>
      <c r="BJ44" s="27">
        <f t="shared" si="540"/>
        <v>958.26252788044349</v>
      </c>
      <c r="BK44" s="27">
        <f t="shared" si="540"/>
        <v>1571.5834283372451</v>
      </c>
      <c r="BL44" s="27">
        <f t="shared" si="540"/>
        <v>1586.7253730983689</v>
      </c>
      <c r="BM44" s="27">
        <f t="shared" si="540"/>
        <v>1003.688529848697</v>
      </c>
      <c r="BN44" s="27">
        <f t="shared" si="540"/>
        <v>1617.1608503120601</v>
      </c>
      <c r="BO44" s="27">
        <f t="shared" si="540"/>
        <v>1632.4547198131006</v>
      </c>
      <c r="BP44" s="27">
        <f t="shared" si="540"/>
        <v>1047.6916572988737</v>
      </c>
      <c r="BQ44" s="27">
        <f t="shared" si="540"/>
        <v>1651.893432631515</v>
      </c>
      <c r="BR44" s="27">
        <f t="shared" ref="BR44:CW44" si="541">IF(BR43&lt;0,0,(BR43-BR45)*IncomeTax)</f>
        <v>1657.8858551847313</v>
      </c>
      <c r="BS44" s="27">
        <f t="shared" si="541"/>
        <v>1065.6689913197911</v>
      </c>
      <c r="BT44" s="27">
        <f t="shared" si="541"/>
        <v>1669.9306910991691</v>
      </c>
      <c r="BU44" s="27">
        <f t="shared" si="541"/>
        <v>1675.9832378472765</v>
      </c>
      <c r="BV44" s="27">
        <f t="shared" si="541"/>
        <v>1083.8266985912126</v>
      </c>
      <c r="BW44" s="27">
        <f t="shared" si="541"/>
        <v>1688.1489240614942</v>
      </c>
      <c r="BX44" s="27">
        <f t="shared" si="541"/>
        <v>1694.2621982528099</v>
      </c>
      <c r="BY44" s="27">
        <f t="shared" si="541"/>
        <v>1102.1665888647644</v>
      </c>
      <c r="BZ44" s="27">
        <f t="shared" si="541"/>
        <v>1706.5499473026252</v>
      </c>
      <c r="CA44" s="27">
        <f t="shared" si="541"/>
        <v>1712.7245582380781</v>
      </c>
      <c r="CB44" s="27">
        <f t="shared" si="541"/>
        <v>1120.6904900499835</v>
      </c>
      <c r="CC44" s="27">
        <f t="shared" si="541"/>
        <v>1725.135594825128</v>
      </c>
      <c r="CD44" s="27">
        <f t="shared" si="541"/>
        <v>1731.3721579189901</v>
      </c>
      <c r="CE44" s="27">
        <f t="shared" si="541"/>
        <v>1139.4002483964975</v>
      </c>
      <c r="CF44" s="27">
        <f t="shared" si="541"/>
        <v>1743.9077190327971</v>
      </c>
      <c r="CG44" s="27">
        <f t="shared" si="541"/>
        <v>1750.2068558740184</v>
      </c>
      <c r="CH44" s="27">
        <f t="shared" si="541"/>
        <v>1158.2977286780422</v>
      </c>
      <c r="CI44" s="27">
        <f t="shared" si="541"/>
        <v>1762.8681909152806</v>
      </c>
      <c r="CJ44" s="27">
        <f t="shared" si="541"/>
        <v>1769.230529329443</v>
      </c>
      <c r="CK44" s="27">
        <f t="shared" si="541"/>
        <v>1177.3848143783187</v>
      </c>
      <c r="CL44" s="27">
        <f t="shared" si="541"/>
        <v>1782.0189002345576</v>
      </c>
      <c r="CM44" s="27">
        <f t="shared" si="541"/>
        <v>1788.4450743464511</v>
      </c>
      <c r="CN44" s="27">
        <f t="shared" si="541"/>
        <v>1196.6634078787165</v>
      </c>
      <c r="CO44" s="27">
        <f t="shared" si="541"/>
        <v>1801.3617557132904</v>
      </c>
      <c r="CP44" s="27">
        <f t="shared" si="541"/>
        <v>1807.8524060101129</v>
      </c>
      <c r="CQ44" s="27">
        <f t="shared" si="541"/>
        <v>1216.1354306479243</v>
      </c>
      <c r="CR44" s="27">
        <f t="shared" si="541"/>
        <v>1820.8986852250616</v>
      </c>
      <c r="CS44" s="27">
        <f t="shared" si="541"/>
        <v>1827.4544586202567</v>
      </c>
      <c r="CT44" s="27">
        <f t="shared" si="541"/>
        <v>1235.8028234334354</v>
      </c>
      <c r="CU44" s="27">
        <f t="shared" si="541"/>
        <v>1840.631635986525</v>
      </c>
      <c r="CV44" s="27">
        <f t="shared" si="541"/>
        <v>1847.2531858842581</v>
      </c>
      <c r="CW44" s="27">
        <f t="shared" si="541"/>
        <v>1255.6675464549833</v>
      </c>
      <c r="CX44" s="27">
        <f t="shared" ref="CX44:DI44" si="542">IF(CX43&lt;0,0,(CX43-CX45)*IncomeTax)</f>
        <v>1860.5625747514785</v>
      </c>
      <c r="CY44" s="27">
        <f t="shared" si="542"/>
        <v>1867.250561111761</v>
      </c>
      <c r="CZ44" s="27">
        <f t="shared" si="542"/>
        <v>1275.7315795999116</v>
      </c>
      <c r="DA44" s="27">
        <f t="shared" si="542"/>
        <v>1880.6934880068886</v>
      </c>
      <c r="DB44" s="27">
        <f t="shared" si="542"/>
        <v>1887.4485774113568</v>
      </c>
      <c r="DC44" s="27">
        <f t="shared" si="542"/>
        <v>1295.9969226205058</v>
      </c>
      <c r="DD44" s="27">
        <f t="shared" si="542"/>
        <v>1901.026382170885</v>
      </c>
      <c r="DE44" s="27">
        <f t="shared" si="542"/>
        <v>1907.8492478892329</v>
      </c>
      <c r="DF44" s="27">
        <f t="shared" si="542"/>
        <v>1316.4655953333081</v>
      </c>
      <c r="DG44" s="27">
        <f t="shared" si="542"/>
        <v>1921.5632837927308</v>
      </c>
      <c r="DH44" s="27">
        <f t="shared" si="542"/>
        <v>1928.4546058498174</v>
      </c>
      <c r="DI44" s="27">
        <f t="shared" si="542"/>
        <v>1337.1396378204281</v>
      </c>
    </row>
    <row r="45" spans="2:113" s="28" customFormat="1" ht="26" hidden="1" outlineLevel="1" x14ac:dyDescent="0.3">
      <c r="B45" s="38" t="s">
        <v>130</v>
      </c>
      <c r="C45" s="29"/>
      <c r="Q45" s="31">
        <f>IF(Q46&lt;0,Q43*50%,0)</f>
        <v>-101.80913799582072</v>
      </c>
      <c r="R45" s="31">
        <f t="shared" ref="R45:BY45" si="543">IF(R46&lt;0,R43*50%,0)</f>
        <v>2349.5330118224592</v>
      </c>
      <c r="S45" s="31">
        <f t="shared" si="543"/>
        <v>2382.1231218618677</v>
      </c>
      <c r="T45" s="31">
        <f t="shared" si="543"/>
        <v>0</v>
      </c>
      <c r="U45" s="31">
        <f t="shared" si="543"/>
        <v>0</v>
      </c>
      <c r="V45" s="31">
        <f t="shared" si="543"/>
        <v>0</v>
      </c>
      <c r="W45" s="31">
        <f t="shared" si="543"/>
        <v>0</v>
      </c>
      <c r="X45" s="31">
        <f t="shared" si="543"/>
        <v>0</v>
      </c>
      <c r="Y45" s="31">
        <f t="shared" si="543"/>
        <v>0</v>
      </c>
      <c r="Z45" s="31">
        <f t="shared" si="543"/>
        <v>0</v>
      </c>
      <c r="AA45" s="31">
        <f t="shared" si="543"/>
        <v>0</v>
      </c>
      <c r="AB45" s="31">
        <f t="shared" si="543"/>
        <v>0</v>
      </c>
      <c r="AC45" s="31">
        <f t="shared" si="543"/>
        <v>0</v>
      </c>
      <c r="AD45" s="31">
        <f t="shared" si="543"/>
        <v>0</v>
      </c>
      <c r="AE45" s="31">
        <f t="shared" si="543"/>
        <v>0</v>
      </c>
      <c r="AF45" s="31">
        <f t="shared" si="543"/>
        <v>0</v>
      </c>
      <c r="AG45" s="31">
        <f t="shared" si="543"/>
        <v>0</v>
      </c>
      <c r="AH45" s="31">
        <f t="shared" si="543"/>
        <v>0</v>
      </c>
      <c r="AI45" s="31">
        <f t="shared" si="543"/>
        <v>0</v>
      </c>
      <c r="AJ45" s="31">
        <f t="shared" si="543"/>
        <v>0</v>
      </c>
      <c r="AK45" s="31">
        <f t="shared" si="543"/>
        <v>0</v>
      </c>
      <c r="AL45" s="31">
        <f t="shared" si="543"/>
        <v>0</v>
      </c>
      <c r="AM45" s="31">
        <f t="shared" si="543"/>
        <v>0</v>
      </c>
      <c r="AN45" s="31">
        <f t="shared" si="543"/>
        <v>0</v>
      </c>
      <c r="AO45" s="31">
        <f t="shared" si="543"/>
        <v>0</v>
      </c>
      <c r="AP45" s="31">
        <f t="shared" si="543"/>
        <v>0</v>
      </c>
      <c r="AQ45" s="31">
        <f t="shared" si="543"/>
        <v>0</v>
      </c>
      <c r="AR45" s="31">
        <f t="shared" si="543"/>
        <v>0</v>
      </c>
      <c r="AS45" s="31">
        <f t="shared" si="543"/>
        <v>0</v>
      </c>
      <c r="AT45" s="31">
        <f t="shared" si="543"/>
        <v>0</v>
      </c>
      <c r="AU45" s="31">
        <f t="shared" si="543"/>
        <v>0</v>
      </c>
      <c r="AV45" s="31">
        <f t="shared" si="543"/>
        <v>0</v>
      </c>
      <c r="AW45" s="31">
        <f t="shared" si="543"/>
        <v>0</v>
      </c>
      <c r="AX45" s="31">
        <f t="shared" si="543"/>
        <v>0</v>
      </c>
      <c r="AY45" s="31">
        <f t="shared" si="543"/>
        <v>0</v>
      </c>
      <c r="AZ45" s="31">
        <f t="shared" si="543"/>
        <v>0</v>
      </c>
      <c r="BA45" s="31">
        <f t="shared" si="543"/>
        <v>0</v>
      </c>
      <c r="BB45" s="31">
        <f t="shared" si="543"/>
        <v>0</v>
      </c>
      <c r="BC45" s="31">
        <f t="shared" si="543"/>
        <v>0</v>
      </c>
      <c r="BD45" s="31">
        <f t="shared" si="543"/>
        <v>0</v>
      </c>
      <c r="BE45" s="31">
        <f t="shared" si="543"/>
        <v>0</v>
      </c>
      <c r="BF45" s="31">
        <f t="shared" si="543"/>
        <v>0</v>
      </c>
      <c r="BG45" s="31">
        <f t="shared" si="543"/>
        <v>0</v>
      </c>
      <c r="BH45" s="31">
        <f t="shared" si="543"/>
        <v>0</v>
      </c>
      <c r="BI45" s="31">
        <f t="shared" si="543"/>
        <v>0</v>
      </c>
      <c r="BJ45" s="31">
        <f t="shared" si="543"/>
        <v>0</v>
      </c>
      <c r="BK45" s="31">
        <f t="shared" si="543"/>
        <v>0</v>
      </c>
      <c r="BL45" s="31">
        <f t="shared" si="543"/>
        <v>0</v>
      </c>
      <c r="BM45" s="31">
        <f t="shared" si="543"/>
        <v>0</v>
      </c>
      <c r="BN45" s="31">
        <f t="shared" si="543"/>
        <v>0</v>
      </c>
      <c r="BO45" s="31">
        <f t="shared" si="543"/>
        <v>0</v>
      </c>
      <c r="BP45" s="31">
        <f t="shared" si="543"/>
        <v>0</v>
      </c>
      <c r="BQ45" s="31">
        <f t="shared" si="543"/>
        <v>0</v>
      </c>
      <c r="BR45" s="31">
        <f t="shared" si="543"/>
        <v>0</v>
      </c>
      <c r="BS45" s="31">
        <f t="shared" si="543"/>
        <v>0</v>
      </c>
      <c r="BT45" s="31">
        <f t="shared" si="543"/>
        <v>0</v>
      </c>
      <c r="BU45" s="31">
        <f t="shared" si="543"/>
        <v>0</v>
      </c>
      <c r="BV45" s="31">
        <f t="shared" si="543"/>
        <v>0</v>
      </c>
      <c r="BW45" s="31">
        <f t="shared" si="543"/>
        <v>0</v>
      </c>
      <c r="BX45" s="31">
        <f t="shared" si="543"/>
        <v>0</v>
      </c>
      <c r="BY45" s="31">
        <f t="shared" si="543"/>
        <v>0</v>
      </c>
      <c r="BZ45" s="31">
        <f t="shared" ref="BZ45:DI45" si="544">IF(BZ46&lt;0,BZ43*50%,0)</f>
        <v>0</v>
      </c>
      <c r="CA45" s="31">
        <f t="shared" si="544"/>
        <v>0</v>
      </c>
      <c r="CB45" s="31">
        <f t="shared" si="544"/>
        <v>0</v>
      </c>
      <c r="CC45" s="31">
        <f t="shared" si="544"/>
        <v>0</v>
      </c>
      <c r="CD45" s="31">
        <f t="shared" si="544"/>
        <v>0</v>
      </c>
      <c r="CE45" s="31">
        <f t="shared" si="544"/>
        <v>0</v>
      </c>
      <c r="CF45" s="31">
        <f t="shared" si="544"/>
        <v>0</v>
      </c>
      <c r="CG45" s="31">
        <f t="shared" si="544"/>
        <v>0</v>
      </c>
      <c r="CH45" s="31">
        <f t="shared" si="544"/>
        <v>0</v>
      </c>
      <c r="CI45" s="31">
        <f t="shared" si="544"/>
        <v>0</v>
      </c>
      <c r="CJ45" s="31">
        <f t="shared" si="544"/>
        <v>0</v>
      </c>
      <c r="CK45" s="31">
        <f t="shared" si="544"/>
        <v>0</v>
      </c>
      <c r="CL45" s="31">
        <f t="shared" si="544"/>
        <v>0</v>
      </c>
      <c r="CM45" s="31">
        <f t="shared" si="544"/>
        <v>0</v>
      </c>
      <c r="CN45" s="31">
        <f t="shared" si="544"/>
        <v>0</v>
      </c>
      <c r="CO45" s="31">
        <f t="shared" si="544"/>
        <v>0</v>
      </c>
      <c r="CP45" s="31">
        <f t="shared" si="544"/>
        <v>0</v>
      </c>
      <c r="CQ45" s="31">
        <f t="shared" si="544"/>
        <v>0</v>
      </c>
      <c r="CR45" s="31">
        <f t="shared" si="544"/>
        <v>0</v>
      </c>
      <c r="CS45" s="31">
        <f t="shared" si="544"/>
        <v>0</v>
      </c>
      <c r="CT45" s="31">
        <f t="shared" si="544"/>
        <v>0</v>
      </c>
      <c r="CU45" s="31">
        <f t="shared" si="544"/>
        <v>0</v>
      </c>
      <c r="CV45" s="31">
        <f t="shared" si="544"/>
        <v>0</v>
      </c>
      <c r="CW45" s="31">
        <f t="shared" si="544"/>
        <v>0</v>
      </c>
      <c r="CX45" s="31">
        <f t="shared" si="544"/>
        <v>0</v>
      </c>
      <c r="CY45" s="31">
        <f t="shared" si="544"/>
        <v>0</v>
      </c>
      <c r="CZ45" s="31">
        <f t="shared" si="544"/>
        <v>0</v>
      </c>
      <c r="DA45" s="31">
        <f t="shared" si="544"/>
        <v>0</v>
      </c>
      <c r="DB45" s="31">
        <f t="shared" si="544"/>
        <v>0</v>
      </c>
      <c r="DC45" s="31">
        <f t="shared" si="544"/>
        <v>0</v>
      </c>
      <c r="DD45" s="31">
        <f t="shared" si="544"/>
        <v>0</v>
      </c>
      <c r="DE45" s="31">
        <f t="shared" si="544"/>
        <v>0</v>
      </c>
      <c r="DF45" s="31">
        <f t="shared" si="544"/>
        <v>0</v>
      </c>
      <c r="DG45" s="31">
        <f t="shared" si="544"/>
        <v>0</v>
      </c>
      <c r="DH45" s="31">
        <f t="shared" si="544"/>
        <v>0</v>
      </c>
      <c r="DI45" s="31">
        <f t="shared" si="544"/>
        <v>0</v>
      </c>
    </row>
    <row r="46" spans="2:113" s="28" customFormat="1" hidden="1" outlineLevel="1" x14ac:dyDescent="0.3">
      <c r="B46" s="36" t="s">
        <v>131</v>
      </c>
      <c r="C46" s="29"/>
      <c r="D46" s="30">
        <f>BY46</f>
        <v>333138.61893542128</v>
      </c>
      <c r="F46" s="30">
        <f>F43+E46</f>
        <v>-2382.3438666666661</v>
      </c>
      <c r="G46" s="30">
        <f t="shared" ref="G46:BR46" si="545">G43+F46</f>
        <v>-4327.787093127472</v>
      </c>
      <c r="H46" s="30">
        <f t="shared" si="545"/>
        <v>-8796.1830659825264</v>
      </c>
      <c r="I46" s="30">
        <f t="shared" si="545"/>
        <v>-9815.9896746642808</v>
      </c>
      <c r="J46" s="30">
        <f t="shared" si="545"/>
        <v>-10361.685552925219</v>
      </c>
      <c r="K46" s="30">
        <f t="shared" si="545"/>
        <v>-13435.229994793122</v>
      </c>
      <c r="L46" s="30">
        <f t="shared" si="545"/>
        <v>-13037.542080341373</v>
      </c>
      <c r="M46" s="30">
        <f t="shared" si="545"/>
        <v>-12156.735385424256</v>
      </c>
      <c r="N46" s="30">
        <f t="shared" si="545"/>
        <v>-13822.77336916913</v>
      </c>
      <c r="O46" s="30">
        <f t="shared" si="545"/>
        <v>-12008.575638721511</v>
      </c>
      <c r="P46" s="30">
        <f t="shared" si="545"/>
        <v>-9716.2594967755886</v>
      </c>
      <c r="Q46" s="30">
        <f t="shared" si="545"/>
        <v>-9919.8777727672295</v>
      </c>
      <c r="R46" s="30">
        <f t="shared" si="545"/>
        <v>-5220.8117491223111</v>
      </c>
      <c r="S46" s="30">
        <f t="shared" si="545"/>
        <v>-456.56550539857562</v>
      </c>
      <c r="T46" s="30">
        <f t="shared" si="545"/>
        <v>1381.931920004241</v>
      </c>
      <c r="U46" s="30">
        <f t="shared" si="545"/>
        <v>6277.1911303110655</v>
      </c>
      <c r="V46" s="30">
        <f t="shared" si="545"/>
        <v>11238.284537985575</v>
      </c>
      <c r="W46" s="30">
        <f t="shared" si="545"/>
        <v>13274.285284552339</v>
      </c>
      <c r="X46" s="30">
        <f t="shared" si="545"/>
        <v>18367.706160426991</v>
      </c>
      <c r="Y46" s="30">
        <f t="shared" si="545"/>
        <v>23527.621772554558</v>
      </c>
      <c r="Z46" s="30">
        <f t="shared" si="545"/>
        <v>25763.107464255885</v>
      </c>
      <c r="AA46" s="30">
        <f t="shared" si="545"/>
        <v>31056.678235082218</v>
      </c>
      <c r="AB46" s="30">
        <f t="shared" si="545"/>
        <v>36417.41090847797</v>
      </c>
      <c r="AC46" s="30">
        <f t="shared" si="545"/>
        <v>38854.383051651712</v>
      </c>
      <c r="AD46" s="30">
        <f t="shared" si="545"/>
        <v>44350.111895455368</v>
      </c>
      <c r="AE46" s="30">
        <f t="shared" si="545"/>
        <v>49913.676502071699</v>
      </c>
      <c r="AF46" s="30">
        <f t="shared" si="545"/>
        <v>52554.156684910085</v>
      </c>
      <c r="AG46" s="30">
        <f t="shared" si="545"/>
        <v>58254.071928510602</v>
      </c>
      <c r="AH46" s="30">
        <f t="shared" si="545"/>
        <v>64022.503556256459</v>
      </c>
      <c r="AI46" s="30">
        <f t="shared" si="545"/>
        <v>66868.53365029479</v>
      </c>
      <c r="AJ46" s="30">
        <f t="shared" si="545"/>
        <v>72774.683971465929</v>
      </c>
      <c r="AK46" s="30">
        <f t="shared" si="545"/>
        <v>78750.038127040971</v>
      </c>
      <c r="AL46" s="30">
        <f t="shared" si="545"/>
        <v>81803.680490667932</v>
      </c>
      <c r="AM46" s="30">
        <f t="shared" si="545"/>
        <v>87918.135122326319</v>
      </c>
      <c r="AN46" s="30">
        <f t="shared" si="545"/>
        <v>94102.487936090227</v>
      </c>
      <c r="AO46" s="30">
        <f t="shared" si="545"/>
        <v>97365.825620100019</v>
      </c>
      <c r="AP46" s="30">
        <f t="shared" si="545"/>
        <v>103690.67455654251</v>
      </c>
      <c r="AQ46" s="30">
        <f t="shared" si="545"/>
        <v>110086.12298943981</v>
      </c>
      <c r="AR46" s="30">
        <f t="shared" si="545"/>
        <v>113561.25994464676</v>
      </c>
      <c r="AS46" s="30">
        <f t="shared" si="545"/>
        <v>120098.61414985708</v>
      </c>
      <c r="AT46" s="30">
        <f t="shared" si="545"/>
        <v>126707.2762024181</v>
      </c>
      <c r="AU46" s="30">
        <f t="shared" si="545"/>
        <v>130396.33748935432</v>
      </c>
      <c r="AV46" s="30">
        <f t="shared" si="545"/>
        <v>137148.32910739965</v>
      </c>
      <c r="AW46" s="30">
        <f t="shared" si="545"/>
        <v>143972.34403083849</v>
      </c>
      <c r="AX46" s="30">
        <f t="shared" si="545"/>
        <v>147877.47603155544</v>
      </c>
      <c r="AY46" s="30">
        <f t="shared" si="545"/>
        <v>154846.25859909412</v>
      </c>
      <c r="AZ46" s="30">
        <f t="shared" si="545"/>
        <v>161887.78710852459</v>
      </c>
      <c r="BA46" s="30">
        <f t="shared" si="545"/>
        <v>166011.15774051985</v>
      </c>
      <c r="BB46" s="30">
        <f t="shared" si="545"/>
        <v>173198.90640144108</v>
      </c>
      <c r="BC46" s="30">
        <f t="shared" si="545"/>
        <v>180460.13089123205</v>
      </c>
      <c r="BD46" s="30">
        <f t="shared" si="545"/>
        <v>184803.92982352234</v>
      </c>
      <c r="BE46" s="30">
        <f t="shared" si="545"/>
        <v>192212.84154573959</v>
      </c>
      <c r="BF46" s="30">
        <f t="shared" si="545"/>
        <v>199695.9663070309</v>
      </c>
      <c r="BG46" s="30">
        <f t="shared" si="545"/>
        <v>204262.40517839318</v>
      </c>
      <c r="BH46" s="30">
        <f t="shared" si="545"/>
        <v>211894.69897281265</v>
      </c>
      <c r="BI46" s="30">
        <f t="shared" si="545"/>
        <v>219601.95041321352</v>
      </c>
      <c r="BJ46" s="30">
        <f t="shared" si="545"/>
        <v>224393.26305261574</v>
      </c>
      <c r="BK46" s="30">
        <f t="shared" si="545"/>
        <v>232251.18019430197</v>
      </c>
      <c r="BL46" s="30">
        <f t="shared" si="545"/>
        <v>240184.80705979382</v>
      </c>
      <c r="BM46" s="30">
        <f t="shared" si="545"/>
        <v>245203.24970903731</v>
      </c>
      <c r="BN46" s="30">
        <f t="shared" si="545"/>
        <v>253289.05396059761</v>
      </c>
      <c r="BO46" s="30">
        <f t="shared" si="545"/>
        <v>261451.3275596631</v>
      </c>
      <c r="BP46" s="30">
        <f t="shared" si="545"/>
        <v>266689.78584615747</v>
      </c>
      <c r="BQ46" s="30">
        <f t="shared" si="545"/>
        <v>274949.25300931506</v>
      </c>
      <c r="BR46" s="30">
        <f t="shared" si="545"/>
        <v>283238.6822852387</v>
      </c>
      <c r="BS46" s="30">
        <f t="shared" ref="BS46:BY46" si="546">BS43+BR46</f>
        <v>288567.02724183764</v>
      </c>
      <c r="BT46" s="30">
        <f t="shared" si="546"/>
        <v>296916.68069733348</v>
      </c>
      <c r="BU46" s="30">
        <f t="shared" si="546"/>
        <v>305296.59688656987</v>
      </c>
      <c r="BV46" s="30">
        <f t="shared" si="546"/>
        <v>310715.73037952592</v>
      </c>
      <c r="BW46" s="30">
        <f t="shared" si="546"/>
        <v>319156.47499983339</v>
      </c>
      <c r="BX46" s="30">
        <f t="shared" si="546"/>
        <v>327627.78599109745</v>
      </c>
      <c r="BY46" s="30">
        <f t="shared" si="546"/>
        <v>333138.61893542128</v>
      </c>
      <c r="BZ46" s="30">
        <f t="shared" ref="BZ46" si="547">BZ43+BY46</f>
        <v>341671.36867193441</v>
      </c>
      <c r="CA46" s="30">
        <f t="shared" ref="CA46" si="548">CA43+BZ46</f>
        <v>350234.99146312481</v>
      </c>
      <c r="CB46" s="30">
        <f t="shared" ref="CB46" si="549">CB43+CA46</f>
        <v>355838.44391337474</v>
      </c>
      <c r="CC46" s="30">
        <f t="shared" ref="CC46" si="550">CC43+CB46</f>
        <v>364464.1218875004</v>
      </c>
      <c r="CD46" s="30">
        <f t="shared" ref="CD46" si="551">CD43+CC46</f>
        <v>373120.98267709534</v>
      </c>
      <c r="CE46" s="30">
        <f t="shared" ref="CE46" si="552">CE43+CD46</f>
        <v>378817.98391907784</v>
      </c>
      <c r="CF46" s="30">
        <f t="shared" ref="CF46" si="553">CF43+CE46</f>
        <v>387537.52251424181</v>
      </c>
      <c r="CG46" s="30">
        <f t="shared" ref="CG46" si="554">CG43+CF46</f>
        <v>396288.5567936119</v>
      </c>
      <c r="CH46" s="30">
        <f t="shared" ref="CH46" si="555">CH43+CG46</f>
        <v>402080.04543700209</v>
      </c>
      <c r="CI46" s="30">
        <f t="shared" ref="CI46" si="556">CI43+CH46</f>
        <v>410894.38639157848</v>
      </c>
      <c r="CJ46" s="30">
        <f t="shared" ref="CJ46" si="557">CJ43+CI46</f>
        <v>419740.53903822572</v>
      </c>
      <c r="CK46" s="30">
        <f t="shared" ref="CK46" si="558">CK43+CJ46</f>
        <v>425627.4631101173</v>
      </c>
      <c r="CL46" s="30">
        <f t="shared" ref="CL46" si="559">CL43+CK46</f>
        <v>434537.55761129007</v>
      </c>
      <c r="CM46" s="30">
        <f t="shared" ref="CM46" si="560">CM43+CL46</f>
        <v>443479.78298302233</v>
      </c>
      <c r="CN46" s="30">
        <f t="shared" ref="CN46" si="561">CN43+CM46</f>
        <v>449463.10002241592</v>
      </c>
      <c r="CO46" s="30">
        <f t="shared" ref="CO46" si="562">CO43+CN46</f>
        <v>458469.90880098235</v>
      </c>
      <c r="CP46" s="30">
        <f t="shared" ref="CP46" si="563">CP43+CO46</f>
        <v>467509.17083103291</v>
      </c>
      <c r="CQ46" s="30">
        <f t="shared" ref="CQ46" si="564">CQ43+CP46</f>
        <v>473589.84798427252</v>
      </c>
      <c r="CR46" s="30">
        <f t="shared" ref="CR46" si="565">CR43+CQ46</f>
        <v>482694.34141039784</v>
      </c>
      <c r="CS46" s="30">
        <f t="shared" ref="CS46" si="566">CS43+CR46</f>
        <v>491831.61370349914</v>
      </c>
      <c r="CT46" s="30">
        <f t="shared" ref="CT46" si="567">CT43+CS46</f>
        <v>498010.6278206663</v>
      </c>
      <c r="CU46" s="30">
        <f t="shared" ref="CU46" si="568">CU43+CT46</f>
        <v>507213.78600059892</v>
      </c>
      <c r="CV46" s="30">
        <f t="shared" ref="CV46" si="569">CV43+CU46</f>
        <v>516450.05193002021</v>
      </c>
      <c r="CW46" s="30">
        <f t="shared" ref="CW46" si="570">CW43+CV46</f>
        <v>522728.38966229511</v>
      </c>
      <c r="CX46" s="30">
        <f t="shared" ref="CX46" si="571">CX43+CW46</f>
        <v>532031.20253605256</v>
      </c>
      <c r="CY46" s="30">
        <f t="shared" ref="CY46" si="572">CY43+CX46</f>
        <v>541367.45534161141</v>
      </c>
      <c r="CZ46" s="30">
        <f t="shared" ref="CZ46" si="573">CZ43+CY46</f>
        <v>547746.11323961092</v>
      </c>
      <c r="DA46" s="30">
        <f t="shared" ref="DA46" si="574">DA43+CZ46</f>
        <v>557149.58067964541</v>
      </c>
      <c r="DB46" s="30">
        <f t="shared" ref="DB46" si="575">DB43+DA46</f>
        <v>566586.82356670219</v>
      </c>
      <c r="DC46" s="30">
        <f t="shared" ref="DC46" si="576">DC43+DB46</f>
        <v>573066.80817980471</v>
      </c>
      <c r="DD46" s="30">
        <f t="shared" ref="DD46" si="577">DD43+DC46</f>
        <v>582571.94009065907</v>
      </c>
      <c r="DE46" s="30">
        <f t="shared" ref="DE46" si="578">DE43+DD46</f>
        <v>592111.18633010529</v>
      </c>
      <c r="DF46" s="30">
        <f t="shared" ref="DF46" si="579">DF43+DE46</f>
        <v>598693.5143067718</v>
      </c>
      <c r="DG46" s="30">
        <f t="shared" ref="DG46" si="580">DG43+DF46</f>
        <v>608301.3307257354</v>
      </c>
      <c r="DH46" s="30">
        <f t="shared" ref="DH46" si="581">DH43+DG46</f>
        <v>617943.60375498445</v>
      </c>
      <c r="DI46" s="30">
        <f t="shared" ref="DI46" si="582">DI43+DH46</f>
        <v>624629.30194408656</v>
      </c>
    </row>
    <row r="47" spans="2:113" x14ac:dyDescent="0.3">
      <c r="B47" s="22" t="s">
        <v>124</v>
      </c>
      <c r="C47" s="23"/>
      <c r="D47" s="24">
        <f>D43-D44</f>
        <v>264396.24912416795</v>
      </c>
      <c r="E47" s="24"/>
      <c r="F47" s="24">
        <f t="shared" ref="F47:BP47" si="583">F43-F44</f>
        <v>-2382.3438666666661</v>
      </c>
      <c r="G47" s="24">
        <f t="shared" si="583"/>
        <v>-1945.4432264608058</v>
      </c>
      <c r="H47" s="24">
        <f t="shared" si="583"/>
        <v>-4468.3959728550544</v>
      </c>
      <c r="I47" s="24">
        <f t="shared" si="583"/>
        <v>-1019.8066086817539</v>
      </c>
      <c r="J47" s="24">
        <f t="shared" si="583"/>
        <v>-545.69587826093857</v>
      </c>
      <c r="K47" s="24">
        <f t="shared" si="583"/>
        <v>-3073.544441867904</v>
      </c>
      <c r="L47" s="24">
        <f t="shared" si="583"/>
        <v>318.15033156139981</v>
      </c>
      <c r="M47" s="24">
        <f t="shared" si="583"/>
        <v>704.64535593369362</v>
      </c>
      <c r="N47" s="24">
        <f t="shared" si="583"/>
        <v>-1666.0379837448741</v>
      </c>
      <c r="O47" s="24">
        <f t="shared" si="583"/>
        <v>1451.3581843580941</v>
      </c>
      <c r="P47" s="24">
        <f t="shared" si="583"/>
        <v>1833.852913556738</v>
      </c>
      <c r="Q47" s="24">
        <f t="shared" si="583"/>
        <v>-203.61827599164144</v>
      </c>
      <c r="R47" s="24">
        <f t="shared" si="583"/>
        <v>4229.1594212804266</v>
      </c>
      <c r="S47" s="24">
        <f t="shared" si="583"/>
        <v>4287.8216193513617</v>
      </c>
      <c r="T47" s="24">
        <f t="shared" si="583"/>
        <v>1470.7979403222532</v>
      </c>
      <c r="U47" s="24">
        <f t="shared" si="583"/>
        <v>3916.2073682454597</v>
      </c>
      <c r="V47" s="24">
        <f t="shared" si="583"/>
        <v>3968.8747261396084</v>
      </c>
      <c r="W47" s="24">
        <f t="shared" si="583"/>
        <v>1628.8005972534118</v>
      </c>
      <c r="X47" s="24">
        <f t="shared" si="583"/>
        <v>4074.7367006997215</v>
      </c>
      <c r="Y47" s="24">
        <f t="shared" si="583"/>
        <v>4127.9324897020542</v>
      </c>
      <c r="Z47" s="24">
        <f t="shared" si="583"/>
        <v>1788.3885533610614</v>
      </c>
      <c r="AA47" s="24">
        <f t="shared" si="583"/>
        <v>4234.8566166610672</v>
      </c>
      <c r="AB47" s="24">
        <f t="shared" si="583"/>
        <v>4288.5861387166024</v>
      </c>
      <c r="AC47" s="24">
        <f t="shared" si="583"/>
        <v>1949.5777145389934</v>
      </c>
      <c r="AD47" s="24">
        <f t="shared" si="583"/>
        <v>4396.5830750429232</v>
      </c>
      <c r="AE47" s="24">
        <f t="shared" si="583"/>
        <v>4450.8516852930661</v>
      </c>
      <c r="AF47" s="24">
        <f t="shared" si="583"/>
        <v>2112.384146270711</v>
      </c>
      <c r="AG47" s="24">
        <f t="shared" si="583"/>
        <v>4559.9321948804127</v>
      </c>
      <c r="AH47" s="24">
        <f t="shared" si="583"/>
        <v>4614.7453021966821</v>
      </c>
      <c r="AI47" s="24">
        <f t="shared" si="583"/>
        <v>2276.824075230671</v>
      </c>
      <c r="AJ47" s="24">
        <f t="shared" si="583"/>
        <v>4724.9202569369063</v>
      </c>
      <c r="AK47" s="24">
        <f t="shared" si="583"/>
        <v>4780.2833244600315</v>
      </c>
      <c r="AL47" s="24">
        <f t="shared" si="583"/>
        <v>2442.9138909015655</v>
      </c>
      <c r="AM47" s="24">
        <f t="shared" si="583"/>
        <v>4891.5637053267073</v>
      </c>
      <c r="AN47" s="24">
        <f t="shared" si="583"/>
        <v>4947.4822510111289</v>
      </c>
      <c r="AO47" s="24">
        <f t="shared" si="583"/>
        <v>2610.6701472078348</v>
      </c>
      <c r="AP47" s="24">
        <f t="shared" si="583"/>
        <v>5059.8791491539914</v>
      </c>
      <c r="AQ47" s="24">
        <f t="shared" si="583"/>
        <v>5116.358746317841</v>
      </c>
      <c r="AR47" s="24">
        <f t="shared" si="583"/>
        <v>2780.109564165567</v>
      </c>
      <c r="AS47" s="24">
        <f t="shared" si="583"/>
        <v>5229.8833641682522</v>
      </c>
      <c r="AT47" s="24">
        <f t="shared" si="583"/>
        <v>5286.9296420488145</v>
      </c>
      <c r="AU47" s="24">
        <f t="shared" si="583"/>
        <v>2951.2490295489797</v>
      </c>
      <c r="AV47" s="24">
        <f t="shared" si="583"/>
        <v>5401.5932944362739</v>
      </c>
      <c r="AW47" s="24">
        <f t="shared" si="583"/>
        <v>5459.2119387510629</v>
      </c>
      <c r="AX47" s="24">
        <f t="shared" si="583"/>
        <v>3124.1056005735654</v>
      </c>
      <c r="AY47" s="24">
        <f t="shared" si="583"/>
        <v>5575.0260540309455</v>
      </c>
      <c r="AZ47" s="24">
        <f t="shared" si="583"/>
        <v>5633.2228075443818</v>
      </c>
      <c r="BA47" s="24">
        <f t="shared" si="583"/>
        <v>3298.6965055961978</v>
      </c>
      <c r="BB47" s="24">
        <f t="shared" si="583"/>
        <v>5750.1989287369852</v>
      </c>
      <c r="BC47" s="24">
        <f t="shared" si="583"/>
        <v>5808.9795918327764</v>
      </c>
      <c r="BD47" s="24">
        <f t="shared" si="583"/>
        <v>3475.0391458322201</v>
      </c>
      <c r="BE47" s="24">
        <f t="shared" si="583"/>
        <v>5927.1293777737947</v>
      </c>
      <c r="BF47" s="24">
        <f t="shared" si="583"/>
        <v>5986.49980903304</v>
      </c>
      <c r="BG47" s="24">
        <f t="shared" si="583"/>
        <v>3653.1510970898198</v>
      </c>
      <c r="BH47" s="24">
        <f t="shared" si="583"/>
        <v>6105.8350355355851</v>
      </c>
      <c r="BI47" s="24">
        <f t="shared" si="583"/>
        <v>6165.8011523207024</v>
      </c>
      <c r="BJ47" s="24">
        <f t="shared" si="583"/>
        <v>3833.0501115217739</v>
      </c>
      <c r="BK47" s="24">
        <f t="shared" si="583"/>
        <v>6286.3337133489795</v>
      </c>
      <c r="BL47" s="24">
        <f t="shared" si="583"/>
        <v>6346.9014923934756</v>
      </c>
      <c r="BM47" s="24">
        <f t="shared" si="583"/>
        <v>4014.7541193947882</v>
      </c>
      <c r="BN47" s="24">
        <f t="shared" si="583"/>
        <v>6468.6434012482405</v>
      </c>
      <c r="BO47" s="24">
        <f t="shared" si="583"/>
        <v>6529.8188792524024</v>
      </c>
      <c r="BP47" s="24">
        <f t="shared" si="583"/>
        <v>4190.7666291954947</v>
      </c>
      <c r="BQ47" s="24">
        <f t="shared" ref="BQ47:BY47" si="584">BQ43-BQ44</f>
        <v>6607.57373052606</v>
      </c>
      <c r="BR47" s="24">
        <f t="shared" si="584"/>
        <v>6631.5434207389244</v>
      </c>
      <c r="BS47" s="24">
        <f t="shared" si="584"/>
        <v>4262.6759652791643</v>
      </c>
      <c r="BT47" s="24">
        <f t="shared" si="584"/>
        <v>6679.7227643966762</v>
      </c>
      <c r="BU47" s="24">
        <f t="shared" si="584"/>
        <v>6703.9329513891062</v>
      </c>
      <c r="BV47" s="24">
        <f t="shared" si="584"/>
        <v>4335.3067943648502</v>
      </c>
      <c r="BW47" s="24">
        <f t="shared" si="584"/>
        <v>6752.5956962459768</v>
      </c>
      <c r="BX47" s="24">
        <f t="shared" si="584"/>
        <v>6777.0487930112386</v>
      </c>
      <c r="BY47" s="24">
        <f t="shared" si="584"/>
        <v>4408.6663554590577</v>
      </c>
      <c r="BZ47" s="24">
        <f t="shared" ref="BZ47:DI47" si="585">BZ43-BZ44</f>
        <v>6826.199789210501</v>
      </c>
      <c r="CA47" s="24">
        <f t="shared" si="585"/>
        <v>6850.8982329523114</v>
      </c>
      <c r="CB47" s="24">
        <f t="shared" si="585"/>
        <v>4482.761960199934</v>
      </c>
      <c r="CC47" s="24">
        <f t="shared" si="585"/>
        <v>6900.542379300512</v>
      </c>
      <c r="CD47" s="24">
        <f t="shared" si="585"/>
        <v>6925.4886316759603</v>
      </c>
      <c r="CE47" s="24">
        <f t="shared" si="585"/>
        <v>4557.6009935859902</v>
      </c>
      <c r="CF47" s="24">
        <f t="shared" si="585"/>
        <v>6975.6308761311884</v>
      </c>
      <c r="CG47" s="24">
        <f t="shared" si="585"/>
        <v>7000.8274234960727</v>
      </c>
      <c r="CH47" s="24">
        <f t="shared" si="585"/>
        <v>4633.1909147121687</v>
      </c>
      <c r="CI47" s="24">
        <f t="shared" si="585"/>
        <v>7051.4727636611224</v>
      </c>
      <c r="CJ47" s="24">
        <f t="shared" si="585"/>
        <v>7076.9221173177721</v>
      </c>
      <c r="CK47" s="24">
        <f t="shared" si="585"/>
        <v>4709.5392575132737</v>
      </c>
      <c r="CL47" s="24">
        <f t="shared" si="585"/>
        <v>7128.0756009382294</v>
      </c>
      <c r="CM47" s="24">
        <f t="shared" si="585"/>
        <v>7153.7802973858034</v>
      </c>
      <c r="CN47" s="24">
        <f t="shared" si="585"/>
        <v>4786.653631514866</v>
      </c>
      <c r="CO47" s="24">
        <f t="shared" si="585"/>
        <v>7205.4470228531618</v>
      </c>
      <c r="CP47" s="24">
        <f t="shared" si="585"/>
        <v>7231.4096240404515</v>
      </c>
      <c r="CQ47" s="24">
        <f t="shared" si="585"/>
        <v>4864.5417225916972</v>
      </c>
      <c r="CR47" s="24">
        <f t="shared" si="585"/>
        <v>7283.5947409002456</v>
      </c>
      <c r="CS47" s="24">
        <f t="shared" si="585"/>
        <v>7309.8178344810267</v>
      </c>
      <c r="CT47" s="24">
        <f t="shared" si="585"/>
        <v>4943.2112937337415</v>
      </c>
      <c r="CU47" s="24">
        <f t="shared" si="585"/>
        <v>7362.5265439461</v>
      </c>
      <c r="CV47" s="24">
        <f t="shared" si="585"/>
        <v>7389.0127435370323</v>
      </c>
      <c r="CW47" s="24">
        <f t="shared" si="585"/>
        <v>5022.6701858199322</v>
      </c>
      <c r="CX47" s="24">
        <f t="shared" si="585"/>
        <v>7442.2502990059129</v>
      </c>
      <c r="CY47" s="24">
        <f t="shared" si="585"/>
        <v>7469.0022444470433</v>
      </c>
      <c r="CZ47" s="24">
        <f t="shared" si="585"/>
        <v>5102.9263183996463</v>
      </c>
      <c r="DA47" s="24">
        <f t="shared" si="585"/>
        <v>7522.7739520275545</v>
      </c>
      <c r="DB47" s="24">
        <f t="shared" si="585"/>
        <v>7549.7943096454273</v>
      </c>
      <c r="DC47" s="24">
        <f t="shared" si="585"/>
        <v>5183.987690482023</v>
      </c>
      <c r="DD47" s="24">
        <f t="shared" si="585"/>
        <v>7604.1055286835399</v>
      </c>
      <c r="DE47" s="24">
        <f t="shared" si="585"/>
        <v>7631.3969915569305</v>
      </c>
      <c r="DF47" s="24">
        <f t="shared" si="585"/>
        <v>5265.8623813332324</v>
      </c>
      <c r="DG47" s="24">
        <f t="shared" si="585"/>
        <v>7686.2531351709231</v>
      </c>
      <c r="DH47" s="24">
        <f t="shared" si="585"/>
        <v>7713.8184233992697</v>
      </c>
      <c r="DI47" s="24">
        <f t="shared" si="585"/>
        <v>5348.5585512817124</v>
      </c>
    </row>
    <row r="48" spans="2:113" x14ac:dyDescent="0.3">
      <c r="F48" s="16"/>
      <c r="G48" s="16"/>
      <c r="H48" s="16"/>
      <c r="I48" s="16"/>
      <c r="J48" s="16"/>
      <c r="K48" s="16"/>
      <c r="L48" s="16"/>
      <c r="M48" s="16"/>
      <c r="N48" s="16"/>
      <c r="O48" s="16"/>
      <c r="P48" s="16"/>
      <c r="Q48" s="16"/>
      <c r="R48" s="16"/>
      <c r="S48" s="16"/>
      <c r="T48" s="16"/>
      <c r="U48" s="16"/>
      <c r="V48" s="16"/>
      <c r="W48" s="16"/>
      <c r="X48" s="16"/>
      <c r="Y48" s="16"/>
      <c r="Z48" s="16"/>
      <c r="AA48" s="16"/>
      <c r="AB48" s="16"/>
      <c r="AC48" s="16"/>
      <c r="AD48" s="16"/>
      <c r="AE48" s="16"/>
      <c r="AF48" s="16"/>
      <c r="AG48" s="16"/>
      <c r="AH48" s="16"/>
      <c r="AI48" s="16"/>
      <c r="AJ48" s="16"/>
      <c r="AK48" s="16"/>
      <c r="AL48" s="16"/>
      <c r="AM48" s="16"/>
      <c r="AN48" s="16"/>
      <c r="AO48" s="16"/>
      <c r="AP48" s="16"/>
      <c r="AQ48" s="16"/>
      <c r="AR48" s="16"/>
      <c r="AS48" s="16"/>
      <c r="AT48" s="16"/>
      <c r="AU48" s="16"/>
      <c r="AV48" s="16"/>
      <c r="AW48" s="16"/>
      <c r="AX48" s="16"/>
      <c r="AY48" s="16"/>
      <c r="AZ48" s="16"/>
      <c r="BA48" s="16"/>
      <c r="BB48" s="16"/>
      <c r="BC48" s="16"/>
      <c r="BD48" s="16"/>
      <c r="BE48" s="16"/>
      <c r="BF48" s="16"/>
      <c r="BG48" s="16"/>
      <c r="BH48" s="16"/>
      <c r="BI48" s="16"/>
      <c r="BJ48" s="16"/>
      <c r="BK48" s="16"/>
      <c r="BL48" s="16"/>
      <c r="BM48" s="16"/>
      <c r="BN48" s="16"/>
      <c r="BO48" s="16"/>
      <c r="BP48" s="16"/>
      <c r="BQ48" s="16"/>
      <c r="BR48" s="16"/>
      <c r="BS48" s="16"/>
      <c r="BT48" s="16"/>
      <c r="BU48" s="16"/>
      <c r="BV48" s="16"/>
      <c r="BW48" s="16"/>
      <c r="BX48" s="16"/>
      <c r="BY48" s="16"/>
      <c r="BZ48" s="16"/>
      <c r="CA48" s="16"/>
      <c r="CB48" s="16"/>
      <c r="CC48" s="16"/>
      <c r="CD48" s="16"/>
      <c r="CE48" s="16"/>
      <c r="CF48" s="16"/>
      <c r="CG48" s="16"/>
      <c r="CH48" s="16"/>
      <c r="CI48" s="16"/>
      <c r="CJ48" s="16"/>
      <c r="CK48" s="16"/>
      <c r="CL48" s="16"/>
      <c r="CM48" s="16"/>
      <c r="CN48" s="16"/>
      <c r="CO48" s="16"/>
      <c r="CP48" s="16"/>
      <c r="CQ48" s="16"/>
      <c r="CR48" s="16"/>
      <c r="CS48" s="16"/>
      <c r="CT48" s="16"/>
      <c r="CU48" s="16"/>
      <c r="CV48" s="16"/>
      <c r="CW48" s="16"/>
      <c r="CX48" s="16"/>
      <c r="CY48" s="16"/>
      <c r="CZ48" s="16"/>
      <c r="DA48" s="16"/>
      <c r="DB48" s="16"/>
      <c r="DC48" s="16"/>
      <c r="DD48" s="16"/>
      <c r="DE48" s="16"/>
      <c r="DF48" s="16"/>
      <c r="DG48" s="16"/>
      <c r="DH48" s="16"/>
      <c r="DI48" s="16"/>
    </row>
    <row r="49" spans="2:66" x14ac:dyDescent="0.3">
      <c r="F49" s="16"/>
      <c r="BN49" s="16"/>
    </row>
    <row r="54" spans="2:66" s="62" customFormat="1" x14ac:dyDescent="0.3">
      <c r="C54" s="96"/>
    </row>
    <row r="55" spans="2:66" s="62" customFormat="1" x14ac:dyDescent="0.3">
      <c r="C55" s="96"/>
    </row>
    <row r="56" spans="2:66" s="62" customFormat="1" x14ac:dyDescent="0.3">
      <c r="C56" s="96"/>
    </row>
    <row r="57" spans="2:66" s="98" customFormat="1" ht="12" x14ac:dyDescent="0.3">
      <c r="D57" s="101"/>
    </row>
    <row r="58" spans="2:66" s="97" customFormat="1" ht="12" x14ac:dyDescent="0.3">
      <c r="C58" s="98"/>
    </row>
    <row r="59" spans="2:66" s="97" customFormat="1" ht="12" x14ac:dyDescent="0.3">
      <c r="C59" s="98"/>
    </row>
    <row r="60" spans="2:66" s="97" customFormat="1" ht="12" x14ac:dyDescent="0.3">
      <c r="B60" s="100"/>
      <c r="C60" s="98"/>
      <c r="D60" s="99"/>
    </row>
    <row r="61" spans="2:66" s="97" customFormat="1" ht="12" x14ac:dyDescent="0.3">
      <c r="C61" s="98"/>
    </row>
    <row r="66" spans="3:78" s="10" customFormat="1" x14ac:dyDescent="0.3">
      <c r="C66" s="224"/>
      <c r="BZ66" s="225"/>
    </row>
  </sheetData>
  <mergeCells count="1">
    <mergeCell ref="B2:B3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5"/>
  <dimension ref="B2:DN36"/>
  <sheetViews>
    <sheetView showGridLines="0" topLeftCell="B1" zoomScaleNormal="100" workbookViewId="0">
      <pane xSplit="2" topLeftCell="D1" activePane="topRight" state="frozen"/>
      <selection activeCell="B1" sqref="B1"/>
      <selection pane="topRight" activeCell="O56" sqref="O56"/>
    </sheetView>
  </sheetViews>
  <sheetFormatPr defaultRowHeight="13" x14ac:dyDescent="0.3"/>
  <cols>
    <col min="1" max="1" width="3.6328125" style="10" customWidth="1"/>
    <col min="2" max="2" width="40.6328125" style="47" customWidth="1"/>
    <col min="3" max="3" width="3.6328125" style="27" customWidth="1"/>
    <col min="4" max="4" width="3.6328125" style="10" customWidth="1"/>
    <col min="5" max="16384" width="8.7265625" style="10"/>
  </cols>
  <sheetData>
    <row r="2" spans="2:118" ht="13" customHeight="1" x14ac:dyDescent="0.3">
      <c r="B2" s="231" t="s">
        <v>142</v>
      </c>
      <c r="BZ2" s="5"/>
      <c r="CA2" s="5"/>
      <c r="CB2" s="5"/>
      <c r="CC2" s="5"/>
      <c r="CD2" s="5"/>
      <c r="CE2" s="5"/>
      <c r="CF2" s="5"/>
    </row>
    <row r="3" spans="2:118" x14ac:dyDescent="0.3">
      <c r="B3" s="231"/>
      <c r="E3" s="5">
        <f>Start-1</f>
        <v>44377</v>
      </c>
      <c r="F3" s="5">
        <f>EDATE(E3+1,1)-1</f>
        <v>44408</v>
      </c>
      <c r="G3" s="5">
        <f t="shared" ref="G3:BR3" si="0">EDATE(F3+1,1)-1</f>
        <v>44439</v>
      </c>
      <c r="H3" s="5">
        <f t="shared" si="0"/>
        <v>44469</v>
      </c>
      <c r="I3" s="5">
        <f t="shared" si="0"/>
        <v>44500</v>
      </c>
      <c r="J3" s="5">
        <f t="shared" si="0"/>
        <v>44530</v>
      </c>
      <c r="K3" s="5">
        <f t="shared" si="0"/>
        <v>44561</v>
      </c>
      <c r="L3" s="5">
        <f t="shared" si="0"/>
        <v>44592</v>
      </c>
      <c r="M3" s="5">
        <f t="shared" si="0"/>
        <v>44620</v>
      </c>
      <c r="N3" s="5">
        <f t="shared" si="0"/>
        <v>44651</v>
      </c>
      <c r="O3" s="5">
        <f t="shared" si="0"/>
        <v>44681</v>
      </c>
      <c r="P3" s="5">
        <f t="shared" si="0"/>
        <v>44712</v>
      </c>
      <c r="Q3" s="5">
        <f t="shared" si="0"/>
        <v>44742</v>
      </c>
      <c r="R3" s="5">
        <f t="shared" si="0"/>
        <v>44773</v>
      </c>
      <c r="S3" s="5">
        <f t="shared" si="0"/>
        <v>44804</v>
      </c>
      <c r="T3" s="5">
        <f t="shared" si="0"/>
        <v>44834</v>
      </c>
      <c r="U3" s="5">
        <f t="shared" si="0"/>
        <v>44865</v>
      </c>
      <c r="V3" s="5">
        <f t="shared" si="0"/>
        <v>44895</v>
      </c>
      <c r="W3" s="5">
        <f t="shared" si="0"/>
        <v>44926</v>
      </c>
      <c r="X3" s="5">
        <f t="shared" si="0"/>
        <v>44957</v>
      </c>
      <c r="Y3" s="5">
        <f t="shared" si="0"/>
        <v>44985</v>
      </c>
      <c r="Z3" s="5">
        <f t="shared" si="0"/>
        <v>45016</v>
      </c>
      <c r="AA3" s="5">
        <f t="shared" si="0"/>
        <v>45046</v>
      </c>
      <c r="AB3" s="5">
        <f t="shared" si="0"/>
        <v>45077</v>
      </c>
      <c r="AC3" s="5">
        <f t="shared" si="0"/>
        <v>45107</v>
      </c>
      <c r="AD3" s="5">
        <f t="shared" si="0"/>
        <v>45138</v>
      </c>
      <c r="AE3" s="5">
        <f t="shared" si="0"/>
        <v>45169</v>
      </c>
      <c r="AF3" s="5">
        <f t="shared" si="0"/>
        <v>45199</v>
      </c>
      <c r="AG3" s="5">
        <f t="shared" si="0"/>
        <v>45230</v>
      </c>
      <c r="AH3" s="5">
        <f t="shared" si="0"/>
        <v>45260</v>
      </c>
      <c r="AI3" s="5">
        <f t="shared" si="0"/>
        <v>45291</v>
      </c>
      <c r="AJ3" s="5">
        <f t="shared" si="0"/>
        <v>45322</v>
      </c>
      <c r="AK3" s="5">
        <f t="shared" si="0"/>
        <v>45351</v>
      </c>
      <c r="AL3" s="5">
        <f t="shared" si="0"/>
        <v>45382</v>
      </c>
      <c r="AM3" s="5">
        <f t="shared" si="0"/>
        <v>45412</v>
      </c>
      <c r="AN3" s="5">
        <f t="shared" si="0"/>
        <v>45443</v>
      </c>
      <c r="AO3" s="5">
        <f t="shared" si="0"/>
        <v>45473</v>
      </c>
      <c r="AP3" s="5">
        <f t="shared" si="0"/>
        <v>45504</v>
      </c>
      <c r="AQ3" s="5">
        <f t="shared" si="0"/>
        <v>45535</v>
      </c>
      <c r="AR3" s="5">
        <f t="shared" si="0"/>
        <v>45565</v>
      </c>
      <c r="AS3" s="5">
        <f t="shared" si="0"/>
        <v>45596</v>
      </c>
      <c r="AT3" s="5">
        <f t="shared" si="0"/>
        <v>45626</v>
      </c>
      <c r="AU3" s="5">
        <f t="shared" si="0"/>
        <v>45657</v>
      </c>
      <c r="AV3" s="5">
        <f t="shared" si="0"/>
        <v>45688</v>
      </c>
      <c r="AW3" s="5">
        <f t="shared" si="0"/>
        <v>45716</v>
      </c>
      <c r="AX3" s="5">
        <f t="shared" si="0"/>
        <v>45747</v>
      </c>
      <c r="AY3" s="5">
        <f t="shared" si="0"/>
        <v>45777</v>
      </c>
      <c r="AZ3" s="5">
        <f t="shared" si="0"/>
        <v>45808</v>
      </c>
      <c r="BA3" s="5">
        <f t="shared" si="0"/>
        <v>45838</v>
      </c>
      <c r="BB3" s="5">
        <f t="shared" si="0"/>
        <v>45869</v>
      </c>
      <c r="BC3" s="5">
        <f t="shared" si="0"/>
        <v>45900</v>
      </c>
      <c r="BD3" s="5">
        <f t="shared" si="0"/>
        <v>45930</v>
      </c>
      <c r="BE3" s="5">
        <f t="shared" si="0"/>
        <v>45961</v>
      </c>
      <c r="BF3" s="5">
        <f t="shared" si="0"/>
        <v>45991</v>
      </c>
      <c r="BG3" s="5">
        <f t="shared" si="0"/>
        <v>46022</v>
      </c>
      <c r="BH3" s="5">
        <f t="shared" si="0"/>
        <v>46053</v>
      </c>
      <c r="BI3" s="5">
        <f t="shared" si="0"/>
        <v>46081</v>
      </c>
      <c r="BJ3" s="5">
        <f t="shared" si="0"/>
        <v>46112</v>
      </c>
      <c r="BK3" s="5">
        <f t="shared" si="0"/>
        <v>46142</v>
      </c>
      <c r="BL3" s="5">
        <f t="shared" si="0"/>
        <v>46173</v>
      </c>
      <c r="BM3" s="5">
        <f t="shared" si="0"/>
        <v>46203</v>
      </c>
      <c r="BN3" s="5">
        <f t="shared" si="0"/>
        <v>46234</v>
      </c>
      <c r="BO3" s="5">
        <f t="shared" si="0"/>
        <v>46265</v>
      </c>
      <c r="BP3" s="5">
        <f t="shared" si="0"/>
        <v>46295</v>
      </c>
      <c r="BQ3" s="5">
        <f t="shared" si="0"/>
        <v>46326</v>
      </c>
      <c r="BR3" s="5">
        <f t="shared" si="0"/>
        <v>46356</v>
      </c>
      <c r="BS3" s="5">
        <f t="shared" ref="BS3:BY3" si="1">EDATE(BR3+1,1)-1</f>
        <v>46387</v>
      </c>
      <c r="BT3" s="5">
        <f t="shared" si="1"/>
        <v>46418</v>
      </c>
      <c r="BU3" s="5">
        <f t="shared" si="1"/>
        <v>46446</v>
      </c>
      <c r="BV3" s="5">
        <f t="shared" si="1"/>
        <v>46477</v>
      </c>
      <c r="BW3" s="5">
        <f t="shared" si="1"/>
        <v>46507</v>
      </c>
      <c r="BX3" s="5">
        <f t="shared" si="1"/>
        <v>46538</v>
      </c>
      <c r="BY3" s="5">
        <f t="shared" si="1"/>
        <v>46568</v>
      </c>
      <c r="BZ3" s="5">
        <f t="shared" ref="BZ3" si="2">EDATE(BY3+1,1)-1</f>
        <v>46599</v>
      </c>
      <c r="CA3" s="5">
        <f t="shared" ref="CA3" si="3">EDATE(BZ3+1,1)-1</f>
        <v>46630</v>
      </c>
      <c r="CB3" s="5">
        <f t="shared" ref="CB3" si="4">EDATE(CA3+1,1)-1</f>
        <v>46660</v>
      </c>
      <c r="CC3" s="5">
        <f t="shared" ref="CC3" si="5">EDATE(CB3+1,1)-1</f>
        <v>46691</v>
      </c>
      <c r="CD3" s="5">
        <f t="shared" ref="CD3" si="6">EDATE(CC3+1,1)-1</f>
        <v>46721</v>
      </c>
      <c r="CE3" s="5">
        <f t="shared" ref="CE3" si="7">EDATE(CD3+1,1)-1</f>
        <v>46752</v>
      </c>
      <c r="CF3" s="5">
        <f t="shared" ref="CF3" si="8">EDATE(CE3+1,1)-1</f>
        <v>46783</v>
      </c>
      <c r="CG3" s="5">
        <f t="shared" ref="CG3" si="9">EDATE(CF3+1,1)-1</f>
        <v>46812</v>
      </c>
      <c r="CH3" s="5">
        <f t="shared" ref="CH3" si="10">EDATE(CG3+1,1)-1</f>
        <v>46843</v>
      </c>
      <c r="CI3" s="5">
        <f t="shared" ref="CI3" si="11">EDATE(CH3+1,1)-1</f>
        <v>46873</v>
      </c>
      <c r="CJ3" s="5">
        <f t="shared" ref="CJ3" si="12">EDATE(CI3+1,1)-1</f>
        <v>46904</v>
      </c>
      <c r="CK3" s="5">
        <f t="shared" ref="CK3" si="13">EDATE(CJ3+1,1)-1</f>
        <v>46934</v>
      </c>
      <c r="CL3" s="5">
        <f t="shared" ref="CL3" si="14">EDATE(CK3+1,1)-1</f>
        <v>46965</v>
      </c>
      <c r="CM3" s="5">
        <f t="shared" ref="CM3" si="15">EDATE(CL3+1,1)-1</f>
        <v>46996</v>
      </c>
      <c r="CN3" s="5">
        <f t="shared" ref="CN3" si="16">EDATE(CM3+1,1)-1</f>
        <v>47026</v>
      </c>
      <c r="CO3" s="5">
        <f t="shared" ref="CO3" si="17">EDATE(CN3+1,1)-1</f>
        <v>47057</v>
      </c>
      <c r="CP3" s="5">
        <f t="shared" ref="CP3" si="18">EDATE(CO3+1,1)-1</f>
        <v>47087</v>
      </c>
      <c r="CQ3" s="5">
        <f t="shared" ref="CQ3" si="19">EDATE(CP3+1,1)-1</f>
        <v>47118</v>
      </c>
      <c r="CR3" s="5">
        <f t="shared" ref="CR3" si="20">EDATE(CQ3+1,1)-1</f>
        <v>47149</v>
      </c>
      <c r="CS3" s="5">
        <f t="shared" ref="CS3" si="21">EDATE(CR3+1,1)-1</f>
        <v>47177</v>
      </c>
      <c r="CT3" s="5">
        <f t="shared" ref="CT3" si="22">EDATE(CS3+1,1)-1</f>
        <v>47208</v>
      </c>
      <c r="CU3" s="5">
        <f t="shared" ref="CU3" si="23">EDATE(CT3+1,1)-1</f>
        <v>47238</v>
      </c>
      <c r="CV3" s="5">
        <f t="shared" ref="CV3" si="24">EDATE(CU3+1,1)-1</f>
        <v>47269</v>
      </c>
      <c r="CW3" s="5">
        <f t="shared" ref="CW3" si="25">EDATE(CV3+1,1)-1</f>
        <v>47299</v>
      </c>
      <c r="CX3" s="5">
        <f t="shared" ref="CX3" si="26">EDATE(CW3+1,1)-1</f>
        <v>47330</v>
      </c>
      <c r="CY3" s="5">
        <f t="shared" ref="CY3" si="27">EDATE(CX3+1,1)-1</f>
        <v>47361</v>
      </c>
      <c r="CZ3" s="5">
        <f t="shared" ref="CZ3" si="28">EDATE(CY3+1,1)-1</f>
        <v>47391</v>
      </c>
      <c r="DA3" s="5">
        <f t="shared" ref="DA3" si="29">EDATE(CZ3+1,1)-1</f>
        <v>47422</v>
      </c>
      <c r="DB3" s="5">
        <f t="shared" ref="DB3" si="30">EDATE(DA3+1,1)-1</f>
        <v>47452</v>
      </c>
      <c r="DC3" s="5">
        <f t="shared" ref="DC3" si="31">EDATE(DB3+1,1)-1</f>
        <v>47483</v>
      </c>
      <c r="DD3" s="5">
        <f t="shared" ref="DD3" si="32">EDATE(DC3+1,1)-1</f>
        <v>47514</v>
      </c>
      <c r="DE3" s="5">
        <f t="shared" ref="DE3" si="33">EDATE(DD3+1,1)-1</f>
        <v>47542</v>
      </c>
      <c r="DF3" s="5">
        <f t="shared" ref="DF3" si="34">EDATE(DE3+1,1)-1</f>
        <v>47573</v>
      </c>
      <c r="DG3" s="5">
        <f t="shared" ref="DG3" si="35">EDATE(DF3+1,1)-1</f>
        <v>47603</v>
      </c>
      <c r="DH3" s="5">
        <f t="shared" ref="DH3" si="36">EDATE(DG3+1,1)-1</f>
        <v>47634</v>
      </c>
      <c r="DI3" s="5">
        <f t="shared" ref="DI3" si="37">EDATE(DH3+1,1)-1</f>
        <v>47664</v>
      </c>
      <c r="DJ3" s="5"/>
      <c r="DK3" s="5"/>
      <c r="DL3" s="5"/>
      <c r="DM3" s="5"/>
      <c r="DN3" s="5"/>
    </row>
    <row r="5" spans="2:118" x14ac:dyDescent="0.3">
      <c r="B5" s="48" t="s">
        <v>137</v>
      </c>
      <c r="C5" s="42"/>
      <c r="D5" s="42"/>
      <c r="E5" s="43">
        <f>E6</f>
        <v>354010</v>
      </c>
      <c r="F5" s="43">
        <f t="shared" ref="F5:J5" si="38">F6</f>
        <v>352937.5</v>
      </c>
      <c r="G5" s="43">
        <f t="shared" si="38"/>
        <v>351875</v>
      </c>
      <c r="H5" s="43">
        <f t="shared" si="38"/>
        <v>350812.5</v>
      </c>
      <c r="I5" s="43">
        <f t="shared" si="38"/>
        <v>349750</v>
      </c>
      <c r="J5" s="43">
        <f t="shared" si="38"/>
        <v>348687.5</v>
      </c>
      <c r="K5" s="43">
        <f t="shared" ref="K5" si="39">K6</f>
        <v>347625</v>
      </c>
      <c r="L5" s="43">
        <f t="shared" ref="L5" si="40">L6</f>
        <v>346562.5</v>
      </c>
      <c r="M5" s="43">
        <f t="shared" ref="M5" si="41">M6</f>
        <v>345500</v>
      </c>
      <c r="N5" s="43">
        <f t="shared" ref="N5" si="42">N6</f>
        <v>344437.5</v>
      </c>
      <c r="O5" s="43">
        <f t="shared" ref="O5" si="43">O6</f>
        <v>343375</v>
      </c>
      <c r="P5" s="43">
        <f t="shared" ref="P5" si="44">P6</f>
        <v>342312.5</v>
      </c>
      <c r="Q5" s="43">
        <f t="shared" ref="Q5" si="45">Q6</f>
        <v>341250</v>
      </c>
      <c r="R5" s="43">
        <f t="shared" ref="R5" si="46">R6</f>
        <v>340520.83333333331</v>
      </c>
      <c r="S5" s="43">
        <f t="shared" ref="S5" si="47">S6</f>
        <v>339791.66666666669</v>
      </c>
      <c r="T5" s="43">
        <f t="shared" ref="T5" si="48">T6</f>
        <v>339062.5</v>
      </c>
      <c r="U5" s="43">
        <f t="shared" ref="U5" si="49">U6</f>
        <v>338333.33333333331</v>
      </c>
      <c r="V5" s="43">
        <f t="shared" ref="V5" si="50">V6</f>
        <v>337604.16666666669</v>
      </c>
      <c r="W5" s="43">
        <f t="shared" ref="W5" si="51">W6</f>
        <v>336875</v>
      </c>
      <c r="X5" s="43">
        <f t="shared" ref="X5" si="52">X6</f>
        <v>336145.83333333331</v>
      </c>
      <c r="Y5" s="43">
        <f t="shared" ref="Y5" si="53">Y6</f>
        <v>335416.66666666669</v>
      </c>
      <c r="Z5" s="43">
        <f t="shared" ref="Z5" si="54">Z6</f>
        <v>334687.5</v>
      </c>
      <c r="AA5" s="43">
        <f t="shared" ref="AA5" si="55">AA6</f>
        <v>333958.33333333331</v>
      </c>
      <c r="AB5" s="43">
        <f t="shared" ref="AB5" si="56">AB6</f>
        <v>333229.16666666669</v>
      </c>
      <c r="AC5" s="43">
        <f t="shared" ref="AC5" si="57">AC6</f>
        <v>332500</v>
      </c>
      <c r="AD5" s="43">
        <f t="shared" ref="AD5" si="58">AD6</f>
        <v>331770.83333333331</v>
      </c>
      <c r="AE5" s="43">
        <f t="shared" ref="AE5" si="59">AE6</f>
        <v>331041.66666666669</v>
      </c>
      <c r="AF5" s="43">
        <f t="shared" ref="AF5" si="60">AF6</f>
        <v>330312.5</v>
      </c>
      <c r="AG5" s="43">
        <f t="shared" ref="AG5" si="61">AG6</f>
        <v>329583.33333333331</v>
      </c>
      <c r="AH5" s="43">
        <f t="shared" ref="AH5" si="62">AH6</f>
        <v>328854.16666666669</v>
      </c>
      <c r="AI5" s="43">
        <f t="shared" ref="AI5" si="63">AI6</f>
        <v>328125</v>
      </c>
      <c r="AJ5" s="43">
        <f t="shared" ref="AJ5" si="64">AJ6</f>
        <v>327395.83333333331</v>
      </c>
      <c r="AK5" s="43">
        <f t="shared" ref="AK5" si="65">AK6</f>
        <v>326666.66666666669</v>
      </c>
      <c r="AL5" s="43">
        <f t="shared" ref="AL5" si="66">AL6</f>
        <v>325937.5</v>
      </c>
      <c r="AM5" s="43">
        <f t="shared" ref="AM5" si="67">AM6</f>
        <v>325208.33333333331</v>
      </c>
      <c r="AN5" s="43">
        <f t="shared" ref="AN5" si="68">AN6</f>
        <v>324479.16666666663</v>
      </c>
      <c r="AO5" s="43">
        <f t="shared" ref="AO5" si="69">AO6</f>
        <v>323750</v>
      </c>
      <c r="AP5" s="43">
        <f t="shared" ref="AP5" si="70">AP6</f>
        <v>323020.83333333331</v>
      </c>
      <c r="AQ5" s="43">
        <f t="shared" ref="AQ5" si="71">AQ6</f>
        <v>322291.66666666663</v>
      </c>
      <c r="AR5" s="43">
        <f t="shared" ref="AR5" si="72">AR6</f>
        <v>321562.5</v>
      </c>
      <c r="AS5" s="43">
        <f t="shared" ref="AS5" si="73">AS6</f>
        <v>320833.33333333331</v>
      </c>
      <c r="AT5" s="43">
        <f t="shared" ref="AT5" si="74">AT6</f>
        <v>320104.16666666663</v>
      </c>
      <c r="AU5" s="43">
        <f t="shared" ref="AU5" si="75">AU6</f>
        <v>319375</v>
      </c>
      <c r="AV5" s="43">
        <f t="shared" ref="AV5" si="76">AV6</f>
        <v>318645.83333333331</v>
      </c>
      <c r="AW5" s="43">
        <f t="shared" ref="AW5" si="77">AW6</f>
        <v>317916.66666666663</v>
      </c>
      <c r="AX5" s="43">
        <f t="shared" ref="AX5" si="78">AX6</f>
        <v>317187.5</v>
      </c>
      <c r="AY5" s="43">
        <f t="shared" ref="AY5" si="79">AY6</f>
        <v>316458.33333333331</v>
      </c>
      <c r="AZ5" s="43">
        <f t="shared" ref="AZ5" si="80">AZ6</f>
        <v>315729.16666666663</v>
      </c>
      <c r="BA5" s="43">
        <f t="shared" ref="BA5" si="81">BA6</f>
        <v>315000</v>
      </c>
      <c r="BB5" s="43">
        <f t="shared" ref="BB5" si="82">BB6</f>
        <v>314270.83333333331</v>
      </c>
      <c r="BC5" s="43">
        <f t="shared" ref="BC5" si="83">BC6</f>
        <v>313541.66666666663</v>
      </c>
      <c r="BD5" s="43">
        <f t="shared" ref="BD5" si="84">BD6</f>
        <v>312812.5</v>
      </c>
      <c r="BE5" s="43">
        <f t="shared" ref="BE5" si="85">BE6</f>
        <v>312083.33333333331</v>
      </c>
      <c r="BF5" s="43">
        <f t="shared" ref="BF5" si="86">BF6</f>
        <v>311354.16666666669</v>
      </c>
      <c r="BG5" s="43">
        <f t="shared" ref="BG5" si="87">BG6</f>
        <v>310625</v>
      </c>
      <c r="BH5" s="43">
        <f t="shared" ref="BH5" si="88">BH6</f>
        <v>309895.83333333331</v>
      </c>
      <c r="BI5" s="43">
        <f t="shared" ref="BI5" si="89">BI6</f>
        <v>309166.66666666669</v>
      </c>
      <c r="BJ5" s="43">
        <f t="shared" ref="BJ5" si="90">BJ6</f>
        <v>308437.5</v>
      </c>
      <c r="BK5" s="43">
        <f t="shared" ref="BK5" si="91">BK6</f>
        <v>307708.33333333337</v>
      </c>
      <c r="BL5" s="43">
        <f t="shared" ref="BL5" si="92">BL6</f>
        <v>306979.16666666669</v>
      </c>
      <c r="BM5" s="43">
        <f t="shared" ref="BM5" si="93">BM6</f>
        <v>306250</v>
      </c>
      <c r="BN5" s="43">
        <f t="shared" ref="BN5" si="94">BN6</f>
        <v>305520.83333333337</v>
      </c>
      <c r="BO5" s="43">
        <f t="shared" ref="BO5" si="95">BO6</f>
        <v>304791.66666666669</v>
      </c>
      <c r="BP5" s="43">
        <f t="shared" ref="BP5" si="96">BP6</f>
        <v>304062.5</v>
      </c>
      <c r="BQ5" s="43">
        <f t="shared" ref="BQ5" si="97">BQ6</f>
        <v>303333.33333333337</v>
      </c>
      <c r="BR5" s="43">
        <f t="shared" ref="BR5" si="98">BR6</f>
        <v>302604.16666666669</v>
      </c>
      <c r="BS5" s="43">
        <f t="shared" ref="BS5" si="99">BS6</f>
        <v>301875</v>
      </c>
      <c r="BT5" s="43">
        <f t="shared" ref="BT5" si="100">BT6</f>
        <v>301145.83333333337</v>
      </c>
      <c r="BU5" s="43">
        <f t="shared" ref="BU5" si="101">BU6</f>
        <v>300416.66666666669</v>
      </c>
      <c r="BV5" s="43">
        <f t="shared" ref="BV5" si="102">BV6</f>
        <v>299687.50000000006</v>
      </c>
      <c r="BW5" s="43">
        <f t="shared" ref="BW5" si="103">BW6</f>
        <v>298958.33333333337</v>
      </c>
      <c r="BX5" s="43">
        <f t="shared" ref="BX5" si="104">BX6</f>
        <v>298229.16666666669</v>
      </c>
      <c r="BY5" s="43">
        <f t="shared" ref="BY5:DI5" si="105">BY6</f>
        <v>297500.00000000006</v>
      </c>
      <c r="BZ5" s="43">
        <f t="shared" si="105"/>
        <v>296770.83333333337</v>
      </c>
      <c r="CA5" s="43">
        <f t="shared" si="105"/>
        <v>296041.66666666674</v>
      </c>
      <c r="CB5" s="43">
        <f t="shared" si="105"/>
        <v>295312.50000000006</v>
      </c>
      <c r="CC5" s="43">
        <f t="shared" si="105"/>
        <v>294583.33333333337</v>
      </c>
      <c r="CD5" s="43">
        <f t="shared" si="105"/>
        <v>293854.16666666674</v>
      </c>
      <c r="CE5" s="43">
        <f t="shared" si="105"/>
        <v>293125.00000000006</v>
      </c>
      <c r="CF5" s="43">
        <f t="shared" si="105"/>
        <v>292395.83333333337</v>
      </c>
      <c r="CG5" s="43">
        <f t="shared" si="105"/>
        <v>291666.66666666674</v>
      </c>
      <c r="CH5" s="43">
        <f t="shared" si="105"/>
        <v>290937.50000000006</v>
      </c>
      <c r="CI5" s="43">
        <f t="shared" si="105"/>
        <v>290208.33333333337</v>
      </c>
      <c r="CJ5" s="43">
        <f t="shared" si="105"/>
        <v>289479.16666666674</v>
      </c>
      <c r="CK5" s="43">
        <f t="shared" si="105"/>
        <v>288750.00000000006</v>
      </c>
      <c r="CL5" s="43">
        <f t="shared" si="105"/>
        <v>288020.83333333337</v>
      </c>
      <c r="CM5" s="43">
        <f t="shared" si="105"/>
        <v>287291.66666666674</v>
      </c>
      <c r="CN5" s="43">
        <f t="shared" si="105"/>
        <v>286562.50000000006</v>
      </c>
      <c r="CO5" s="43">
        <f t="shared" si="105"/>
        <v>285833.33333333343</v>
      </c>
      <c r="CP5" s="43">
        <f t="shared" si="105"/>
        <v>285104.16666666674</v>
      </c>
      <c r="CQ5" s="43">
        <f t="shared" si="105"/>
        <v>284375.00000000012</v>
      </c>
      <c r="CR5" s="43">
        <f t="shared" si="105"/>
        <v>283645.83333333343</v>
      </c>
      <c r="CS5" s="43">
        <f t="shared" si="105"/>
        <v>282916.66666666674</v>
      </c>
      <c r="CT5" s="43">
        <f t="shared" si="105"/>
        <v>282187.50000000006</v>
      </c>
      <c r="CU5" s="43">
        <f t="shared" si="105"/>
        <v>281458.33333333337</v>
      </c>
      <c r="CV5" s="43">
        <f t="shared" si="105"/>
        <v>280729.16666666674</v>
      </c>
      <c r="CW5" s="43">
        <f t="shared" si="105"/>
        <v>280000.00000000006</v>
      </c>
      <c r="CX5" s="43">
        <f t="shared" si="105"/>
        <v>279270.83333333337</v>
      </c>
      <c r="CY5" s="43">
        <f t="shared" si="105"/>
        <v>278541.66666666674</v>
      </c>
      <c r="CZ5" s="43">
        <f t="shared" si="105"/>
        <v>277812.50000000006</v>
      </c>
      <c r="DA5" s="43">
        <f t="shared" si="105"/>
        <v>277083.33333333337</v>
      </c>
      <c r="DB5" s="43">
        <f t="shared" si="105"/>
        <v>276354.16666666669</v>
      </c>
      <c r="DC5" s="43">
        <f t="shared" si="105"/>
        <v>275625</v>
      </c>
      <c r="DD5" s="43">
        <f t="shared" si="105"/>
        <v>274895.83333333337</v>
      </c>
      <c r="DE5" s="43">
        <f t="shared" si="105"/>
        <v>274166.66666666669</v>
      </c>
      <c r="DF5" s="43">
        <f t="shared" si="105"/>
        <v>273437.5</v>
      </c>
      <c r="DG5" s="43">
        <f t="shared" si="105"/>
        <v>272708.33333333337</v>
      </c>
      <c r="DH5" s="43">
        <f t="shared" si="105"/>
        <v>271979.16666666669</v>
      </c>
      <c r="DI5" s="43">
        <f t="shared" si="105"/>
        <v>271250</v>
      </c>
      <c r="DJ5" s="43"/>
      <c r="DK5" s="43"/>
      <c r="DL5" s="43"/>
      <c r="DM5" s="43"/>
      <c r="DN5" s="43"/>
    </row>
    <row r="6" spans="2:118" x14ac:dyDescent="0.3">
      <c r="B6" s="49" t="s">
        <v>6</v>
      </c>
      <c r="D6" s="27"/>
      <c r="E6" s="27">
        <f t="shared" ref="E6:AJ6" si="106">Building+Equipment+Furniture-AccumulatedDeprication</f>
        <v>354010</v>
      </c>
      <c r="F6" s="27">
        <f t="shared" si="106"/>
        <v>352937.5</v>
      </c>
      <c r="G6" s="27">
        <f t="shared" si="106"/>
        <v>351875</v>
      </c>
      <c r="H6" s="27">
        <f t="shared" si="106"/>
        <v>350812.5</v>
      </c>
      <c r="I6" s="27">
        <f t="shared" si="106"/>
        <v>349750</v>
      </c>
      <c r="J6" s="27">
        <f t="shared" si="106"/>
        <v>348687.5</v>
      </c>
      <c r="K6" s="27">
        <f t="shared" si="106"/>
        <v>347625</v>
      </c>
      <c r="L6" s="27">
        <f t="shared" si="106"/>
        <v>346562.5</v>
      </c>
      <c r="M6" s="27">
        <f t="shared" si="106"/>
        <v>345500</v>
      </c>
      <c r="N6" s="27">
        <f t="shared" si="106"/>
        <v>344437.5</v>
      </c>
      <c r="O6" s="27">
        <f t="shared" si="106"/>
        <v>343375</v>
      </c>
      <c r="P6" s="27">
        <f t="shared" si="106"/>
        <v>342312.5</v>
      </c>
      <c r="Q6" s="27">
        <f t="shared" si="106"/>
        <v>341250</v>
      </c>
      <c r="R6" s="27">
        <f t="shared" si="106"/>
        <v>340520.83333333331</v>
      </c>
      <c r="S6" s="27">
        <f t="shared" si="106"/>
        <v>339791.66666666669</v>
      </c>
      <c r="T6" s="27">
        <f t="shared" si="106"/>
        <v>339062.5</v>
      </c>
      <c r="U6" s="27">
        <f t="shared" si="106"/>
        <v>338333.33333333331</v>
      </c>
      <c r="V6" s="27">
        <f t="shared" si="106"/>
        <v>337604.16666666669</v>
      </c>
      <c r="W6" s="27">
        <f t="shared" si="106"/>
        <v>336875</v>
      </c>
      <c r="X6" s="27">
        <f t="shared" si="106"/>
        <v>336145.83333333331</v>
      </c>
      <c r="Y6" s="27">
        <f t="shared" si="106"/>
        <v>335416.66666666669</v>
      </c>
      <c r="Z6" s="27">
        <f t="shared" si="106"/>
        <v>334687.5</v>
      </c>
      <c r="AA6" s="27">
        <f t="shared" si="106"/>
        <v>333958.33333333331</v>
      </c>
      <c r="AB6" s="27">
        <f t="shared" si="106"/>
        <v>333229.16666666669</v>
      </c>
      <c r="AC6" s="27">
        <f t="shared" si="106"/>
        <v>332500</v>
      </c>
      <c r="AD6" s="27">
        <f t="shared" si="106"/>
        <v>331770.83333333331</v>
      </c>
      <c r="AE6" s="27">
        <f t="shared" si="106"/>
        <v>331041.66666666669</v>
      </c>
      <c r="AF6" s="27">
        <f t="shared" si="106"/>
        <v>330312.5</v>
      </c>
      <c r="AG6" s="27">
        <f t="shared" si="106"/>
        <v>329583.33333333331</v>
      </c>
      <c r="AH6" s="27">
        <f t="shared" si="106"/>
        <v>328854.16666666669</v>
      </c>
      <c r="AI6" s="27">
        <f t="shared" si="106"/>
        <v>328125</v>
      </c>
      <c r="AJ6" s="27">
        <f t="shared" si="106"/>
        <v>327395.83333333331</v>
      </c>
      <c r="AK6" s="27">
        <f t="shared" ref="AK6:BP6" si="107">Building+Equipment+Furniture-AccumulatedDeprication</f>
        <v>326666.66666666669</v>
      </c>
      <c r="AL6" s="27">
        <f t="shared" si="107"/>
        <v>325937.5</v>
      </c>
      <c r="AM6" s="27">
        <f t="shared" si="107"/>
        <v>325208.33333333331</v>
      </c>
      <c r="AN6" s="27">
        <f t="shared" si="107"/>
        <v>324479.16666666663</v>
      </c>
      <c r="AO6" s="27">
        <f t="shared" si="107"/>
        <v>323750</v>
      </c>
      <c r="AP6" s="27">
        <f t="shared" si="107"/>
        <v>323020.83333333331</v>
      </c>
      <c r="AQ6" s="27">
        <f t="shared" si="107"/>
        <v>322291.66666666663</v>
      </c>
      <c r="AR6" s="27">
        <f t="shared" si="107"/>
        <v>321562.5</v>
      </c>
      <c r="AS6" s="27">
        <f t="shared" si="107"/>
        <v>320833.33333333331</v>
      </c>
      <c r="AT6" s="27">
        <f t="shared" si="107"/>
        <v>320104.16666666663</v>
      </c>
      <c r="AU6" s="27">
        <f t="shared" si="107"/>
        <v>319375</v>
      </c>
      <c r="AV6" s="27">
        <f t="shared" si="107"/>
        <v>318645.83333333331</v>
      </c>
      <c r="AW6" s="27">
        <f t="shared" si="107"/>
        <v>317916.66666666663</v>
      </c>
      <c r="AX6" s="27">
        <f t="shared" si="107"/>
        <v>317187.5</v>
      </c>
      <c r="AY6" s="27">
        <f t="shared" si="107"/>
        <v>316458.33333333331</v>
      </c>
      <c r="AZ6" s="27">
        <f t="shared" si="107"/>
        <v>315729.16666666663</v>
      </c>
      <c r="BA6" s="27">
        <f t="shared" si="107"/>
        <v>315000</v>
      </c>
      <c r="BB6" s="27">
        <f t="shared" si="107"/>
        <v>314270.83333333331</v>
      </c>
      <c r="BC6" s="27">
        <f t="shared" si="107"/>
        <v>313541.66666666663</v>
      </c>
      <c r="BD6" s="27">
        <f t="shared" si="107"/>
        <v>312812.5</v>
      </c>
      <c r="BE6" s="27">
        <f t="shared" si="107"/>
        <v>312083.33333333331</v>
      </c>
      <c r="BF6" s="27">
        <f t="shared" si="107"/>
        <v>311354.16666666669</v>
      </c>
      <c r="BG6" s="27">
        <f t="shared" si="107"/>
        <v>310625</v>
      </c>
      <c r="BH6" s="27">
        <f t="shared" si="107"/>
        <v>309895.83333333331</v>
      </c>
      <c r="BI6" s="27">
        <f t="shared" si="107"/>
        <v>309166.66666666669</v>
      </c>
      <c r="BJ6" s="27">
        <f t="shared" si="107"/>
        <v>308437.5</v>
      </c>
      <c r="BK6" s="27">
        <f t="shared" si="107"/>
        <v>307708.33333333337</v>
      </c>
      <c r="BL6" s="27">
        <f t="shared" si="107"/>
        <v>306979.16666666669</v>
      </c>
      <c r="BM6" s="27">
        <f t="shared" si="107"/>
        <v>306250</v>
      </c>
      <c r="BN6" s="27">
        <f t="shared" si="107"/>
        <v>305520.83333333337</v>
      </c>
      <c r="BO6" s="27">
        <f t="shared" si="107"/>
        <v>304791.66666666669</v>
      </c>
      <c r="BP6" s="27">
        <f t="shared" si="107"/>
        <v>304062.5</v>
      </c>
      <c r="BQ6" s="27">
        <f t="shared" ref="BQ6:DI6" si="108">Building+Equipment+Furniture-AccumulatedDeprication</f>
        <v>303333.33333333337</v>
      </c>
      <c r="BR6" s="27">
        <f t="shared" si="108"/>
        <v>302604.16666666669</v>
      </c>
      <c r="BS6" s="27">
        <f t="shared" si="108"/>
        <v>301875</v>
      </c>
      <c r="BT6" s="27">
        <f t="shared" si="108"/>
        <v>301145.83333333337</v>
      </c>
      <c r="BU6" s="27">
        <f t="shared" si="108"/>
        <v>300416.66666666669</v>
      </c>
      <c r="BV6" s="27">
        <f t="shared" si="108"/>
        <v>299687.50000000006</v>
      </c>
      <c r="BW6" s="27">
        <f t="shared" si="108"/>
        <v>298958.33333333337</v>
      </c>
      <c r="BX6" s="27">
        <f t="shared" si="108"/>
        <v>298229.16666666669</v>
      </c>
      <c r="BY6" s="27">
        <f t="shared" si="108"/>
        <v>297500.00000000006</v>
      </c>
      <c r="BZ6" s="27">
        <f t="shared" si="108"/>
        <v>296770.83333333337</v>
      </c>
      <c r="CA6" s="27">
        <f t="shared" si="108"/>
        <v>296041.66666666674</v>
      </c>
      <c r="CB6" s="27">
        <f t="shared" si="108"/>
        <v>295312.50000000006</v>
      </c>
      <c r="CC6" s="27">
        <f t="shared" si="108"/>
        <v>294583.33333333337</v>
      </c>
      <c r="CD6" s="27">
        <f t="shared" si="108"/>
        <v>293854.16666666674</v>
      </c>
      <c r="CE6" s="27">
        <f t="shared" si="108"/>
        <v>293125.00000000006</v>
      </c>
      <c r="CF6" s="27">
        <f t="shared" si="108"/>
        <v>292395.83333333337</v>
      </c>
      <c r="CG6" s="27">
        <f t="shared" si="108"/>
        <v>291666.66666666674</v>
      </c>
      <c r="CH6" s="27">
        <f t="shared" si="108"/>
        <v>290937.50000000006</v>
      </c>
      <c r="CI6" s="27">
        <f t="shared" si="108"/>
        <v>290208.33333333337</v>
      </c>
      <c r="CJ6" s="27">
        <f t="shared" si="108"/>
        <v>289479.16666666674</v>
      </c>
      <c r="CK6" s="27">
        <f t="shared" si="108"/>
        <v>288750.00000000006</v>
      </c>
      <c r="CL6" s="27">
        <f t="shared" si="108"/>
        <v>288020.83333333337</v>
      </c>
      <c r="CM6" s="27">
        <f t="shared" si="108"/>
        <v>287291.66666666674</v>
      </c>
      <c r="CN6" s="27">
        <f t="shared" si="108"/>
        <v>286562.50000000006</v>
      </c>
      <c r="CO6" s="27">
        <f t="shared" si="108"/>
        <v>285833.33333333343</v>
      </c>
      <c r="CP6" s="27">
        <f t="shared" si="108"/>
        <v>285104.16666666674</v>
      </c>
      <c r="CQ6" s="27">
        <f t="shared" si="108"/>
        <v>284375.00000000012</v>
      </c>
      <c r="CR6" s="27">
        <f t="shared" si="108"/>
        <v>283645.83333333343</v>
      </c>
      <c r="CS6" s="27">
        <f t="shared" si="108"/>
        <v>282916.66666666674</v>
      </c>
      <c r="CT6" s="27">
        <f t="shared" si="108"/>
        <v>282187.50000000006</v>
      </c>
      <c r="CU6" s="27">
        <f t="shared" si="108"/>
        <v>281458.33333333337</v>
      </c>
      <c r="CV6" s="27">
        <f t="shared" si="108"/>
        <v>280729.16666666674</v>
      </c>
      <c r="CW6" s="27">
        <f t="shared" si="108"/>
        <v>280000.00000000006</v>
      </c>
      <c r="CX6" s="27">
        <f t="shared" si="108"/>
        <v>279270.83333333337</v>
      </c>
      <c r="CY6" s="27">
        <f t="shared" si="108"/>
        <v>278541.66666666674</v>
      </c>
      <c r="CZ6" s="27">
        <f t="shared" si="108"/>
        <v>277812.50000000006</v>
      </c>
      <c r="DA6" s="27">
        <f t="shared" si="108"/>
        <v>277083.33333333337</v>
      </c>
      <c r="DB6" s="27">
        <f t="shared" si="108"/>
        <v>276354.16666666669</v>
      </c>
      <c r="DC6" s="27">
        <f t="shared" si="108"/>
        <v>275625</v>
      </c>
      <c r="DD6" s="27">
        <f t="shared" si="108"/>
        <v>274895.83333333337</v>
      </c>
      <c r="DE6" s="27">
        <f t="shared" si="108"/>
        <v>274166.66666666669</v>
      </c>
      <c r="DF6" s="27">
        <f t="shared" si="108"/>
        <v>273437.5</v>
      </c>
      <c r="DG6" s="27">
        <f t="shared" si="108"/>
        <v>272708.33333333337</v>
      </c>
      <c r="DH6" s="27">
        <f t="shared" si="108"/>
        <v>271979.16666666669</v>
      </c>
      <c r="DI6" s="27">
        <f t="shared" si="108"/>
        <v>271250</v>
      </c>
      <c r="DJ6" s="27"/>
      <c r="DK6" s="27"/>
      <c r="DL6" s="27"/>
      <c r="DM6" s="27"/>
      <c r="DN6" s="27"/>
    </row>
    <row r="7" spans="2:118" x14ac:dyDescent="0.3">
      <c r="B7" s="48" t="s">
        <v>138</v>
      </c>
      <c r="C7" s="42"/>
      <c r="D7" s="42"/>
      <c r="E7" s="43">
        <f>SUM(E8:E10)</f>
        <v>69</v>
      </c>
      <c r="F7" s="43">
        <f t="shared" ref="F7:J7" si="109">SUM(F8:F10)</f>
        <v>40725.973620040517</v>
      </c>
      <c r="G7" s="43">
        <f t="shared" si="109"/>
        <v>36440.324626225782</v>
      </c>
      <c r="H7" s="43">
        <f t="shared" si="109"/>
        <v>32605.777128221569</v>
      </c>
      <c r="I7" s="43">
        <f t="shared" si="109"/>
        <v>26240.427596963847</v>
      </c>
      <c r="J7" s="43">
        <f t="shared" si="109"/>
        <v>23318.50823529602</v>
      </c>
      <c r="K7" s="43">
        <f t="shared" ref="K7" si="110">SUM(K8:K10)</f>
        <v>20862.820240316294</v>
      </c>
      <c r="L7" s="43">
        <f t="shared" ref="L7" si="111">SUM(L8:L10)</f>
        <v>15890.074260347872</v>
      </c>
      <c r="M7" s="43">
        <f t="shared" ref="M7" si="112">SUM(M8:M10)</f>
        <v>14254.545603014645</v>
      </c>
      <c r="N7" s="43">
        <f t="shared" ref="N7" si="113">SUM(N8:N10)</f>
        <v>12994.623542125617</v>
      </c>
      <c r="O7" s="43">
        <f t="shared" ref="O7" si="114">SUM(O8:O10)</f>
        <v>9393.5998255385948</v>
      </c>
      <c r="P7" s="43">
        <f t="shared" ref="P7" si="115">SUM(P8:P10)</f>
        <v>8902.0169379647632</v>
      </c>
      <c r="Q7" s="43">
        <f t="shared" ref="Q7" si="116">SUM(Q8:Q10)</f>
        <v>8787.7271959140944</v>
      </c>
      <c r="R7" s="43">
        <f t="shared" ref="R7" si="117">SUM(R8:R10)</f>
        <v>7436.0183534504467</v>
      </c>
      <c r="S7" s="43">
        <f t="shared" ref="S7" si="118">SUM(S8:S10)</f>
        <v>8333.2302119172164</v>
      </c>
      <c r="T7" s="43">
        <f t="shared" ref="T7" si="119">SUM(T8:T10)</f>
        <v>9275.567221023317</v>
      </c>
      <c r="U7" s="43">
        <f t="shared" ref="U7" si="120">SUM(U8:U10)</f>
        <v>7387.2983801772662</v>
      </c>
      <c r="V7" s="43">
        <f t="shared" ref="V7" si="121">SUM(V8:V10)</f>
        <v>7930.8115224283074</v>
      </c>
      <c r="W7" s="43">
        <f t="shared" ref="W7" si="122">SUM(W8:W10)</f>
        <v>8513.3191529312971</v>
      </c>
      <c r="X7" s="43">
        <f t="shared" ref="X7" si="123">SUM(X8:X10)</f>
        <v>6742.0342086737401</v>
      </c>
      <c r="Y7" s="43">
        <f t="shared" ref="Y7" si="124">SUM(Y8:Y10)</f>
        <v>7402.9211938352346</v>
      </c>
      <c r="Z7" s="43">
        <f t="shared" ref="Z7" si="125">SUM(Z8:Z10)</f>
        <v>8103.193913391714</v>
      </c>
      <c r="AA7" s="43">
        <f t="shared" ref="AA7" si="126">SUM(AA8:AA10)</f>
        <v>6450.0666084844925</v>
      </c>
      <c r="AB7" s="43">
        <f t="shared" ref="AB7" si="127">SUM(AB8:AB10)</f>
        <v>7229.5050917941599</v>
      </c>
      <c r="AC7" s="43">
        <f t="shared" ref="AC7" si="128">SUM(AC8:AC10)</f>
        <v>8048.7244811593027</v>
      </c>
      <c r="AD7" s="43">
        <f t="shared" ref="AD7" si="129">SUM(AD8:AD10)</f>
        <v>6514.9403349601107</v>
      </c>
      <c r="AE7" s="43">
        <f t="shared" ref="AE7" si="130">SUM(AE8:AE10)</f>
        <v>7414.1197875068283</v>
      </c>
      <c r="AF7" s="43">
        <f t="shared" ref="AF7" si="131">SUM(AF8:AF10)</f>
        <v>8353.4792826731464</v>
      </c>
      <c r="AG7" s="43">
        <f t="shared" ref="AG7" si="132">SUM(AG8:AG10)</f>
        <v>6940.2357092944658</v>
      </c>
      <c r="AH7" s="43">
        <f t="shared" ref="AH7" si="133">SUM(AH8:AH10)</f>
        <v>7960.3575365710976</v>
      </c>
      <c r="AI7" s="43">
        <f t="shared" ref="AI7" si="134">SUM(AI8:AI10)</f>
        <v>9021.0625477164285</v>
      </c>
      <c r="AJ7" s="43">
        <f t="shared" ref="AJ7" si="135">SUM(AJ8:AJ10)</f>
        <v>7729.5689753700253</v>
      </c>
      <c r="AK7" s="43">
        <f t="shared" ref="AK7" si="136">SUM(AK8:AK10)</f>
        <v>8871.846637015713</v>
      </c>
      <c r="AL7" s="43">
        <f t="shared" ref="AL7" si="137">SUM(AL8:AL10)</f>
        <v>10055.114668644663</v>
      </c>
      <c r="AM7" s="43">
        <f t="shared" ref="AM7" si="138">SUM(AM8:AM10)</f>
        <v>8886.5926601834908</v>
      </c>
      <c r="AN7" s="43">
        <f t="shared" ref="AN7" si="139">SUM(AN8:AN10)</f>
        <v>10152.251790927357</v>
      </c>
      <c r="AO7" s="43">
        <f t="shared" ref="AO7" si="140">SUM(AO8:AO10)</f>
        <v>11459.312563218145</v>
      </c>
      <c r="AP7" s="43">
        <f t="shared" ref="AP7" si="141">SUM(AP8:AP10)</f>
        <v>10414.995937887685</v>
      </c>
      <c r="AQ7" s="43">
        <f t="shared" ref="AQ7" si="142">SUM(AQ8:AQ10)</f>
        <v>11805.274469706033</v>
      </c>
      <c r="AR7" s="43">
        <f t="shared" ref="AR7" si="143">SUM(AR8:AR10)</f>
        <v>13237.370041074886</v>
      </c>
      <c r="AS7" s="43">
        <f t="shared" ref="AS7" si="144">SUM(AS8:AS10)</f>
        <v>12318.504997486079</v>
      </c>
      <c r="AT7" s="43">
        <f t="shared" ref="AT7" si="145">SUM(AT8:AT10)</f>
        <v>13834.653282985222</v>
      </c>
      <c r="AU7" s="43">
        <f t="shared" ref="AU7" si="146">SUM(AU8:AU10)</f>
        <v>15393.038173880475</v>
      </c>
      <c r="AV7" s="43">
        <f t="shared" ref="AV7" si="147">SUM(AV8:AV10)</f>
        <v>14600.883414216487</v>
      </c>
      <c r="AW7" s="43">
        <f t="shared" ref="AW7" si="148">SUM(AW8:AW10)</f>
        <v>16244.164351253532</v>
      </c>
      <c r="AX7" s="43">
        <f t="shared" ref="AX7" si="149">SUM(AX8:AX10)</f>
        <v>17930.105669191813</v>
      </c>
      <c r="AY7" s="43">
        <f t="shared" ref="AY7" si="150">SUM(AY8:AY10)</f>
        <v>17265.932524660995</v>
      </c>
      <c r="AZ7" s="43">
        <f t="shared" ref="AZ7" si="151">SUM(AZ8:AZ10)</f>
        <v>19037.621682214987</v>
      </c>
      <c r="BA7" s="43">
        <f t="shared" ref="BA7" si="152">SUM(BA8:BA10)</f>
        <v>20852.399248071939</v>
      </c>
      <c r="BB7" s="43">
        <f t="shared" ref="BB7" si="153">SUM(BB8:BB10)</f>
        <v>20317.49180561952</v>
      </c>
      <c r="BC7" s="43">
        <f t="shared" ref="BC7" si="154">SUM(BC8:BC10)</f>
        <v>22218.87755092551</v>
      </c>
      <c r="BD7" s="43">
        <f t="shared" ref="BD7" si="155">SUM(BD8:BD10)</f>
        <v>24163.784026493631</v>
      </c>
      <c r="BE7" s="43">
        <f t="shared" ref="BE7" si="156">SUM(BE8:BE10)</f>
        <v>23759.439256784757</v>
      </c>
      <c r="BF7" s="43">
        <f t="shared" ref="BF7" si="157">SUM(BF8:BF10)</f>
        <v>25791.822883743433</v>
      </c>
      <c r="BG7" s="43">
        <f t="shared" ref="BG7" si="158">SUM(BG8:BG10)</f>
        <v>27868.163900569747</v>
      </c>
      <c r="BH7" s="43">
        <f t="shared" ref="BH7" si="159">SUM(BH8:BH10)</f>
        <v>27595.691787256594</v>
      </c>
      <c r="BI7" s="43">
        <f t="shared" ref="BI7" si="160">SUM(BI8:BI10)</f>
        <v>29760.387646132309</v>
      </c>
      <c r="BJ7" s="43">
        <f t="shared" ref="BJ7" si="161">SUM(BJ8:BJ10)</f>
        <v>31969.481935648721</v>
      </c>
      <c r="BK7" s="43">
        <f t="shared" ref="BK7" si="162">SUM(BK8:BK10)</f>
        <v>31830.205605934632</v>
      </c>
      <c r="BL7" s="43">
        <f t="shared" ref="BL7" si="163">SUM(BL8:BL10)</f>
        <v>34128.541234354743</v>
      </c>
      <c r="BM7" s="43">
        <f t="shared" ref="BM7" si="164">SUM(BM8:BM10)</f>
        <v>36471.720759314034</v>
      </c>
      <c r="BN7" s="43">
        <f t="shared" ref="BN7" si="165">SUM(BN8:BN10)</f>
        <v>36466.976615827632</v>
      </c>
      <c r="BO7" s="43">
        <f t="shared" ref="BO7" si="166">SUM(BO8:BO10)</f>
        <v>39880.458307758898</v>
      </c>
      <c r="BP7" s="43">
        <f t="shared" ref="BP7" si="167">SUM(BP8:BP10)</f>
        <v>47266.275694343669</v>
      </c>
      <c r="BQ7" s="43">
        <f t="shared" ref="BQ7" si="168">SUM(BQ8:BQ10)</f>
        <v>52275.770744663991</v>
      </c>
      <c r="BR7" s="43">
        <f t="shared" ref="BR7" si="169">SUM(BR8:BR10)</f>
        <v>59702.371435496403</v>
      </c>
      <c r="BS7" s="43">
        <f t="shared" ref="BS7" si="170">SUM(BS8:BS10)</f>
        <v>67153.241350853816</v>
      </c>
      <c r="BT7" s="43">
        <f t="shared" ref="BT7" si="171">SUM(BT8:BT10)</f>
        <v>72235.544343511312</v>
      </c>
      <c r="BU7" s="43">
        <f t="shared" ref="BU7" si="172">SUM(BU8:BU10)</f>
        <v>79735.195669822031</v>
      </c>
      <c r="BV7" s="43">
        <f t="shared" ref="BV7" si="173">SUM(BV8:BV10)</f>
        <v>87259.359722776004</v>
      </c>
      <c r="BW7" s="43">
        <f t="shared" ref="BW7" si="174">SUM(BW8:BW10)</f>
        <v>92415.201166822037</v>
      </c>
      <c r="BX7" s="43">
        <f t="shared" ref="BX7" si="175">SUM(BX8:BX10)</f>
        <v>99988.636072692578</v>
      </c>
      <c r="BY7" s="43">
        <f t="shared" ref="BY7:DI7" si="176">SUM(BY8:BY10)</f>
        <v>107586.82965047158</v>
      </c>
      <c r="BZ7" s="43">
        <f t="shared" si="176"/>
        <v>112816.94738442541</v>
      </c>
      <c r="CA7" s="43">
        <f t="shared" si="176"/>
        <v>120464.90616783677</v>
      </c>
      <c r="CB7" s="43">
        <f t="shared" si="176"/>
        <v>128137.87203608172</v>
      </c>
      <c r="CC7" s="43">
        <f t="shared" si="176"/>
        <v>133443.01130146973</v>
      </c>
      <c r="CD7" s="43">
        <f t="shared" si="176"/>
        <v>141166.24168808671</v>
      </c>
      <c r="CE7" s="43">
        <f t="shared" si="176"/>
        <v>148914.7300648813</v>
      </c>
      <c r="CF7" s="43">
        <f t="shared" si="176"/>
        <v>154295.64358051409</v>
      </c>
      <c r="CG7" s="43">
        <f t="shared" si="176"/>
        <v>162094.90079821003</v>
      </c>
      <c r="CH7" s="43">
        <f t="shared" si="176"/>
        <v>169919.66942885381</v>
      </c>
      <c r="CI7" s="43">
        <f t="shared" si="176"/>
        <v>175377.11746584866</v>
      </c>
      <c r="CJ7" s="43">
        <f t="shared" si="176"/>
        <v>183253.16431997783</v>
      </c>
      <c r="CK7" s="43">
        <f t="shared" si="176"/>
        <v>191154.97855250965</v>
      </c>
      <c r="CL7" s="43">
        <f t="shared" si="176"/>
        <v>196689.72901006546</v>
      </c>
      <c r="CM7" s="43">
        <f t="shared" si="176"/>
        <v>204643.33595949083</v>
      </c>
      <c r="CN7" s="43">
        <f t="shared" si="176"/>
        <v>212622.96882096984</v>
      </c>
      <c r="CO7" s="43">
        <f t="shared" si="176"/>
        <v>218235.79730290268</v>
      </c>
      <c r="CP7" s="43">
        <f t="shared" si="176"/>
        <v>226267.7425367863</v>
      </c>
      <c r="CQ7" s="43">
        <f t="shared" si="176"/>
        <v>234325.97481033843</v>
      </c>
      <c r="CR7" s="43">
        <f t="shared" si="176"/>
        <v>240017.66470238462</v>
      </c>
      <c r="CS7" s="43">
        <f t="shared" si="176"/>
        <v>248128.73421774866</v>
      </c>
      <c r="CT7" s="43">
        <f t="shared" si="176"/>
        <v>256266.35452038614</v>
      </c>
      <c r="CU7" s="43">
        <f t="shared" si="176"/>
        <v>262037.6970682813</v>
      </c>
      <c r="CV7" s="43">
        <f t="shared" si="176"/>
        <v>270228.68474834715</v>
      </c>
      <c r="CW7" s="43">
        <f t="shared" si="176"/>
        <v>278446.48960956873</v>
      </c>
      <c r="CX7" s="43">
        <f t="shared" si="176"/>
        <v>284298.28399790998</v>
      </c>
      <c r="CY7" s="43">
        <f t="shared" si="176"/>
        <v>292569.99169122335</v>
      </c>
      <c r="CZ7" s="43">
        <f t="shared" si="176"/>
        <v>300868.78563240333</v>
      </c>
      <c r="DA7" s="43">
        <f t="shared" si="176"/>
        <v>306801.8390643028</v>
      </c>
      <c r="DB7" s="43">
        <f t="shared" si="176"/>
        <v>315155.07666465297</v>
      </c>
      <c r="DC7" s="43">
        <f t="shared" si="176"/>
        <v>323535.67227922654</v>
      </c>
      <c r="DD7" s="43">
        <f t="shared" si="176"/>
        <v>329550.80005676422</v>
      </c>
      <c r="DE7" s="43">
        <f t="shared" si="176"/>
        <v>337986.38558390475</v>
      </c>
      <c r="DF7" s="43">
        <f t="shared" si="176"/>
        <v>346449.60361835797</v>
      </c>
      <c r="DG7" s="43">
        <f t="shared" si="176"/>
        <v>352547.62922384159</v>
      </c>
      <c r="DH7" s="43">
        <f t="shared" si="176"/>
        <v>361066.38890502113</v>
      </c>
      <c r="DI7" s="43">
        <f t="shared" si="176"/>
        <v>369550.04491774953</v>
      </c>
      <c r="DJ7" s="43"/>
      <c r="DK7" s="43"/>
      <c r="DL7" s="43"/>
      <c r="DM7" s="43"/>
      <c r="DN7" s="43"/>
    </row>
    <row r="8" spans="2:118" ht="26" x14ac:dyDescent="0.3">
      <c r="B8" s="49" t="s">
        <v>7</v>
      </c>
      <c r="E8" s="41">
        <f>IncomeVAT</f>
        <v>8</v>
      </c>
      <c r="F8" s="41"/>
      <c r="G8" s="41"/>
      <c r="H8" s="41"/>
      <c r="I8" s="41"/>
      <c r="J8" s="41"/>
      <c r="K8" s="41"/>
      <c r="L8" s="41"/>
      <c r="M8" s="41"/>
      <c r="N8" s="41"/>
      <c r="O8" s="41"/>
      <c r="P8" s="41"/>
      <c r="Q8" s="41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  <c r="AV8" s="41"/>
      <c r="AW8" s="41"/>
      <c r="AX8" s="41"/>
      <c r="AY8" s="41"/>
      <c r="AZ8" s="41"/>
      <c r="BA8" s="41"/>
      <c r="BB8" s="41"/>
      <c r="BC8" s="41"/>
      <c r="BD8" s="41"/>
      <c r="BE8" s="41"/>
      <c r="BF8" s="41"/>
      <c r="BG8" s="41"/>
      <c r="BH8" s="41"/>
      <c r="BI8" s="41"/>
      <c r="BJ8" s="41"/>
      <c r="BK8" s="41"/>
      <c r="BL8" s="41"/>
      <c r="BM8" s="41"/>
      <c r="BN8" s="41"/>
      <c r="BO8" s="41"/>
      <c r="BP8" s="41"/>
      <c r="BQ8" s="41"/>
      <c r="BR8" s="41"/>
      <c r="BS8" s="41"/>
      <c r="BT8" s="41"/>
      <c r="BU8" s="41"/>
      <c r="BV8" s="41"/>
      <c r="BW8" s="41"/>
      <c r="BX8" s="41"/>
      <c r="BY8" s="41"/>
      <c r="BZ8" s="41"/>
      <c r="CA8" s="41"/>
      <c r="CB8" s="41"/>
      <c r="CC8" s="41"/>
      <c r="CD8" s="41"/>
      <c r="CE8" s="41"/>
      <c r="CF8" s="41"/>
      <c r="CG8" s="41"/>
      <c r="CH8" s="41"/>
      <c r="CI8" s="41"/>
      <c r="CJ8" s="41"/>
      <c r="CK8" s="41"/>
      <c r="CL8" s="41"/>
      <c r="CM8" s="41"/>
      <c r="CN8" s="41"/>
      <c r="CO8" s="41"/>
      <c r="CP8" s="41"/>
      <c r="CQ8" s="41"/>
      <c r="CR8" s="41"/>
      <c r="CS8" s="41"/>
      <c r="CT8" s="41"/>
      <c r="CU8" s="41"/>
      <c r="CV8" s="41"/>
      <c r="CW8" s="41"/>
      <c r="CX8" s="41"/>
      <c r="CY8" s="41"/>
      <c r="CZ8" s="41"/>
      <c r="DA8" s="41"/>
      <c r="DB8" s="41"/>
      <c r="DC8" s="41"/>
      <c r="DD8" s="41"/>
      <c r="DE8" s="41"/>
      <c r="DF8" s="41"/>
      <c r="DG8" s="41"/>
      <c r="DH8" s="41"/>
      <c r="DI8" s="41"/>
      <c r="DJ8" s="41"/>
      <c r="DK8" s="41"/>
      <c r="DL8" s="41"/>
      <c r="DM8" s="41"/>
      <c r="DN8" s="41"/>
    </row>
    <row r="9" spans="2:118" x14ac:dyDescent="0.3">
      <c r="B9" s="49" t="s">
        <v>8</v>
      </c>
      <c r="E9" s="41"/>
      <c r="F9" s="41">
        <f>CF!F36</f>
        <v>40664.973620040517</v>
      </c>
      <c r="G9" s="41">
        <f>CF!G36</f>
        <v>36379.324626225782</v>
      </c>
      <c r="H9" s="41">
        <f>CF!H36</f>
        <v>32544.777128221569</v>
      </c>
      <c r="I9" s="41">
        <f>CF!I36</f>
        <v>26179.427596963847</v>
      </c>
      <c r="J9" s="41">
        <f>CF!J36</f>
        <v>23257.50823529602</v>
      </c>
      <c r="K9" s="41">
        <f>CF!K36</f>
        <v>20801.820240316294</v>
      </c>
      <c r="L9" s="41">
        <f>CF!L36</f>
        <v>15829.074260347872</v>
      </c>
      <c r="M9" s="41">
        <f>CF!M36</f>
        <v>14193.545603014645</v>
      </c>
      <c r="N9" s="41">
        <f>CF!N36</f>
        <v>12933.623542125617</v>
      </c>
      <c r="O9" s="41">
        <f>CF!O36</f>
        <v>9332.5998255385948</v>
      </c>
      <c r="P9" s="41">
        <f>CF!P36</f>
        <v>8841.0169379647632</v>
      </c>
      <c r="Q9" s="41">
        <f>CF!Q36</f>
        <v>8726.7271959140944</v>
      </c>
      <c r="R9" s="41">
        <f>CF!R36</f>
        <v>7375.0183534504467</v>
      </c>
      <c r="S9" s="41">
        <f>CF!S36</f>
        <v>8272.2302119172164</v>
      </c>
      <c r="T9" s="41">
        <f>CF!T36</f>
        <v>9214.567221023317</v>
      </c>
      <c r="U9" s="41">
        <f>CF!U36</f>
        <v>7326.2983801772662</v>
      </c>
      <c r="V9" s="41">
        <f>CF!V36</f>
        <v>7869.8115224283074</v>
      </c>
      <c r="W9" s="41">
        <f>CF!W36</f>
        <v>8452.3191529312971</v>
      </c>
      <c r="X9" s="41">
        <f>CF!X36</f>
        <v>6681.0342086737401</v>
      </c>
      <c r="Y9" s="41">
        <f>CF!Y36</f>
        <v>7341.9211938352346</v>
      </c>
      <c r="Z9" s="41">
        <f>CF!Z36</f>
        <v>8042.193913391714</v>
      </c>
      <c r="AA9" s="41">
        <f>CF!AA36</f>
        <v>6389.0666084844925</v>
      </c>
      <c r="AB9" s="41">
        <f>CF!AB36</f>
        <v>7168.5050917941599</v>
      </c>
      <c r="AC9" s="41">
        <f>CF!AC36</f>
        <v>7987.7244811593027</v>
      </c>
      <c r="AD9" s="41">
        <f>CF!AD36</f>
        <v>6453.9403349601107</v>
      </c>
      <c r="AE9" s="41">
        <f>CF!AE36</f>
        <v>7353.1197875068283</v>
      </c>
      <c r="AF9" s="41">
        <f>CF!AF36</f>
        <v>8292.4792826731464</v>
      </c>
      <c r="AG9" s="41">
        <f>CF!AG36</f>
        <v>6879.2357092944658</v>
      </c>
      <c r="AH9" s="41">
        <f>CF!AH36</f>
        <v>7899.3575365710976</v>
      </c>
      <c r="AI9" s="41">
        <f>CF!AI36</f>
        <v>8960.0625477164285</v>
      </c>
      <c r="AJ9" s="41">
        <f>CF!AJ36</f>
        <v>7668.5689753700253</v>
      </c>
      <c r="AK9" s="41">
        <f>CF!AK36</f>
        <v>8810.846637015713</v>
      </c>
      <c r="AL9" s="41">
        <f>CF!AL36</f>
        <v>9994.1146686446627</v>
      </c>
      <c r="AM9" s="41">
        <f>CF!AM36</f>
        <v>8825.5926601834908</v>
      </c>
      <c r="AN9" s="41">
        <f>CF!AN36</f>
        <v>10091.251790927357</v>
      </c>
      <c r="AO9" s="41">
        <f>CF!AO36</f>
        <v>11398.312563218145</v>
      </c>
      <c r="AP9" s="41">
        <f>CF!AP36</f>
        <v>10353.995937887685</v>
      </c>
      <c r="AQ9" s="41">
        <f>CF!AQ36</f>
        <v>11744.274469706033</v>
      </c>
      <c r="AR9" s="41">
        <f>CF!AR36</f>
        <v>13176.370041074886</v>
      </c>
      <c r="AS9" s="41">
        <f>CF!AS36</f>
        <v>12257.504997486079</v>
      </c>
      <c r="AT9" s="41">
        <f>CF!AT36</f>
        <v>13773.653282985222</v>
      </c>
      <c r="AU9" s="41">
        <f>CF!AU36</f>
        <v>15332.038173880475</v>
      </c>
      <c r="AV9" s="41">
        <f>CF!AV36</f>
        <v>14539.883414216487</v>
      </c>
      <c r="AW9" s="41">
        <f>CF!AW36</f>
        <v>16183.164351253532</v>
      </c>
      <c r="AX9" s="41">
        <f>CF!AX36</f>
        <v>17869.105669191813</v>
      </c>
      <c r="AY9" s="41">
        <f>CF!AY36</f>
        <v>17204.932524660995</v>
      </c>
      <c r="AZ9" s="41">
        <f>CF!AZ36</f>
        <v>18976.621682214987</v>
      </c>
      <c r="BA9" s="41">
        <f>CF!BA36</f>
        <v>20791.399248071939</v>
      </c>
      <c r="BB9" s="41">
        <f>CF!BB36</f>
        <v>20256.49180561952</v>
      </c>
      <c r="BC9" s="41">
        <f>CF!BC36</f>
        <v>22157.87755092551</v>
      </c>
      <c r="BD9" s="41">
        <f>CF!BD36</f>
        <v>24102.784026493631</v>
      </c>
      <c r="BE9" s="41">
        <f>CF!BE36</f>
        <v>23698.439256784757</v>
      </c>
      <c r="BF9" s="41">
        <f>CF!BF36</f>
        <v>25730.822883743433</v>
      </c>
      <c r="BG9" s="41">
        <f>CF!BG36</f>
        <v>27807.163900569747</v>
      </c>
      <c r="BH9" s="41">
        <f>CF!BH36</f>
        <v>27534.691787256594</v>
      </c>
      <c r="BI9" s="41">
        <f>CF!BI36</f>
        <v>29699.387646132309</v>
      </c>
      <c r="BJ9" s="41">
        <f>CF!BJ36</f>
        <v>31908.481935648721</v>
      </c>
      <c r="BK9" s="41">
        <f>CF!BK36</f>
        <v>31769.205605934632</v>
      </c>
      <c r="BL9" s="41">
        <f>CF!BL36</f>
        <v>34067.541234354743</v>
      </c>
      <c r="BM9" s="41">
        <f>CF!BM36</f>
        <v>36410.720759314034</v>
      </c>
      <c r="BN9" s="41">
        <f>CF!BN36</f>
        <v>36405.976615827632</v>
      </c>
      <c r="BO9" s="41">
        <f>CF!BO36</f>
        <v>39819.458307758898</v>
      </c>
      <c r="BP9" s="41">
        <f>CF!BP36</f>
        <v>47205.275694343669</v>
      </c>
      <c r="BQ9" s="41">
        <f>CF!BQ36</f>
        <v>52214.770744663991</v>
      </c>
      <c r="BR9" s="41">
        <f>CF!BR36</f>
        <v>59641.371435496403</v>
      </c>
      <c r="BS9" s="41">
        <f>CF!BS36</f>
        <v>67092.241350853816</v>
      </c>
      <c r="BT9" s="41">
        <f>CF!BT36</f>
        <v>72174.544343511312</v>
      </c>
      <c r="BU9" s="41">
        <f>CF!BU36</f>
        <v>79674.195669822031</v>
      </c>
      <c r="BV9" s="41">
        <f>CF!BV36</f>
        <v>87198.359722776004</v>
      </c>
      <c r="BW9" s="41">
        <f>CF!BW36</f>
        <v>92354.201166822037</v>
      </c>
      <c r="BX9" s="41">
        <f>CF!BX36</f>
        <v>99927.636072692578</v>
      </c>
      <c r="BY9" s="41">
        <f>CF!BY36</f>
        <v>107525.82965047158</v>
      </c>
      <c r="BZ9" s="41">
        <f>CF!BZ36</f>
        <v>112755.94738442541</v>
      </c>
      <c r="CA9" s="41">
        <f>CF!CA36</f>
        <v>120403.90616783677</v>
      </c>
      <c r="CB9" s="41">
        <f>CF!CB36</f>
        <v>128076.87203608172</v>
      </c>
      <c r="CC9" s="41">
        <f>CF!CC36</f>
        <v>133382.01130146973</v>
      </c>
      <c r="CD9" s="41">
        <f>CF!CD36</f>
        <v>141105.24168808671</v>
      </c>
      <c r="CE9" s="41">
        <f>CF!CE36</f>
        <v>148853.7300648813</v>
      </c>
      <c r="CF9" s="41">
        <f>CF!CF36</f>
        <v>154234.64358051409</v>
      </c>
      <c r="CG9" s="41">
        <f>CF!CG36</f>
        <v>162033.90079821003</v>
      </c>
      <c r="CH9" s="41">
        <f>CF!CH36</f>
        <v>169858.66942885381</v>
      </c>
      <c r="CI9" s="41">
        <f>CF!CI36</f>
        <v>175316.11746584866</v>
      </c>
      <c r="CJ9" s="41">
        <f>CF!CJ36</f>
        <v>183192.16431997783</v>
      </c>
      <c r="CK9" s="41">
        <f>CF!CK36</f>
        <v>191093.97855250965</v>
      </c>
      <c r="CL9" s="41">
        <f>CF!CL36</f>
        <v>196628.72901006546</v>
      </c>
      <c r="CM9" s="41">
        <f>CF!CM36</f>
        <v>204582.33595949083</v>
      </c>
      <c r="CN9" s="41">
        <f>CF!CN36</f>
        <v>212561.96882096984</v>
      </c>
      <c r="CO9" s="41">
        <f>CF!CO36</f>
        <v>218174.79730290268</v>
      </c>
      <c r="CP9" s="41">
        <f>CF!CP36</f>
        <v>226206.7425367863</v>
      </c>
      <c r="CQ9" s="41">
        <f>CF!CQ36</f>
        <v>234264.97481033843</v>
      </c>
      <c r="CR9" s="41">
        <f>CF!CR36</f>
        <v>239956.66470238462</v>
      </c>
      <c r="CS9" s="41">
        <f>CF!CS36</f>
        <v>248067.73421774866</v>
      </c>
      <c r="CT9" s="41">
        <f>CF!CT36</f>
        <v>256205.35452038614</v>
      </c>
      <c r="CU9" s="41">
        <f>CF!CU36</f>
        <v>261976.6970682813</v>
      </c>
      <c r="CV9" s="41">
        <f>CF!CV36</f>
        <v>270167.68474834715</v>
      </c>
      <c r="CW9" s="41">
        <f>CF!CW36</f>
        <v>278385.48960956873</v>
      </c>
      <c r="CX9" s="41">
        <f>CF!CX36</f>
        <v>284237.28399790998</v>
      </c>
      <c r="CY9" s="41">
        <f>CF!CY36</f>
        <v>292508.99169122335</v>
      </c>
      <c r="CZ9" s="41">
        <f>CF!CZ36</f>
        <v>300807.78563240333</v>
      </c>
      <c r="DA9" s="41">
        <f>CF!DA36</f>
        <v>306740.8390643028</v>
      </c>
      <c r="DB9" s="41">
        <f>CF!DB36</f>
        <v>315094.07666465297</v>
      </c>
      <c r="DC9" s="41">
        <f>CF!DC36</f>
        <v>323474.67227922654</v>
      </c>
      <c r="DD9" s="41">
        <f>CF!DD36</f>
        <v>329489.80005676422</v>
      </c>
      <c r="DE9" s="41">
        <f>CF!DE36</f>
        <v>337925.38558390475</v>
      </c>
      <c r="DF9" s="41">
        <f>CF!DF36</f>
        <v>346388.60361835797</v>
      </c>
      <c r="DG9" s="41">
        <f>CF!DG36</f>
        <v>352486.62922384159</v>
      </c>
      <c r="DH9" s="41">
        <f>CF!DH36</f>
        <v>361005.38890502113</v>
      </c>
      <c r="DI9" s="41">
        <f>CF!DI36</f>
        <v>369489.04491774953</v>
      </c>
      <c r="DJ9" s="41"/>
      <c r="DK9" s="41"/>
      <c r="DL9" s="41"/>
      <c r="DM9" s="41"/>
      <c r="DN9" s="41"/>
    </row>
    <row r="10" spans="2:118" x14ac:dyDescent="0.3">
      <c r="B10" s="49" t="s">
        <v>9</v>
      </c>
      <c r="E10" s="41">
        <f>OtherAssets</f>
        <v>61</v>
      </c>
      <c r="F10" s="41">
        <f>E10</f>
        <v>61</v>
      </c>
      <c r="G10" s="41">
        <f t="shared" ref="G10:L10" si="177">F10</f>
        <v>61</v>
      </c>
      <c r="H10" s="41">
        <f t="shared" si="177"/>
        <v>61</v>
      </c>
      <c r="I10" s="41">
        <f t="shared" si="177"/>
        <v>61</v>
      </c>
      <c r="J10" s="41">
        <f t="shared" si="177"/>
        <v>61</v>
      </c>
      <c r="K10" s="41">
        <f t="shared" si="177"/>
        <v>61</v>
      </c>
      <c r="L10" s="41">
        <f t="shared" si="177"/>
        <v>61</v>
      </c>
      <c r="M10" s="41">
        <f t="shared" ref="M10:BX10" si="178">L10</f>
        <v>61</v>
      </c>
      <c r="N10" s="41">
        <f t="shared" si="178"/>
        <v>61</v>
      </c>
      <c r="O10" s="41">
        <f t="shared" si="178"/>
        <v>61</v>
      </c>
      <c r="P10" s="41">
        <f t="shared" si="178"/>
        <v>61</v>
      </c>
      <c r="Q10" s="41">
        <f t="shared" si="178"/>
        <v>61</v>
      </c>
      <c r="R10" s="41">
        <f t="shared" si="178"/>
        <v>61</v>
      </c>
      <c r="S10" s="41">
        <f t="shared" si="178"/>
        <v>61</v>
      </c>
      <c r="T10" s="41">
        <f t="shared" si="178"/>
        <v>61</v>
      </c>
      <c r="U10" s="41">
        <f t="shared" si="178"/>
        <v>61</v>
      </c>
      <c r="V10" s="41">
        <f t="shared" si="178"/>
        <v>61</v>
      </c>
      <c r="W10" s="41">
        <f t="shared" si="178"/>
        <v>61</v>
      </c>
      <c r="X10" s="41">
        <f t="shared" si="178"/>
        <v>61</v>
      </c>
      <c r="Y10" s="41">
        <f t="shared" si="178"/>
        <v>61</v>
      </c>
      <c r="Z10" s="41">
        <f t="shared" si="178"/>
        <v>61</v>
      </c>
      <c r="AA10" s="41">
        <f t="shared" si="178"/>
        <v>61</v>
      </c>
      <c r="AB10" s="41">
        <f t="shared" si="178"/>
        <v>61</v>
      </c>
      <c r="AC10" s="41">
        <f t="shared" si="178"/>
        <v>61</v>
      </c>
      <c r="AD10" s="41">
        <f t="shared" si="178"/>
        <v>61</v>
      </c>
      <c r="AE10" s="41">
        <f t="shared" si="178"/>
        <v>61</v>
      </c>
      <c r="AF10" s="41">
        <f t="shared" si="178"/>
        <v>61</v>
      </c>
      <c r="AG10" s="41">
        <f t="shared" si="178"/>
        <v>61</v>
      </c>
      <c r="AH10" s="41">
        <f t="shared" si="178"/>
        <v>61</v>
      </c>
      <c r="AI10" s="41">
        <f t="shared" si="178"/>
        <v>61</v>
      </c>
      <c r="AJ10" s="41">
        <f t="shared" si="178"/>
        <v>61</v>
      </c>
      <c r="AK10" s="41">
        <f t="shared" si="178"/>
        <v>61</v>
      </c>
      <c r="AL10" s="41">
        <f t="shared" si="178"/>
        <v>61</v>
      </c>
      <c r="AM10" s="41">
        <f t="shared" si="178"/>
        <v>61</v>
      </c>
      <c r="AN10" s="41">
        <f t="shared" si="178"/>
        <v>61</v>
      </c>
      <c r="AO10" s="41">
        <f t="shared" si="178"/>
        <v>61</v>
      </c>
      <c r="AP10" s="41">
        <f t="shared" si="178"/>
        <v>61</v>
      </c>
      <c r="AQ10" s="41">
        <f t="shared" si="178"/>
        <v>61</v>
      </c>
      <c r="AR10" s="41">
        <f t="shared" si="178"/>
        <v>61</v>
      </c>
      <c r="AS10" s="41">
        <f t="shared" si="178"/>
        <v>61</v>
      </c>
      <c r="AT10" s="41">
        <f t="shared" si="178"/>
        <v>61</v>
      </c>
      <c r="AU10" s="41">
        <f t="shared" si="178"/>
        <v>61</v>
      </c>
      <c r="AV10" s="41">
        <f t="shared" si="178"/>
        <v>61</v>
      </c>
      <c r="AW10" s="41">
        <f t="shared" si="178"/>
        <v>61</v>
      </c>
      <c r="AX10" s="41">
        <f t="shared" si="178"/>
        <v>61</v>
      </c>
      <c r="AY10" s="41">
        <f t="shared" si="178"/>
        <v>61</v>
      </c>
      <c r="AZ10" s="41">
        <f t="shared" si="178"/>
        <v>61</v>
      </c>
      <c r="BA10" s="41">
        <f t="shared" si="178"/>
        <v>61</v>
      </c>
      <c r="BB10" s="41">
        <f t="shared" si="178"/>
        <v>61</v>
      </c>
      <c r="BC10" s="41">
        <f t="shared" si="178"/>
        <v>61</v>
      </c>
      <c r="BD10" s="41">
        <f t="shared" si="178"/>
        <v>61</v>
      </c>
      <c r="BE10" s="41">
        <f t="shared" si="178"/>
        <v>61</v>
      </c>
      <c r="BF10" s="41">
        <f t="shared" si="178"/>
        <v>61</v>
      </c>
      <c r="BG10" s="41">
        <f t="shared" si="178"/>
        <v>61</v>
      </c>
      <c r="BH10" s="41">
        <f t="shared" si="178"/>
        <v>61</v>
      </c>
      <c r="BI10" s="41">
        <f t="shared" si="178"/>
        <v>61</v>
      </c>
      <c r="BJ10" s="41">
        <f t="shared" si="178"/>
        <v>61</v>
      </c>
      <c r="BK10" s="41">
        <f t="shared" si="178"/>
        <v>61</v>
      </c>
      <c r="BL10" s="41">
        <f t="shared" si="178"/>
        <v>61</v>
      </c>
      <c r="BM10" s="41">
        <f t="shared" si="178"/>
        <v>61</v>
      </c>
      <c r="BN10" s="41">
        <f t="shared" si="178"/>
        <v>61</v>
      </c>
      <c r="BO10" s="41">
        <f t="shared" si="178"/>
        <v>61</v>
      </c>
      <c r="BP10" s="41">
        <f t="shared" si="178"/>
        <v>61</v>
      </c>
      <c r="BQ10" s="41">
        <f t="shared" si="178"/>
        <v>61</v>
      </c>
      <c r="BR10" s="41">
        <f t="shared" si="178"/>
        <v>61</v>
      </c>
      <c r="BS10" s="41">
        <f t="shared" si="178"/>
        <v>61</v>
      </c>
      <c r="BT10" s="41">
        <f t="shared" si="178"/>
        <v>61</v>
      </c>
      <c r="BU10" s="41">
        <f t="shared" si="178"/>
        <v>61</v>
      </c>
      <c r="BV10" s="41">
        <f t="shared" si="178"/>
        <v>61</v>
      </c>
      <c r="BW10" s="41">
        <f t="shared" si="178"/>
        <v>61</v>
      </c>
      <c r="BX10" s="41">
        <f t="shared" si="178"/>
        <v>61</v>
      </c>
      <c r="BY10" s="41">
        <f t="shared" ref="BY10" si="179">BX10</f>
        <v>61</v>
      </c>
      <c r="BZ10" s="41">
        <f t="shared" ref="BZ10" si="180">BY10</f>
        <v>61</v>
      </c>
      <c r="CA10" s="41">
        <f t="shared" ref="CA10" si="181">BZ10</f>
        <v>61</v>
      </c>
      <c r="CB10" s="41">
        <f t="shared" ref="CB10" si="182">CA10</f>
        <v>61</v>
      </c>
      <c r="CC10" s="41">
        <f t="shared" ref="CC10" si="183">CB10</f>
        <v>61</v>
      </c>
      <c r="CD10" s="41">
        <f t="shared" ref="CD10" si="184">CC10</f>
        <v>61</v>
      </c>
      <c r="CE10" s="41">
        <f t="shared" ref="CE10" si="185">CD10</f>
        <v>61</v>
      </c>
      <c r="CF10" s="41">
        <f t="shared" ref="CF10" si="186">CE10</f>
        <v>61</v>
      </c>
      <c r="CG10" s="41">
        <f t="shared" ref="CG10" si="187">CF10</f>
        <v>61</v>
      </c>
      <c r="CH10" s="41">
        <f t="shared" ref="CH10" si="188">CG10</f>
        <v>61</v>
      </c>
      <c r="CI10" s="41">
        <f t="shared" ref="CI10" si="189">CH10</f>
        <v>61</v>
      </c>
      <c r="CJ10" s="41">
        <f t="shared" ref="CJ10" si="190">CI10</f>
        <v>61</v>
      </c>
      <c r="CK10" s="41">
        <f t="shared" ref="CK10" si="191">CJ10</f>
        <v>61</v>
      </c>
      <c r="CL10" s="41">
        <f t="shared" ref="CL10" si="192">CK10</f>
        <v>61</v>
      </c>
      <c r="CM10" s="41">
        <f t="shared" ref="CM10" si="193">CL10</f>
        <v>61</v>
      </c>
      <c r="CN10" s="41">
        <f t="shared" ref="CN10" si="194">CM10</f>
        <v>61</v>
      </c>
      <c r="CO10" s="41">
        <f t="shared" ref="CO10" si="195">CN10</f>
        <v>61</v>
      </c>
      <c r="CP10" s="41">
        <f t="shared" ref="CP10" si="196">CO10</f>
        <v>61</v>
      </c>
      <c r="CQ10" s="41">
        <f t="shared" ref="CQ10" si="197">CP10</f>
        <v>61</v>
      </c>
      <c r="CR10" s="41">
        <f t="shared" ref="CR10" si="198">CQ10</f>
        <v>61</v>
      </c>
      <c r="CS10" s="41">
        <f t="shared" ref="CS10" si="199">CR10</f>
        <v>61</v>
      </c>
      <c r="CT10" s="41">
        <f t="shared" ref="CT10" si="200">CS10</f>
        <v>61</v>
      </c>
      <c r="CU10" s="41">
        <f t="shared" ref="CU10" si="201">CT10</f>
        <v>61</v>
      </c>
      <c r="CV10" s="41">
        <f t="shared" ref="CV10" si="202">CU10</f>
        <v>61</v>
      </c>
      <c r="CW10" s="41">
        <f t="shared" ref="CW10" si="203">CV10</f>
        <v>61</v>
      </c>
      <c r="CX10" s="41">
        <f t="shared" ref="CX10" si="204">CW10</f>
        <v>61</v>
      </c>
      <c r="CY10" s="41">
        <f t="shared" ref="CY10" si="205">CX10</f>
        <v>61</v>
      </c>
      <c r="CZ10" s="41">
        <f t="shared" ref="CZ10" si="206">CY10</f>
        <v>61</v>
      </c>
      <c r="DA10" s="41">
        <f t="shared" ref="DA10" si="207">CZ10</f>
        <v>61</v>
      </c>
      <c r="DB10" s="41">
        <f t="shared" ref="DB10" si="208">DA10</f>
        <v>61</v>
      </c>
      <c r="DC10" s="41">
        <f t="shared" ref="DC10" si="209">DB10</f>
        <v>61</v>
      </c>
      <c r="DD10" s="41">
        <f t="shared" ref="DD10" si="210">DC10</f>
        <v>61</v>
      </c>
      <c r="DE10" s="41">
        <f t="shared" ref="DE10" si="211">DD10</f>
        <v>61</v>
      </c>
      <c r="DF10" s="41">
        <f t="shared" ref="DF10" si="212">DE10</f>
        <v>61</v>
      </c>
      <c r="DG10" s="41">
        <f t="shared" ref="DG10" si="213">DF10</f>
        <v>61</v>
      </c>
      <c r="DH10" s="41">
        <f t="shared" ref="DH10" si="214">DG10</f>
        <v>61</v>
      </c>
      <c r="DI10" s="41">
        <f t="shared" ref="DI10" si="215">DH10</f>
        <v>61</v>
      </c>
      <c r="DJ10" s="41"/>
      <c r="DK10" s="41"/>
      <c r="DL10" s="41"/>
      <c r="DM10" s="41"/>
      <c r="DN10" s="41"/>
    </row>
    <row r="11" spans="2:118" x14ac:dyDescent="0.3">
      <c r="B11" s="48" t="s">
        <v>101</v>
      </c>
      <c r="C11" s="42"/>
      <c r="D11" s="42"/>
      <c r="E11" s="43">
        <f>E5+E7</f>
        <v>354079</v>
      </c>
      <c r="F11" s="43">
        <f t="shared" ref="F11:BQ11" si="216">F5+F7</f>
        <v>393663.47362004052</v>
      </c>
      <c r="G11" s="43">
        <f t="shared" si="216"/>
        <v>388315.3246262258</v>
      </c>
      <c r="H11" s="43">
        <f t="shared" si="216"/>
        <v>383418.27712822158</v>
      </c>
      <c r="I11" s="43">
        <f t="shared" si="216"/>
        <v>375990.42759696383</v>
      </c>
      <c r="J11" s="43">
        <f t="shared" si="216"/>
        <v>372006.008235296</v>
      </c>
      <c r="K11" s="43">
        <f t="shared" si="216"/>
        <v>368487.82024031627</v>
      </c>
      <c r="L11" s="43">
        <f t="shared" si="216"/>
        <v>362452.57426034787</v>
      </c>
      <c r="M11" s="43">
        <f t="shared" si="216"/>
        <v>359754.54560301465</v>
      </c>
      <c r="N11" s="43">
        <f t="shared" si="216"/>
        <v>357432.12354212563</v>
      </c>
      <c r="O11" s="43">
        <f t="shared" si="216"/>
        <v>352768.59982553858</v>
      </c>
      <c r="P11" s="43">
        <f t="shared" si="216"/>
        <v>351214.51693796477</v>
      </c>
      <c r="Q11" s="43">
        <f t="shared" si="216"/>
        <v>350037.72719591408</v>
      </c>
      <c r="R11" s="43">
        <f t="shared" si="216"/>
        <v>347956.85168678378</v>
      </c>
      <c r="S11" s="43">
        <f t="shared" si="216"/>
        <v>348124.89687858388</v>
      </c>
      <c r="T11" s="43">
        <f t="shared" si="216"/>
        <v>348338.06722102332</v>
      </c>
      <c r="U11" s="43">
        <f t="shared" si="216"/>
        <v>345720.63171351061</v>
      </c>
      <c r="V11" s="43">
        <f t="shared" si="216"/>
        <v>345534.97818909498</v>
      </c>
      <c r="W11" s="43">
        <f t="shared" si="216"/>
        <v>345388.31915293128</v>
      </c>
      <c r="X11" s="43">
        <f t="shared" si="216"/>
        <v>342887.86754200706</v>
      </c>
      <c r="Y11" s="43">
        <f t="shared" si="216"/>
        <v>342819.5878605019</v>
      </c>
      <c r="Z11" s="43">
        <f t="shared" si="216"/>
        <v>342790.69391339173</v>
      </c>
      <c r="AA11" s="43">
        <f t="shared" si="216"/>
        <v>340408.3999418178</v>
      </c>
      <c r="AB11" s="43">
        <f t="shared" si="216"/>
        <v>340458.67175846087</v>
      </c>
      <c r="AC11" s="43">
        <f t="shared" si="216"/>
        <v>340548.7244811593</v>
      </c>
      <c r="AD11" s="43">
        <f t="shared" si="216"/>
        <v>338285.77366829343</v>
      </c>
      <c r="AE11" s="43">
        <f t="shared" si="216"/>
        <v>338455.7864541735</v>
      </c>
      <c r="AF11" s="43">
        <f t="shared" si="216"/>
        <v>338665.97928267316</v>
      </c>
      <c r="AG11" s="43">
        <f t="shared" si="216"/>
        <v>336523.56904262776</v>
      </c>
      <c r="AH11" s="43">
        <f t="shared" si="216"/>
        <v>336814.52420323779</v>
      </c>
      <c r="AI11" s="43">
        <f t="shared" si="216"/>
        <v>337146.06254771643</v>
      </c>
      <c r="AJ11" s="43">
        <f t="shared" si="216"/>
        <v>335125.40230870334</v>
      </c>
      <c r="AK11" s="43">
        <f t="shared" si="216"/>
        <v>335538.51330368238</v>
      </c>
      <c r="AL11" s="43">
        <f t="shared" si="216"/>
        <v>335992.61466864467</v>
      </c>
      <c r="AM11" s="43">
        <f t="shared" si="216"/>
        <v>334094.92599351681</v>
      </c>
      <c r="AN11" s="43">
        <f t="shared" si="216"/>
        <v>334631.418457594</v>
      </c>
      <c r="AO11" s="43">
        <f t="shared" si="216"/>
        <v>335209.31256321812</v>
      </c>
      <c r="AP11" s="43">
        <f t="shared" si="216"/>
        <v>333435.82927122101</v>
      </c>
      <c r="AQ11" s="43">
        <f t="shared" si="216"/>
        <v>334096.94113637268</v>
      </c>
      <c r="AR11" s="43">
        <f t="shared" si="216"/>
        <v>334799.87004107487</v>
      </c>
      <c r="AS11" s="43">
        <f t="shared" si="216"/>
        <v>333151.83833081939</v>
      </c>
      <c r="AT11" s="43">
        <f t="shared" si="216"/>
        <v>333938.81994965184</v>
      </c>
      <c r="AU11" s="43">
        <f t="shared" si="216"/>
        <v>334768.03817388049</v>
      </c>
      <c r="AV11" s="43">
        <f t="shared" si="216"/>
        <v>333246.71674754983</v>
      </c>
      <c r="AW11" s="43">
        <f t="shared" si="216"/>
        <v>334160.83101792017</v>
      </c>
      <c r="AX11" s="43">
        <f t="shared" si="216"/>
        <v>335117.60566919181</v>
      </c>
      <c r="AY11" s="43">
        <f t="shared" si="216"/>
        <v>333724.26585799432</v>
      </c>
      <c r="AZ11" s="43">
        <f t="shared" si="216"/>
        <v>334766.78834888164</v>
      </c>
      <c r="BA11" s="43">
        <f t="shared" si="216"/>
        <v>335852.39924807195</v>
      </c>
      <c r="BB11" s="43">
        <f t="shared" si="216"/>
        <v>334588.32513895282</v>
      </c>
      <c r="BC11" s="43">
        <f t="shared" si="216"/>
        <v>335760.54421759216</v>
      </c>
      <c r="BD11" s="43">
        <f t="shared" si="216"/>
        <v>336976.28402649361</v>
      </c>
      <c r="BE11" s="43">
        <f t="shared" si="216"/>
        <v>335842.77259011805</v>
      </c>
      <c r="BF11" s="43">
        <f t="shared" si="216"/>
        <v>337145.98955041013</v>
      </c>
      <c r="BG11" s="43">
        <f t="shared" si="216"/>
        <v>338493.16390056972</v>
      </c>
      <c r="BH11" s="43">
        <f t="shared" si="216"/>
        <v>337491.52512058988</v>
      </c>
      <c r="BI11" s="43">
        <f t="shared" si="216"/>
        <v>338927.05431279901</v>
      </c>
      <c r="BJ11" s="43">
        <f t="shared" si="216"/>
        <v>340406.98193564871</v>
      </c>
      <c r="BK11" s="43">
        <f t="shared" si="216"/>
        <v>339538.53893926798</v>
      </c>
      <c r="BL11" s="43">
        <f t="shared" si="216"/>
        <v>341107.70790102141</v>
      </c>
      <c r="BM11" s="43">
        <f t="shared" si="216"/>
        <v>342721.72075931402</v>
      </c>
      <c r="BN11" s="43">
        <f t="shared" si="216"/>
        <v>341987.80994916102</v>
      </c>
      <c r="BO11" s="43">
        <f t="shared" si="216"/>
        <v>344672.12497442559</v>
      </c>
      <c r="BP11" s="43">
        <f t="shared" si="216"/>
        <v>351328.77569434367</v>
      </c>
      <c r="BQ11" s="43">
        <f t="shared" si="216"/>
        <v>355609.10407799738</v>
      </c>
      <c r="BR11" s="43">
        <f t="shared" ref="BR11:BY11" si="217">BR5+BR7</f>
        <v>362306.53810216312</v>
      </c>
      <c r="BS11" s="43">
        <f t="shared" si="217"/>
        <v>369028.24135085382</v>
      </c>
      <c r="BT11" s="43">
        <f t="shared" si="217"/>
        <v>373381.37767684471</v>
      </c>
      <c r="BU11" s="43">
        <f t="shared" si="217"/>
        <v>380151.86233648873</v>
      </c>
      <c r="BV11" s="43">
        <f t="shared" si="217"/>
        <v>386946.85972277605</v>
      </c>
      <c r="BW11" s="43">
        <f t="shared" si="217"/>
        <v>391373.53450015542</v>
      </c>
      <c r="BX11" s="43">
        <f t="shared" si="217"/>
        <v>398217.80273935926</v>
      </c>
      <c r="BY11" s="43">
        <f t="shared" si="217"/>
        <v>405086.82965047163</v>
      </c>
      <c r="BZ11" s="43">
        <f t="shared" ref="BZ11:DI11" si="218">BZ5+BZ7</f>
        <v>409587.78071775881</v>
      </c>
      <c r="CA11" s="43">
        <f t="shared" si="218"/>
        <v>416506.57283450349</v>
      </c>
      <c r="CB11" s="43">
        <f t="shared" si="218"/>
        <v>423450.3720360818</v>
      </c>
      <c r="CC11" s="43">
        <f t="shared" si="218"/>
        <v>428026.34463480313</v>
      </c>
      <c r="CD11" s="43">
        <f t="shared" si="218"/>
        <v>435020.40835475345</v>
      </c>
      <c r="CE11" s="43">
        <f t="shared" si="218"/>
        <v>442039.73006488138</v>
      </c>
      <c r="CF11" s="43">
        <f t="shared" si="218"/>
        <v>446691.47691384749</v>
      </c>
      <c r="CG11" s="43">
        <f t="shared" si="218"/>
        <v>453761.5674648768</v>
      </c>
      <c r="CH11" s="43">
        <f t="shared" si="218"/>
        <v>460857.1694288539</v>
      </c>
      <c r="CI11" s="43">
        <f t="shared" si="218"/>
        <v>465585.45079918206</v>
      </c>
      <c r="CJ11" s="43">
        <f t="shared" si="218"/>
        <v>472732.33098664461</v>
      </c>
      <c r="CK11" s="43">
        <f t="shared" si="218"/>
        <v>479904.97855250968</v>
      </c>
      <c r="CL11" s="43">
        <f t="shared" si="218"/>
        <v>484710.56234339881</v>
      </c>
      <c r="CM11" s="43">
        <f t="shared" si="218"/>
        <v>491935.0026261576</v>
      </c>
      <c r="CN11" s="43">
        <f t="shared" si="218"/>
        <v>499185.46882096992</v>
      </c>
      <c r="CO11" s="43">
        <f t="shared" si="218"/>
        <v>504069.13063623611</v>
      </c>
      <c r="CP11" s="43">
        <f t="shared" si="218"/>
        <v>511371.90920345305</v>
      </c>
      <c r="CQ11" s="43">
        <f t="shared" si="218"/>
        <v>518700.97481033858</v>
      </c>
      <c r="CR11" s="43">
        <f t="shared" si="218"/>
        <v>523663.49803571805</v>
      </c>
      <c r="CS11" s="43">
        <f t="shared" si="218"/>
        <v>531045.40088441537</v>
      </c>
      <c r="CT11" s="43">
        <f t="shared" si="218"/>
        <v>538453.8545203862</v>
      </c>
      <c r="CU11" s="43">
        <f t="shared" si="218"/>
        <v>543496.03040161473</v>
      </c>
      <c r="CV11" s="43">
        <f t="shared" si="218"/>
        <v>550957.85141501389</v>
      </c>
      <c r="CW11" s="43">
        <f t="shared" si="218"/>
        <v>558446.48960956885</v>
      </c>
      <c r="CX11" s="43">
        <f t="shared" si="218"/>
        <v>563569.11733124335</v>
      </c>
      <c r="CY11" s="43">
        <f t="shared" si="218"/>
        <v>571111.65835789009</v>
      </c>
      <c r="CZ11" s="43">
        <f t="shared" si="218"/>
        <v>578681.28563240333</v>
      </c>
      <c r="DA11" s="43">
        <f t="shared" si="218"/>
        <v>583885.17239763611</v>
      </c>
      <c r="DB11" s="43">
        <f t="shared" si="218"/>
        <v>591509.24333131965</v>
      </c>
      <c r="DC11" s="43">
        <f t="shared" si="218"/>
        <v>599160.67227922659</v>
      </c>
      <c r="DD11" s="43">
        <f t="shared" si="218"/>
        <v>604446.63339009765</v>
      </c>
      <c r="DE11" s="43">
        <f t="shared" si="218"/>
        <v>612153.05225057143</v>
      </c>
      <c r="DF11" s="43">
        <f t="shared" si="218"/>
        <v>619887.10361835803</v>
      </c>
      <c r="DG11" s="43">
        <f t="shared" si="218"/>
        <v>625255.96255717496</v>
      </c>
      <c r="DH11" s="43">
        <f t="shared" si="218"/>
        <v>633045.55557168787</v>
      </c>
      <c r="DI11" s="43">
        <f t="shared" si="218"/>
        <v>640800.04491774947</v>
      </c>
      <c r="DJ11" s="43"/>
      <c r="DK11" s="43"/>
      <c r="DL11" s="43"/>
      <c r="DM11" s="43"/>
      <c r="DN11" s="43"/>
    </row>
    <row r="12" spans="2:118" x14ac:dyDescent="0.3">
      <c r="B12" s="49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41"/>
      <c r="P12" s="41"/>
      <c r="Q12" s="41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41"/>
      <c r="AH12" s="41"/>
      <c r="AI12" s="41"/>
      <c r="AJ12" s="41"/>
      <c r="AK12" s="41"/>
      <c r="AL12" s="41"/>
      <c r="AM12" s="41"/>
      <c r="AN12" s="41"/>
      <c r="AO12" s="41"/>
      <c r="AP12" s="41"/>
      <c r="AQ12" s="41"/>
      <c r="AR12" s="41"/>
      <c r="AS12" s="41"/>
      <c r="AT12" s="41"/>
      <c r="AU12" s="41"/>
      <c r="AV12" s="41"/>
      <c r="AW12" s="41"/>
      <c r="AX12" s="41"/>
      <c r="AY12" s="41"/>
      <c r="AZ12" s="41"/>
      <c r="BA12" s="41"/>
      <c r="BB12" s="41"/>
      <c r="BC12" s="41"/>
      <c r="BD12" s="41"/>
      <c r="BE12" s="41"/>
      <c r="BF12" s="41"/>
      <c r="BG12" s="41"/>
      <c r="BH12" s="41"/>
      <c r="BI12" s="41"/>
      <c r="BJ12" s="41"/>
      <c r="BK12" s="41"/>
      <c r="BL12" s="41"/>
      <c r="BM12" s="41"/>
      <c r="BN12" s="41"/>
      <c r="BO12" s="41"/>
      <c r="BP12" s="41"/>
      <c r="BQ12" s="41"/>
      <c r="BR12" s="41"/>
      <c r="BS12" s="41"/>
      <c r="BT12" s="41"/>
      <c r="BU12" s="41"/>
      <c r="BV12" s="41"/>
      <c r="BW12" s="41"/>
      <c r="BX12" s="41"/>
      <c r="BY12" s="41"/>
      <c r="BZ12" s="41"/>
      <c r="CA12" s="41"/>
      <c r="CB12" s="41"/>
      <c r="CC12" s="41"/>
      <c r="CD12" s="41"/>
      <c r="CE12" s="41"/>
      <c r="CF12" s="41"/>
      <c r="CG12" s="41"/>
      <c r="CH12" s="41"/>
      <c r="CI12" s="41"/>
      <c r="CJ12" s="41"/>
      <c r="CK12" s="41"/>
      <c r="CL12" s="41"/>
      <c r="CM12" s="41"/>
      <c r="CN12" s="41"/>
      <c r="CO12" s="41"/>
      <c r="CP12" s="41"/>
      <c r="CQ12" s="41"/>
      <c r="CR12" s="41"/>
      <c r="CS12" s="41"/>
      <c r="CT12" s="41"/>
      <c r="CU12" s="41"/>
      <c r="CV12" s="41"/>
      <c r="CW12" s="41"/>
      <c r="CX12" s="41"/>
      <c r="CY12" s="41"/>
      <c r="CZ12" s="41"/>
      <c r="DA12" s="41"/>
      <c r="DB12" s="41"/>
      <c r="DC12" s="41"/>
      <c r="DD12" s="41"/>
      <c r="DE12" s="41"/>
      <c r="DF12" s="41"/>
      <c r="DG12" s="41"/>
      <c r="DH12" s="41"/>
      <c r="DI12" s="41"/>
      <c r="DJ12" s="41"/>
      <c r="DK12" s="41"/>
      <c r="DL12" s="41"/>
      <c r="DM12" s="41"/>
      <c r="DN12" s="41"/>
    </row>
    <row r="13" spans="2:118" x14ac:dyDescent="0.3">
      <c r="B13" s="48" t="s">
        <v>139</v>
      </c>
      <c r="C13" s="42"/>
      <c r="D13" s="42"/>
      <c r="E13" s="43">
        <f t="shared" ref="E13:AJ13" si="219">SUM(E14:E16)</f>
        <v>338153</v>
      </c>
      <c r="F13" s="43">
        <f t="shared" si="219"/>
        <v>115760.65613333334</v>
      </c>
      <c r="G13" s="43">
        <f t="shared" si="219"/>
        <v>113815.21290687253</v>
      </c>
      <c r="H13" s="43">
        <f t="shared" si="219"/>
        <v>109346.81693401748</v>
      </c>
      <c r="I13" s="43">
        <f t="shared" si="219"/>
        <v>108327.01032533572</v>
      </c>
      <c r="J13" s="43">
        <f t="shared" si="219"/>
        <v>107781.31444707478</v>
      </c>
      <c r="K13" s="43">
        <f t="shared" si="219"/>
        <v>104707.77000520688</v>
      </c>
      <c r="L13" s="43">
        <f t="shared" si="219"/>
        <v>105025.92033676828</v>
      </c>
      <c r="M13" s="43">
        <f t="shared" si="219"/>
        <v>105730.56569270197</v>
      </c>
      <c r="N13" s="43">
        <f t="shared" si="219"/>
        <v>104064.5277089571</v>
      </c>
      <c r="O13" s="43">
        <f t="shared" si="219"/>
        <v>105515.88589331519</v>
      </c>
      <c r="P13" s="43">
        <f t="shared" si="219"/>
        <v>107349.73880687193</v>
      </c>
      <c r="Q13" s="43">
        <f t="shared" si="219"/>
        <v>107146.12053088029</v>
      </c>
      <c r="R13" s="43">
        <f t="shared" si="219"/>
        <v>111375.27995216072</v>
      </c>
      <c r="S13" s="43">
        <f t="shared" si="219"/>
        <v>115663.10157151209</v>
      </c>
      <c r="T13" s="43">
        <f t="shared" si="219"/>
        <v>117133.89951183434</v>
      </c>
      <c r="U13" s="43">
        <f t="shared" si="219"/>
        <v>121050.10688007979</v>
      </c>
      <c r="V13" s="43">
        <f t="shared" si="219"/>
        <v>125018.9816062194</v>
      </c>
      <c r="W13" s="43">
        <f t="shared" si="219"/>
        <v>126647.7822034728</v>
      </c>
      <c r="X13" s="43">
        <f t="shared" si="219"/>
        <v>130722.51890417252</v>
      </c>
      <c r="Y13" s="43">
        <f t="shared" si="219"/>
        <v>134850.45139387459</v>
      </c>
      <c r="Z13" s="43">
        <f t="shared" si="219"/>
        <v>136638.83994723565</v>
      </c>
      <c r="AA13" s="43">
        <f t="shared" si="219"/>
        <v>140873.69656389672</v>
      </c>
      <c r="AB13" s="43">
        <f t="shared" si="219"/>
        <v>145162.28270261333</v>
      </c>
      <c r="AC13" s="43">
        <f t="shared" si="219"/>
        <v>147111.86041715229</v>
      </c>
      <c r="AD13" s="43">
        <f t="shared" si="219"/>
        <v>151508.44349219522</v>
      </c>
      <c r="AE13" s="43">
        <f t="shared" si="219"/>
        <v>155959.2951774883</v>
      </c>
      <c r="AF13" s="43">
        <f t="shared" si="219"/>
        <v>158071.67932375899</v>
      </c>
      <c r="AG13" s="43">
        <f t="shared" si="219"/>
        <v>162631.6115186394</v>
      </c>
      <c r="AH13" s="43">
        <f t="shared" si="219"/>
        <v>167246.35682083608</v>
      </c>
      <c r="AI13" s="43">
        <f t="shared" si="219"/>
        <v>169523.18089606677</v>
      </c>
      <c r="AJ13" s="43">
        <f t="shared" si="219"/>
        <v>174248.10115300366</v>
      </c>
      <c r="AK13" s="43">
        <f t="shared" ref="AK13:BP13" si="220">SUM(AK14:AK16)</f>
        <v>179028.3844774637</v>
      </c>
      <c r="AL13" s="43">
        <f t="shared" si="220"/>
        <v>181471.29836836527</v>
      </c>
      <c r="AM13" s="43">
        <f t="shared" si="220"/>
        <v>186362.86207369197</v>
      </c>
      <c r="AN13" s="43">
        <f t="shared" si="220"/>
        <v>191310.3443247031</v>
      </c>
      <c r="AO13" s="43">
        <f t="shared" si="220"/>
        <v>193921.01447191092</v>
      </c>
      <c r="AP13" s="43">
        <f t="shared" si="220"/>
        <v>198980.8936210649</v>
      </c>
      <c r="AQ13" s="43">
        <f t="shared" si="220"/>
        <v>204097.25236738275</v>
      </c>
      <c r="AR13" s="43">
        <f t="shared" si="220"/>
        <v>206877.36193154834</v>
      </c>
      <c r="AS13" s="43">
        <f t="shared" si="220"/>
        <v>212107.24529571657</v>
      </c>
      <c r="AT13" s="43">
        <f t="shared" si="220"/>
        <v>217394.17493776538</v>
      </c>
      <c r="AU13" s="43">
        <f t="shared" si="220"/>
        <v>220345.42396731436</v>
      </c>
      <c r="AV13" s="43">
        <f t="shared" si="220"/>
        <v>225747.01726175065</v>
      </c>
      <c r="AW13" s="43">
        <f t="shared" si="220"/>
        <v>231206.22920050172</v>
      </c>
      <c r="AX13" s="43">
        <f t="shared" si="220"/>
        <v>234330.33480107528</v>
      </c>
      <c r="AY13" s="43">
        <f t="shared" si="220"/>
        <v>239905.36085510624</v>
      </c>
      <c r="AZ13" s="43">
        <f t="shared" si="220"/>
        <v>245538.58366265061</v>
      </c>
      <c r="BA13" s="43">
        <f t="shared" si="220"/>
        <v>248837.2801682468</v>
      </c>
      <c r="BB13" s="43">
        <f t="shared" si="220"/>
        <v>254587.47909698379</v>
      </c>
      <c r="BC13" s="43">
        <f t="shared" si="220"/>
        <v>260396.45868881658</v>
      </c>
      <c r="BD13" s="43">
        <f t="shared" si="220"/>
        <v>263871.49783464882</v>
      </c>
      <c r="BE13" s="43">
        <f t="shared" si="220"/>
        <v>269798.62721242255</v>
      </c>
      <c r="BF13" s="43">
        <f t="shared" si="220"/>
        <v>275785.12702145561</v>
      </c>
      <c r="BG13" s="43">
        <f t="shared" si="220"/>
        <v>279438.27811854542</v>
      </c>
      <c r="BH13" s="43">
        <f t="shared" si="220"/>
        <v>285544.11315408105</v>
      </c>
      <c r="BI13" s="43">
        <f t="shared" si="220"/>
        <v>291709.91430640174</v>
      </c>
      <c r="BJ13" s="43">
        <f t="shared" si="220"/>
        <v>295542.96441792347</v>
      </c>
      <c r="BK13" s="43">
        <f t="shared" si="220"/>
        <v>301829.29813127243</v>
      </c>
      <c r="BL13" s="43">
        <f t="shared" si="220"/>
        <v>308176.19962366595</v>
      </c>
      <c r="BM13" s="43">
        <f t="shared" si="220"/>
        <v>312190.9537430607</v>
      </c>
      <c r="BN13" s="43">
        <f t="shared" si="220"/>
        <v>318659.59714430897</v>
      </c>
      <c r="BO13" s="43">
        <f t="shared" si="220"/>
        <v>325189.41602356138</v>
      </c>
      <c r="BP13" s="43">
        <f t="shared" si="220"/>
        <v>329380.18265275686</v>
      </c>
      <c r="BQ13" s="43">
        <f t="shared" ref="BQ13:BY13" si="221">SUM(BQ14:BQ16)</f>
        <v>335987.75638328295</v>
      </c>
      <c r="BR13" s="43">
        <f t="shared" si="221"/>
        <v>342619.29980402184</v>
      </c>
      <c r="BS13" s="43">
        <f t="shared" si="221"/>
        <v>346881.975769301</v>
      </c>
      <c r="BT13" s="43">
        <f t="shared" si="221"/>
        <v>353561.69853369769</v>
      </c>
      <c r="BU13" s="43">
        <f t="shared" si="221"/>
        <v>360265.63148508681</v>
      </c>
      <c r="BV13" s="43">
        <f t="shared" si="221"/>
        <v>364600.93827945169</v>
      </c>
      <c r="BW13" s="43">
        <f t="shared" si="221"/>
        <v>371353.53397569765</v>
      </c>
      <c r="BX13" s="43">
        <f t="shared" si="221"/>
        <v>378130.58276870887</v>
      </c>
      <c r="BY13" s="43">
        <f t="shared" si="221"/>
        <v>382539.24912416795</v>
      </c>
      <c r="BZ13" s="43">
        <f t="shared" ref="BZ13:DI13" si="222">SUM(BZ14:BZ16)</f>
        <v>389365.44891337847</v>
      </c>
      <c r="CA13" s="43">
        <f t="shared" si="222"/>
        <v>396216.34714633075</v>
      </c>
      <c r="CB13" s="43">
        <f t="shared" si="222"/>
        <v>400699.10910653067</v>
      </c>
      <c r="CC13" s="43">
        <f t="shared" si="222"/>
        <v>407599.65148583119</v>
      </c>
      <c r="CD13" s="43">
        <f t="shared" si="222"/>
        <v>414525.14011750714</v>
      </c>
      <c r="CE13" s="43">
        <f t="shared" si="222"/>
        <v>419082.74111109314</v>
      </c>
      <c r="CF13" s="43">
        <f t="shared" si="222"/>
        <v>426058.37198722432</v>
      </c>
      <c r="CG13" s="43">
        <f t="shared" si="222"/>
        <v>433059.19941072038</v>
      </c>
      <c r="CH13" s="43">
        <f t="shared" si="222"/>
        <v>437692.39032543253</v>
      </c>
      <c r="CI13" s="43">
        <f t="shared" si="222"/>
        <v>444743.86308909365</v>
      </c>
      <c r="CJ13" s="43">
        <f t="shared" si="222"/>
        <v>451820.78520641144</v>
      </c>
      <c r="CK13" s="43">
        <f t="shared" si="222"/>
        <v>456530.32446392474</v>
      </c>
      <c r="CL13" s="43">
        <f t="shared" si="222"/>
        <v>463658.40006486297</v>
      </c>
      <c r="CM13" s="43">
        <f t="shared" si="222"/>
        <v>470812.18036224879</v>
      </c>
      <c r="CN13" s="43">
        <f t="shared" si="222"/>
        <v>475598.83399376366</v>
      </c>
      <c r="CO13" s="43">
        <f t="shared" si="222"/>
        <v>482804.28101661685</v>
      </c>
      <c r="CP13" s="43">
        <f t="shared" si="222"/>
        <v>490035.69064065733</v>
      </c>
      <c r="CQ13" s="43">
        <f t="shared" si="222"/>
        <v>494900.232363249</v>
      </c>
      <c r="CR13" s="43">
        <f t="shared" si="222"/>
        <v>502183.82710414927</v>
      </c>
      <c r="CS13" s="43">
        <f t="shared" si="222"/>
        <v>509493.64493863028</v>
      </c>
      <c r="CT13" s="43">
        <f t="shared" si="222"/>
        <v>514436.85623236402</v>
      </c>
      <c r="CU13" s="43">
        <f t="shared" si="222"/>
        <v>521799.38277631014</v>
      </c>
      <c r="CV13" s="43">
        <f t="shared" si="222"/>
        <v>529188.39551984717</v>
      </c>
      <c r="CW13" s="43">
        <f t="shared" si="222"/>
        <v>534211.06570566702</v>
      </c>
      <c r="CX13" s="43">
        <f t="shared" si="222"/>
        <v>541653.31600467302</v>
      </c>
      <c r="CY13" s="43">
        <f t="shared" si="222"/>
        <v>549122.31824912003</v>
      </c>
      <c r="CZ13" s="43">
        <f t="shared" si="222"/>
        <v>554225.24456751975</v>
      </c>
      <c r="DA13" s="43">
        <f t="shared" si="222"/>
        <v>561748.0185195473</v>
      </c>
      <c r="DB13" s="43">
        <f t="shared" si="222"/>
        <v>569297.81282919273</v>
      </c>
      <c r="DC13" s="43">
        <f t="shared" si="222"/>
        <v>574481.80051967467</v>
      </c>
      <c r="DD13" s="43">
        <f t="shared" si="222"/>
        <v>582085.90604835819</v>
      </c>
      <c r="DE13" s="43">
        <f t="shared" si="222"/>
        <v>589717.30303991516</v>
      </c>
      <c r="DF13" s="43">
        <f t="shared" si="222"/>
        <v>594983.16542124841</v>
      </c>
      <c r="DG13" s="43">
        <f t="shared" si="222"/>
        <v>602669.4185564192</v>
      </c>
      <c r="DH13" s="43">
        <f t="shared" si="222"/>
        <v>610383.23697981855</v>
      </c>
      <c r="DI13" s="43">
        <f t="shared" si="222"/>
        <v>615731.79553110024</v>
      </c>
      <c r="DJ13" s="43"/>
      <c r="DK13" s="43"/>
      <c r="DL13" s="43"/>
      <c r="DM13" s="43"/>
      <c r="DN13" s="43"/>
    </row>
    <row r="14" spans="2:118" x14ac:dyDescent="0.3">
      <c r="B14" s="49" t="s">
        <v>10</v>
      </c>
      <c r="E14" s="41">
        <f>Equity</f>
        <v>10</v>
      </c>
      <c r="F14" s="41">
        <f>E14+CapitalContribution</f>
        <v>80000</v>
      </c>
      <c r="G14" s="41">
        <f t="shared" ref="G14:L14" si="223">F14</f>
        <v>80000</v>
      </c>
      <c r="H14" s="41">
        <f t="shared" si="223"/>
        <v>80000</v>
      </c>
      <c r="I14" s="41">
        <f t="shared" si="223"/>
        <v>80000</v>
      </c>
      <c r="J14" s="41">
        <f t="shared" si="223"/>
        <v>80000</v>
      </c>
      <c r="K14" s="41">
        <f t="shared" si="223"/>
        <v>80000</v>
      </c>
      <c r="L14" s="41">
        <f t="shared" si="223"/>
        <v>80000</v>
      </c>
      <c r="M14" s="41">
        <f t="shared" ref="M14:BX14" si="224">L14</f>
        <v>80000</v>
      </c>
      <c r="N14" s="41">
        <f t="shared" si="224"/>
        <v>80000</v>
      </c>
      <c r="O14" s="41">
        <f t="shared" si="224"/>
        <v>80000</v>
      </c>
      <c r="P14" s="41">
        <f t="shared" si="224"/>
        <v>80000</v>
      </c>
      <c r="Q14" s="41">
        <f t="shared" si="224"/>
        <v>80000</v>
      </c>
      <c r="R14" s="41">
        <f t="shared" si="224"/>
        <v>80000</v>
      </c>
      <c r="S14" s="41">
        <f t="shared" si="224"/>
        <v>80000</v>
      </c>
      <c r="T14" s="41">
        <f t="shared" si="224"/>
        <v>80000</v>
      </c>
      <c r="U14" s="41">
        <f t="shared" si="224"/>
        <v>80000</v>
      </c>
      <c r="V14" s="41">
        <f t="shared" si="224"/>
        <v>80000</v>
      </c>
      <c r="W14" s="41">
        <f t="shared" si="224"/>
        <v>80000</v>
      </c>
      <c r="X14" s="41">
        <f t="shared" si="224"/>
        <v>80000</v>
      </c>
      <c r="Y14" s="41">
        <f t="shared" si="224"/>
        <v>80000</v>
      </c>
      <c r="Z14" s="41">
        <f t="shared" si="224"/>
        <v>80000</v>
      </c>
      <c r="AA14" s="41">
        <f t="shared" si="224"/>
        <v>80000</v>
      </c>
      <c r="AB14" s="41">
        <f t="shared" si="224"/>
        <v>80000</v>
      </c>
      <c r="AC14" s="41">
        <f t="shared" si="224"/>
        <v>80000</v>
      </c>
      <c r="AD14" s="41">
        <f t="shared" si="224"/>
        <v>80000</v>
      </c>
      <c r="AE14" s="41">
        <f t="shared" si="224"/>
        <v>80000</v>
      </c>
      <c r="AF14" s="41">
        <f t="shared" si="224"/>
        <v>80000</v>
      </c>
      <c r="AG14" s="41">
        <f t="shared" si="224"/>
        <v>80000</v>
      </c>
      <c r="AH14" s="41">
        <f t="shared" si="224"/>
        <v>80000</v>
      </c>
      <c r="AI14" s="41">
        <f t="shared" si="224"/>
        <v>80000</v>
      </c>
      <c r="AJ14" s="41">
        <f t="shared" si="224"/>
        <v>80000</v>
      </c>
      <c r="AK14" s="41">
        <f t="shared" si="224"/>
        <v>80000</v>
      </c>
      <c r="AL14" s="41">
        <f t="shared" si="224"/>
        <v>80000</v>
      </c>
      <c r="AM14" s="41">
        <f t="shared" si="224"/>
        <v>80000</v>
      </c>
      <c r="AN14" s="41">
        <f t="shared" si="224"/>
        <v>80000</v>
      </c>
      <c r="AO14" s="41">
        <f t="shared" si="224"/>
        <v>80000</v>
      </c>
      <c r="AP14" s="41">
        <f t="shared" si="224"/>
        <v>80000</v>
      </c>
      <c r="AQ14" s="41">
        <f t="shared" si="224"/>
        <v>80000</v>
      </c>
      <c r="AR14" s="41">
        <f t="shared" si="224"/>
        <v>80000</v>
      </c>
      <c r="AS14" s="41">
        <f t="shared" si="224"/>
        <v>80000</v>
      </c>
      <c r="AT14" s="41">
        <f t="shared" si="224"/>
        <v>80000</v>
      </c>
      <c r="AU14" s="41">
        <f t="shared" si="224"/>
        <v>80000</v>
      </c>
      <c r="AV14" s="41">
        <f t="shared" si="224"/>
        <v>80000</v>
      </c>
      <c r="AW14" s="41">
        <f t="shared" si="224"/>
        <v>80000</v>
      </c>
      <c r="AX14" s="41">
        <f t="shared" si="224"/>
        <v>80000</v>
      </c>
      <c r="AY14" s="41">
        <f t="shared" si="224"/>
        <v>80000</v>
      </c>
      <c r="AZ14" s="41">
        <f t="shared" si="224"/>
        <v>80000</v>
      </c>
      <c r="BA14" s="41">
        <f t="shared" si="224"/>
        <v>80000</v>
      </c>
      <c r="BB14" s="41">
        <f t="shared" si="224"/>
        <v>80000</v>
      </c>
      <c r="BC14" s="41">
        <f t="shared" si="224"/>
        <v>80000</v>
      </c>
      <c r="BD14" s="41">
        <f t="shared" si="224"/>
        <v>80000</v>
      </c>
      <c r="BE14" s="41">
        <f t="shared" si="224"/>
        <v>80000</v>
      </c>
      <c r="BF14" s="41">
        <f t="shared" si="224"/>
        <v>80000</v>
      </c>
      <c r="BG14" s="41">
        <f t="shared" si="224"/>
        <v>80000</v>
      </c>
      <c r="BH14" s="41">
        <f t="shared" si="224"/>
        <v>80000</v>
      </c>
      <c r="BI14" s="41">
        <f t="shared" si="224"/>
        <v>80000</v>
      </c>
      <c r="BJ14" s="41">
        <f t="shared" si="224"/>
        <v>80000</v>
      </c>
      <c r="BK14" s="41">
        <f t="shared" si="224"/>
        <v>80000</v>
      </c>
      <c r="BL14" s="41">
        <f t="shared" si="224"/>
        <v>80000</v>
      </c>
      <c r="BM14" s="41">
        <f t="shared" si="224"/>
        <v>80000</v>
      </c>
      <c r="BN14" s="41">
        <f t="shared" si="224"/>
        <v>80000</v>
      </c>
      <c r="BO14" s="41">
        <f t="shared" si="224"/>
        <v>80000</v>
      </c>
      <c r="BP14" s="41">
        <f t="shared" si="224"/>
        <v>80000</v>
      </c>
      <c r="BQ14" s="41">
        <f t="shared" si="224"/>
        <v>80000</v>
      </c>
      <c r="BR14" s="41">
        <f t="shared" si="224"/>
        <v>80000</v>
      </c>
      <c r="BS14" s="41">
        <f t="shared" si="224"/>
        <v>80000</v>
      </c>
      <c r="BT14" s="41">
        <f t="shared" si="224"/>
        <v>80000</v>
      </c>
      <c r="BU14" s="41">
        <f t="shared" si="224"/>
        <v>80000</v>
      </c>
      <c r="BV14" s="41">
        <f t="shared" si="224"/>
        <v>80000</v>
      </c>
      <c r="BW14" s="41">
        <f t="shared" si="224"/>
        <v>80000</v>
      </c>
      <c r="BX14" s="41">
        <f t="shared" si="224"/>
        <v>80000</v>
      </c>
      <c r="BY14" s="41">
        <f t="shared" ref="BY14" si="225">BX14</f>
        <v>80000</v>
      </c>
      <c r="BZ14" s="41">
        <f t="shared" ref="BZ14" si="226">BY14</f>
        <v>80000</v>
      </c>
      <c r="CA14" s="41">
        <f t="shared" ref="CA14" si="227">BZ14</f>
        <v>80000</v>
      </c>
      <c r="CB14" s="41">
        <f t="shared" ref="CB14" si="228">CA14</f>
        <v>80000</v>
      </c>
      <c r="CC14" s="41">
        <f t="shared" ref="CC14" si="229">CB14</f>
        <v>80000</v>
      </c>
      <c r="CD14" s="41">
        <f t="shared" ref="CD14" si="230">CC14</f>
        <v>80000</v>
      </c>
      <c r="CE14" s="41">
        <f t="shared" ref="CE14" si="231">CD14</f>
        <v>80000</v>
      </c>
      <c r="CF14" s="41">
        <f t="shared" ref="CF14" si="232">CE14</f>
        <v>80000</v>
      </c>
      <c r="CG14" s="41">
        <f t="shared" ref="CG14" si="233">CF14</f>
        <v>80000</v>
      </c>
      <c r="CH14" s="41">
        <f t="shared" ref="CH14" si="234">CG14</f>
        <v>80000</v>
      </c>
      <c r="CI14" s="41">
        <f t="shared" ref="CI14" si="235">CH14</f>
        <v>80000</v>
      </c>
      <c r="CJ14" s="41">
        <f t="shared" ref="CJ14" si="236">CI14</f>
        <v>80000</v>
      </c>
      <c r="CK14" s="41">
        <f t="shared" ref="CK14" si="237">CJ14</f>
        <v>80000</v>
      </c>
      <c r="CL14" s="41">
        <f t="shared" ref="CL14" si="238">CK14</f>
        <v>80000</v>
      </c>
      <c r="CM14" s="41">
        <f t="shared" ref="CM14" si="239">CL14</f>
        <v>80000</v>
      </c>
      <c r="CN14" s="41">
        <f t="shared" ref="CN14" si="240">CM14</f>
        <v>80000</v>
      </c>
      <c r="CO14" s="41">
        <f t="shared" ref="CO14" si="241">CN14</f>
        <v>80000</v>
      </c>
      <c r="CP14" s="41">
        <f t="shared" ref="CP14" si="242">CO14</f>
        <v>80000</v>
      </c>
      <c r="CQ14" s="41">
        <f t="shared" ref="CQ14" si="243">CP14</f>
        <v>80000</v>
      </c>
      <c r="CR14" s="41">
        <f t="shared" ref="CR14" si="244">CQ14</f>
        <v>80000</v>
      </c>
      <c r="CS14" s="41">
        <f t="shared" ref="CS14" si="245">CR14</f>
        <v>80000</v>
      </c>
      <c r="CT14" s="41">
        <f t="shared" ref="CT14" si="246">CS14</f>
        <v>80000</v>
      </c>
      <c r="CU14" s="41">
        <f t="shared" ref="CU14" si="247">CT14</f>
        <v>80000</v>
      </c>
      <c r="CV14" s="41">
        <f t="shared" ref="CV14" si="248">CU14</f>
        <v>80000</v>
      </c>
      <c r="CW14" s="41">
        <f t="shared" ref="CW14" si="249">CV14</f>
        <v>80000</v>
      </c>
      <c r="CX14" s="41">
        <f t="shared" ref="CX14" si="250">CW14</f>
        <v>80000</v>
      </c>
      <c r="CY14" s="41">
        <f t="shared" ref="CY14" si="251">CX14</f>
        <v>80000</v>
      </c>
      <c r="CZ14" s="41">
        <f t="shared" ref="CZ14" si="252">CY14</f>
        <v>80000</v>
      </c>
      <c r="DA14" s="41">
        <f t="shared" ref="DA14" si="253">CZ14</f>
        <v>80000</v>
      </c>
      <c r="DB14" s="41">
        <f t="shared" ref="DB14" si="254">DA14</f>
        <v>80000</v>
      </c>
      <c r="DC14" s="41">
        <f t="shared" ref="DC14" si="255">DB14</f>
        <v>80000</v>
      </c>
      <c r="DD14" s="41">
        <f t="shared" ref="DD14" si="256">DC14</f>
        <v>80000</v>
      </c>
      <c r="DE14" s="41">
        <f t="shared" ref="DE14" si="257">DD14</f>
        <v>80000</v>
      </c>
      <c r="DF14" s="41">
        <f t="shared" ref="DF14" si="258">DE14</f>
        <v>80000</v>
      </c>
      <c r="DG14" s="41">
        <f t="shared" ref="DG14" si="259">DF14</f>
        <v>80000</v>
      </c>
      <c r="DH14" s="41">
        <f t="shared" ref="DH14" si="260">DG14</f>
        <v>80000</v>
      </c>
      <c r="DI14" s="41">
        <f t="shared" ref="DI14" si="261">DH14</f>
        <v>80000</v>
      </c>
      <c r="DJ14" s="41"/>
      <c r="DK14" s="41"/>
      <c r="DL14" s="41"/>
      <c r="DM14" s="41"/>
      <c r="DN14" s="41"/>
    </row>
    <row r="15" spans="2:118" ht="26" x14ac:dyDescent="0.3">
      <c r="B15" s="49" t="s">
        <v>11</v>
      </c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Q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K15" s="41"/>
      <c r="AL15" s="41"/>
      <c r="AM15" s="41"/>
      <c r="AN15" s="41"/>
      <c r="AO15" s="41"/>
      <c r="AP15" s="41"/>
      <c r="AQ15" s="41"/>
      <c r="AR15" s="41"/>
      <c r="AS15" s="41"/>
      <c r="AT15" s="41"/>
      <c r="AU15" s="41"/>
      <c r="AV15" s="41"/>
      <c r="AW15" s="41"/>
      <c r="AX15" s="41"/>
      <c r="AY15" s="41"/>
      <c r="AZ15" s="41"/>
      <c r="BA15" s="41"/>
      <c r="BB15" s="41"/>
      <c r="BC15" s="41"/>
      <c r="BD15" s="41"/>
      <c r="BE15" s="41"/>
      <c r="BF15" s="41"/>
      <c r="BG15" s="41"/>
      <c r="BH15" s="41"/>
      <c r="BI15" s="41"/>
      <c r="BJ15" s="41"/>
      <c r="BK15" s="41"/>
      <c r="BL15" s="41"/>
      <c r="BM15" s="41"/>
      <c r="BN15" s="41"/>
      <c r="BO15" s="41"/>
      <c r="BP15" s="41"/>
      <c r="BQ15" s="41"/>
      <c r="BR15" s="41"/>
      <c r="BS15" s="41"/>
      <c r="BT15" s="41"/>
      <c r="BU15" s="41"/>
      <c r="BV15" s="41"/>
      <c r="BW15" s="41"/>
      <c r="BX15" s="41"/>
      <c r="BY15" s="41"/>
      <c r="BZ15" s="41"/>
      <c r="CA15" s="41"/>
      <c r="CB15" s="41"/>
      <c r="CC15" s="41"/>
      <c r="CD15" s="41"/>
      <c r="CE15" s="41"/>
      <c r="CF15" s="41"/>
      <c r="CG15" s="41"/>
      <c r="CH15" s="41"/>
      <c r="CI15" s="41"/>
      <c r="CJ15" s="41"/>
      <c r="CK15" s="41"/>
      <c r="CL15" s="41"/>
      <c r="CM15" s="41"/>
      <c r="CN15" s="41"/>
      <c r="CO15" s="41"/>
      <c r="CP15" s="41"/>
      <c r="CQ15" s="41"/>
      <c r="CR15" s="41"/>
      <c r="CS15" s="41"/>
      <c r="CT15" s="41"/>
      <c r="CU15" s="41"/>
      <c r="CV15" s="41"/>
      <c r="CW15" s="41"/>
      <c r="CX15" s="41"/>
      <c r="CY15" s="41"/>
      <c r="CZ15" s="41"/>
      <c r="DA15" s="41"/>
      <c r="DB15" s="41"/>
      <c r="DC15" s="41"/>
      <c r="DD15" s="41"/>
      <c r="DE15" s="41"/>
      <c r="DF15" s="41"/>
      <c r="DG15" s="41"/>
      <c r="DH15" s="41"/>
      <c r="DI15" s="41"/>
      <c r="DJ15" s="41"/>
      <c r="DK15" s="41"/>
      <c r="DL15" s="41"/>
      <c r="DM15" s="41"/>
      <c r="DN15" s="41"/>
    </row>
    <row r="16" spans="2:118" x14ac:dyDescent="0.3">
      <c r="B16" s="49" t="s">
        <v>12</v>
      </c>
      <c r="E16" s="41">
        <f>RetainetProfitOrUncoveredLoss</f>
        <v>338143</v>
      </c>
      <c r="F16" s="41">
        <f>ProfitOrLoss+E16-CF!F28</f>
        <v>35760.656133333337</v>
      </c>
      <c r="G16" s="41">
        <f t="shared" ref="G16:AL16" si="262">ProfitOrLoss+F16</f>
        <v>33815.212906872533</v>
      </c>
      <c r="H16" s="41">
        <f t="shared" si="262"/>
        <v>29346.816934017479</v>
      </c>
      <c r="I16" s="41">
        <f t="shared" si="262"/>
        <v>28327.010325335727</v>
      </c>
      <c r="J16" s="41">
        <f t="shared" si="262"/>
        <v>27781.314447074787</v>
      </c>
      <c r="K16" s="41">
        <f t="shared" si="262"/>
        <v>24707.770005206883</v>
      </c>
      <c r="L16" s="41">
        <f t="shared" si="262"/>
        <v>25025.920336768282</v>
      </c>
      <c r="M16" s="41">
        <f t="shared" si="262"/>
        <v>25730.565692701977</v>
      </c>
      <c r="N16" s="41">
        <f t="shared" si="262"/>
        <v>24064.527708957103</v>
      </c>
      <c r="O16" s="41">
        <f t="shared" si="262"/>
        <v>25515.885893315197</v>
      </c>
      <c r="P16" s="41">
        <f t="shared" si="262"/>
        <v>27349.738806871934</v>
      </c>
      <c r="Q16" s="41">
        <f t="shared" si="262"/>
        <v>27146.120530880293</v>
      </c>
      <c r="R16" s="41">
        <f t="shared" si="262"/>
        <v>31375.279952160719</v>
      </c>
      <c r="S16" s="41">
        <f t="shared" si="262"/>
        <v>35663.101571512081</v>
      </c>
      <c r="T16" s="41">
        <f t="shared" si="262"/>
        <v>37133.899511834337</v>
      </c>
      <c r="U16" s="41">
        <f t="shared" si="262"/>
        <v>41050.106880079795</v>
      </c>
      <c r="V16" s="41">
        <f t="shared" si="262"/>
        <v>45018.9816062194</v>
      </c>
      <c r="W16" s="41">
        <f t="shared" si="262"/>
        <v>46647.782203472809</v>
      </c>
      <c r="X16" s="41">
        <f t="shared" si="262"/>
        <v>50722.518904172532</v>
      </c>
      <c r="Y16" s="41">
        <f t="shared" si="262"/>
        <v>54850.451393874588</v>
      </c>
      <c r="Z16" s="41">
        <f t="shared" si="262"/>
        <v>56638.839947235647</v>
      </c>
      <c r="AA16" s="41">
        <f t="shared" si="262"/>
        <v>60873.696563896716</v>
      </c>
      <c r="AB16" s="41">
        <f t="shared" si="262"/>
        <v>65162.282702613316</v>
      </c>
      <c r="AC16" s="41">
        <f t="shared" si="262"/>
        <v>67111.860417152304</v>
      </c>
      <c r="AD16" s="41">
        <f t="shared" si="262"/>
        <v>71508.44349219522</v>
      </c>
      <c r="AE16" s="41">
        <f t="shared" si="262"/>
        <v>75959.295177488282</v>
      </c>
      <c r="AF16" s="41">
        <f t="shared" si="262"/>
        <v>78071.679323758988</v>
      </c>
      <c r="AG16" s="41">
        <f t="shared" si="262"/>
        <v>82631.611518639402</v>
      </c>
      <c r="AH16" s="41">
        <f t="shared" si="262"/>
        <v>87246.356820836081</v>
      </c>
      <c r="AI16" s="41">
        <f t="shared" si="262"/>
        <v>89523.180896066755</v>
      </c>
      <c r="AJ16" s="41">
        <f t="shared" si="262"/>
        <v>94248.101153003663</v>
      </c>
      <c r="AK16" s="41">
        <f t="shared" si="262"/>
        <v>99028.384477463696</v>
      </c>
      <c r="AL16" s="41">
        <f t="shared" si="262"/>
        <v>101471.29836836526</v>
      </c>
      <c r="AM16" s="41">
        <f t="shared" ref="AM16:BR16" si="263">ProfitOrLoss+AL16</f>
        <v>106362.86207369197</v>
      </c>
      <c r="AN16" s="41">
        <f t="shared" si="263"/>
        <v>111310.3443247031</v>
      </c>
      <c r="AO16" s="41">
        <f t="shared" si="263"/>
        <v>113921.01447191092</v>
      </c>
      <c r="AP16" s="41">
        <f t="shared" si="263"/>
        <v>118980.89362106491</v>
      </c>
      <c r="AQ16" s="41">
        <f t="shared" si="263"/>
        <v>124097.25236738275</v>
      </c>
      <c r="AR16" s="41">
        <f t="shared" si="263"/>
        <v>126877.36193154832</v>
      </c>
      <c r="AS16" s="41">
        <f t="shared" si="263"/>
        <v>132107.24529571657</v>
      </c>
      <c r="AT16" s="41">
        <f t="shared" si="263"/>
        <v>137394.17493776538</v>
      </c>
      <c r="AU16" s="41">
        <f t="shared" si="263"/>
        <v>140345.42396731436</v>
      </c>
      <c r="AV16" s="41">
        <f t="shared" si="263"/>
        <v>145747.01726175065</v>
      </c>
      <c r="AW16" s="41">
        <f t="shared" si="263"/>
        <v>151206.22920050172</v>
      </c>
      <c r="AX16" s="41">
        <f t="shared" si="263"/>
        <v>154330.33480107528</v>
      </c>
      <c r="AY16" s="41">
        <f t="shared" si="263"/>
        <v>159905.36085510624</v>
      </c>
      <c r="AZ16" s="41">
        <f t="shared" si="263"/>
        <v>165538.58366265061</v>
      </c>
      <c r="BA16" s="41">
        <f t="shared" si="263"/>
        <v>168837.2801682468</v>
      </c>
      <c r="BB16" s="41">
        <f t="shared" si="263"/>
        <v>174587.47909698379</v>
      </c>
      <c r="BC16" s="41">
        <f t="shared" si="263"/>
        <v>180396.45868881658</v>
      </c>
      <c r="BD16" s="41">
        <f t="shared" si="263"/>
        <v>183871.49783464879</v>
      </c>
      <c r="BE16" s="41">
        <f t="shared" si="263"/>
        <v>189798.62721242258</v>
      </c>
      <c r="BF16" s="41">
        <f t="shared" si="263"/>
        <v>195785.12702145561</v>
      </c>
      <c r="BG16" s="41">
        <f t="shared" si="263"/>
        <v>199438.27811854542</v>
      </c>
      <c r="BH16" s="41">
        <f t="shared" si="263"/>
        <v>205544.11315408102</v>
      </c>
      <c r="BI16" s="41">
        <f t="shared" si="263"/>
        <v>211709.91430640171</v>
      </c>
      <c r="BJ16" s="41">
        <f t="shared" si="263"/>
        <v>215542.96441792347</v>
      </c>
      <c r="BK16" s="41">
        <f t="shared" si="263"/>
        <v>221829.29813127246</v>
      </c>
      <c r="BL16" s="41">
        <f t="shared" si="263"/>
        <v>228176.19962366595</v>
      </c>
      <c r="BM16" s="41">
        <f t="shared" si="263"/>
        <v>232190.95374306073</v>
      </c>
      <c r="BN16" s="41">
        <f t="shared" si="263"/>
        <v>238659.59714430897</v>
      </c>
      <c r="BO16" s="41">
        <f t="shared" si="263"/>
        <v>245189.41602356138</v>
      </c>
      <c r="BP16" s="41">
        <f t="shared" si="263"/>
        <v>249380.18265275686</v>
      </c>
      <c r="BQ16" s="41">
        <f t="shared" si="263"/>
        <v>255987.75638328292</v>
      </c>
      <c r="BR16" s="41">
        <f t="shared" si="263"/>
        <v>262619.29980402184</v>
      </c>
      <c r="BS16" s="41">
        <f t="shared" ref="BS16:BY16" si="264">ProfitOrLoss+BR16</f>
        <v>266881.975769301</v>
      </c>
      <c r="BT16" s="41">
        <f t="shared" si="264"/>
        <v>273561.69853369769</v>
      </c>
      <c r="BU16" s="41">
        <f t="shared" si="264"/>
        <v>280265.63148508681</v>
      </c>
      <c r="BV16" s="41">
        <f t="shared" si="264"/>
        <v>284600.93827945169</v>
      </c>
      <c r="BW16" s="41">
        <f t="shared" si="264"/>
        <v>291353.53397569765</v>
      </c>
      <c r="BX16" s="41">
        <f t="shared" si="264"/>
        <v>298130.58276870887</v>
      </c>
      <c r="BY16" s="41">
        <f t="shared" si="264"/>
        <v>302539.24912416795</v>
      </c>
      <c r="BZ16" s="41">
        <f t="shared" ref="BZ16:DI16" si="265">ProfitOrLoss+BY16</f>
        <v>309365.44891337847</v>
      </c>
      <c r="CA16" s="41">
        <f t="shared" si="265"/>
        <v>316216.34714633075</v>
      </c>
      <c r="CB16" s="41">
        <f t="shared" si="265"/>
        <v>320699.10910653067</v>
      </c>
      <c r="CC16" s="41">
        <f t="shared" si="265"/>
        <v>327599.65148583119</v>
      </c>
      <c r="CD16" s="41">
        <f t="shared" si="265"/>
        <v>334525.14011750714</v>
      </c>
      <c r="CE16" s="41">
        <f t="shared" si="265"/>
        <v>339082.74111109314</v>
      </c>
      <c r="CF16" s="41">
        <f t="shared" si="265"/>
        <v>346058.37198722432</v>
      </c>
      <c r="CG16" s="41">
        <f t="shared" si="265"/>
        <v>353059.19941072038</v>
      </c>
      <c r="CH16" s="41">
        <f t="shared" si="265"/>
        <v>357692.39032543253</v>
      </c>
      <c r="CI16" s="41">
        <f t="shared" si="265"/>
        <v>364743.86308909365</v>
      </c>
      <c r="CJ16" s="41">
        <f t="shared" si="265"/>
        <v>371820.78520641144</v>
      </c>
      <c r="CK16" s="41">
        <f t="shared" si="265"/>
        <v>376530.32446392474</v>
      </c>
      <c r="CL16" s="41">
        <f t="shared" si="265"/>
        <v>383658.40006486297</v>
      </c>
      <c r="CM16" s="41">
        <f t="shared" si="265"/>
        <v>390812.18036224879</v>
      </c>
      <c r="CN16" s="41">
        <f t="shared" si="265"/>
        <v>395598.83399376366</v>
      </c>
      <c r="CO16" s="41">
        <f t="shared" si="265"/>
        <v>402804.28101661685</v>
      </c>
      <c r="CP16" s="41">
        <f t="shared" si="265"/>
        <v>410035.69064065733</v>
      </c>
      <c r="CQ16" s="41">
        <f t="shared" si="265"/>
        <v>414900.232363249</v>
      </c>
      <c r="CR16" s="41">
        <f t="shared" si="265"/>
        <v>422183.82710414927</v>
      </c>
      <c r="CS16" s="41">
        <f t="shared" si="265"/>
        <v>429493.64493863028</v>
      </c>
      <c r="CT16" s="41">
        <f t="shared" si="265"/>
        <v>434436.85623236402</v>
      </c>
      <c r="CU16" s="41">
        <f t="shared" si="265"/>
        <v>441799.38277631014</v>
      </c>
      <c r="CV16" s="41">
        <f t="shared" si="265"/>
        <v>449188.39551984717</v>
      </c>
      <c r="CW16" s="41">
        <f t="shared" si="265"/>
        <v>454211.06570566708</v>
      </c>
      <c r="CX16" s="41">
        <f t="shared" si="265"/>
        <v>461653.31600467296</v>
      </c>
      <c r="CY16" s="41">
        <f t="shared" si="265"/>
        <v>469122.31824912003</v>
      </c>
      <c r="CZ16" s="41">
        <f t="shared" si="265"/>
        <v>474225.24456751969</v>
      </c>
      <c r="DA16" s="41">
        <f t="shared" si="265"/>
        <v>481748.01851954724</v>
      </c>
      <c r="DB16" s="41">
        <f t="shared" si="265"/>
        <v>489297.81282919267</v>
      </c>
      <c r="DC16" s="41">
        <f t="shared" si="265"/>
        <v>494481.80051967467</v>
      </c>
      <c r="DD16" s="41">
        <f t="shared" si="265"/>
        <v>502085.90604835819</v>
      </c>
      <c r="DE16" s="41">
        <f t="shared" si="265"/>
        <v>509717.3030399151</v>
      </c>
      <c r="DF16" s="41">
        <f t="shared" si="265"/>
        <v>514983.16542124836</v>
      </c>
      <c r="DG16" s="41">
        <f t="shared" si="265"/>
        <v>522669.41855641926</v>
      </c>
      <c r="DH16" s="41">
        <f t="shared" si="265"/>
        <v>530383.23697981855</v>
      </c>
      <c r="DI16" s="41">
        <f t="shared" si="265"/>
        <v>535731.79553110024</v>
      </c>
      <c r="DJ16" s="41"/>
      <c r="DK16" s="41"/>
      <c r="DL16" s="41"/>
      <c r="DM16" s="41"/>
      <c r="DN16" s="41"/>
    </row>
    <row r="17" spans="2:118" x14ac:dyDescent="0.3">
      <c r="B17" s="48" t="s">
        <v>140</v>
      </c>
      <c r="C17" s="42"/>
      <c r="D17" s="42"/>
      <c r="E17" s="43">
        <f>E18</f>
        <v>270000</v>
      </c>
      <c r="F17" s="43">
        <f t="shared" ref="F17:J17" si="266">F18</f>
        <v>270000</v>
      </c>
      <c r="G17" s="43">
        <f t="shared" si="266"/>
        <v>265986.66666666669</v>
      </c>
      <c r="H17" s="43">
        <f t="shared" si="266"/>
        <v>261959.95555555559</v>
      </c>
      <c r="I17" s="43">
        <f t="shared" si="266"/>
        <v>257919.82207407409</v>
      </c>
      <c r="J17" s="43">
        <f t="shared" si="266"/>
        <v>253866.22148098768</v>
      </c>
      <c r="K17" s="43">
        <f t="shared" ref="K17" si="267">K18</f>
        <v>249799.1088859243</v>
      </c>
      <c r="L17" s="43">
        <f t="shared" ref="L17" si="268">L18</f>
        <v>245718.43924887737</v>
      </c>
      <c r="M17" s="43">
        <f t="shared" ref="M17" si="269">M18</f>
        <v>241624.16737970695</v>
      </c>
      <c r="N17" s="43">
        <f t="shared" ref="N17" si="270">N18</f>
        <v>237516.2479376393</v>
      </c>
      <c r="O17" s="43">
        <f t="shared" ref="O17" si="271">O18</f>
        <v>233394.63543076476</v>
      </c>
      <c r="P17" s="43">
        <f t="shared" ref="P17" si="272">P18</f>
        <v>229259.28421553396</v>
      </c>
      <c r="Q17" s="43">
        <f t="shared" ref="Q17" si="273">Q18</f>
        <v>225110.1484962524</v>
      </c>
      <c r="R17" s="43">
        <f t="shared" ref="R17" si="274">R18</f>
        <v>220947.18232457322</v>
      </c>
      <c r="S17" s="43">
        <f t="shared" ref="S17" si="275">S18</f>
        <v>216770.33959898847</v>
      </c>
      <c r="T17" s="43">
        <f t="shared" ref="T17" si="276">T18</f>
        <v>212579.57406431844</v>
      </c>
      <c r="U17" s="43">
        <f t="shared" ref="U17" si="277">U18</f>
        <v>208374.8393111995</v>
      </c>
      <c r="V17" s="43">
        <f t="shared" ref="V17" si="278">V18</f>
        <v>204156.08877557016</v>
      </c>
      <c r="W17" s="43">
        <f t="shared" ref="W17" si="279">W18</f>
        <v>199923.27573815538</v>
      </c>
      <c r="X17" s="43">
        <f t="shared" ref="X17" si="280">X18</f>
        <v>195676.35332394924</v>
      </c>
      <c r="Y17" s="43">
        <f t="shared" ref="Y17" si="281">Y18</f>
        <v>191415.27450169573</v>
      </c>
      <c r="Z17" s="43">
        <f t="shared" ref="Z17" si="282">Z18</f>
        <v>187139.99208336804</v>
      </c>
      <c r="AA17" s="43">
        <f t="shared" ref="AA17" si="283">AA18</f>
        <v>182850.45872364592</v>
      </c>
      <c r="AB17" s="43">
        <f t="shared" ref="AB17" si="284">AB18</f>
        <v>178546.62691939139</v>
      </c>
      <c r="AC17" s="43">
        <f t="shared" ref="AC17" si="285">AC18</f>
        <v>174228.44900912268</v>
      </c>
      <c r="AD17" s="43">
        <f t="shared" ref="AD17" si="286">AD18</f>
        <v>169895.87717248642</v>
      </c>
      <c r="AE17" s="43">
        <f t="shared" ref="AE17" si="287">AE18</f>
        <v>165548.86342972802</v>
      </c>
      <c r="AF17" s="43">
        <f t="shared" ref="AF17" si="288">AF18</f>
        <v>161187.35964116044</v>
      </c>
      <c r="AG17" s="43">
        <f t="shared" ref="AG17" si="289">AG18</f>
        <v>156811.31750663096</v>
      </c>
      <c r="AH17" s="43">
        <f t="shared" ref="AH17" si="290">AH18</f>
        <v>152420.6885649864</v>
      </c>
      <c r="AI17" s="43">
        <f t="shared" ref="AI17" si="291">AI18</f>
        <v>148015.42419353634</v>
      </c>
      <c r="AJ17" s="43">
        <f t="shared" ref="AJ17" si="292">AJ18</f>
        <v>143595.47560751479</v>
      </c>
      <c r="AK17" s="43">
        <f t="shared" ref="AK17" si="293">AK18</f>
        <v>139160.79385953982</v>
      </c>
      <c r="AL17" s="43">
        <f t="shared" ref="AL17" si="294">AL18</f>
        <v>134711.32983907161</v>
      </c>
      <c r="AM17" s="43">
        <f t="shared" ref="AM17" si="295">AM18</f>
        <v>130247.0342718685</v>
      </c>
      <c r="AN17" s="43">
        <f t="shared" ref="AN17" si="296">AN18</f>
        <v>125767.85771944138</v>
      </c>
      <c r="AO17" s="43">
        <f t="shared" ref="AO17" si="297">AO18</f>
        <v>121273.75057850617</v>
      </c>
      <c r="AP17" s="43">
        <f t="shared" ref="AP17" si="298">AP18</f>
        <v>116764.6630804345</v>
      </c>
      <c r="AQ17" s="43">
        <f t="shared" ref="AQ17" si="299">AQ18</f>
        <v>112240.5452907026</v>
      </c>
      <c r="AR17" s="43">
        <f t="shared" ref="AR17" si="300">AR18</f>
        <v>107701.34710833826</v>
      </c>
      <c r="AS17" s="43">
        <f t="shared" ref="AS17" si="301">AS18</f>
        <v>103147.01826536604</v>
      </c>
      <c r="AT17" s="43">
        <f t="shared" ref="AT17" si="302">AT18</f>
        <v>98577.50832625058</v>
      </c>
      <c r="AU17" s="43">
        <f t="shared" ref="AU17" si="303">AU18</f>
        <v>93992.766687338066</v>
      </c>
      <c r="AV17" s="43">
        <f t="shared" ref="AV17" si="304">AV18</f>
        <v>89392.742576295845</v>
      </c>
      <c r="AW17" s="43">
        <f t="shared" ref="AW17" si="305">AW18</f>
        <v>84777.38505155014</v>
      </c>
      <c r="AX17" s="43">
        <f t="shared" ref="AX17" si="306">AX18</f>
        <v>80146.643001721954</v>
      </c>
      <c r="AY17" s="43">
        <f t="shared" ref="AY17" si="307">AY18</f>
        <v>75500.465145061011</v>
      </c>
      <c r="AZ17" s="43">
        <f t="shared" ref="AZ17" si="308">AZ18</f>
        <v>70838.800028877857</v>
      </c>
      <c r="BA17" s="43">
        <f t="shared" ref="BA17" si="309">BA18</f>
        <v>66161.596028974105</v>
      </c>
      <c r="BB17" s="43">
        <f t="shared" ref="BB17" si="310">BB18</f>
        <v>61468.801349070665</v>
      </c>
      <c r="BC17" s="43">
        <f t="shared" ref="BC17" si="311">BC18</f>
        <v>56760.364020234214</v>
      </c>
      <c r="BD17" s="43">
        <f t="shared" ref="BD17" si="312">BD18</f>
        <v>52036.231900301646</v>
      </c>
      <c r="BE17" s="43">
        <f t="shared" ref="BE17" si="313">BE18</f>
        <v>47296.35267330263</v>
      </c>
      <c r="BF17" s="43">
        <f t="shared" ref="BF17" si="314">BF18</f>
        <v>42540.673848880288</v>
      </c>
      <c r="BG17" s="43">
        <f t="shared" ref="BG17" si="315">BG18</f>
        <v>37769.142761709867</v>
      </c>
      <c r="BH17" s="43">
        <f t="shared" ref="BH17" si="316">BH18</f>
        <v>32981.706570915543</v>
      </c>
      <c r="BI17" s="43">
        <f t="shared" ref="BI17" si="317">BI18</f>
        <v>28178.312259485239</v>
      </c>
      <c r="BJ17" s="43">
        <f t="shared" ref="BJ17" si="318">BJ18</f>
        <v>23358.906633683502</v>
      </c>
      <c r="BK17" s="43">
        <f t="shared" ref="BK17" si="319">BK18</f>
        <v>18523.436322462425</v>
      </c>
      <c r="BL17" s="43">
        <f t="shared" ref="BL17" si="320">BL18</f>
        <v>13671.847776870611</v>
      </c>
      <c r="BM17" s="43">
        <f t="shared" ref="BM17" si="321">BM18</f>
        <v>8804.0872694601567</v>
      </c>
      <c r="BN17" s="43">
        <f t="shared" ref="BN17" si="322">BN18</f>
        <v>3920.1008936916687</v>
      </c>
      <c r="BO17" s="43">
        <f t="shared" ref="BO17" si="323">BO18</f>
        <v>0</v>
      </c>
      <c r="BP17" s="43">
        <f t="shared" ref="BP17" si="324">BP18</f>
        <v>0</v>
      </c>
      <c r="BQ17" s="43">
        <f t="shared" ref="BQ17" si="325">BQ18</f>
        <v>0</v>
      </c>
      <c r="BR17" s="43">
        <f t="shared" ref="BR17" si="326">BR18</f>
        <v>0</v>
      </c>
      <c r="BS17" s="43">
        <f t="shared" ref="BS17" si="327">BS18</f>
        <v>0</v>
      </c>
      <c r="BT17" s="43">
        <f t="shared" ref="BT17" si="328">BT18</f>
        <v>0</v>
      </c>
      <c r="BU17" s="43">
        <f t="shared" ref="BU17" si="329">BU18</f>
        <v>0</v>
      </c>
      <c r="BV17" s="43">
        <f t="shared" ref="BV17" si="330">BV18</f>
        <v>0</v>
      </c>
      <c r="BW17" s="43">
        <f t="shared" ref="BW17" si="331">BW18</f>
        <v>0</v>
      </c>
      <c r="BX17" s="43">
        <f t="shared" ref="BX17" si="332">BX18</f>
        <v>0</v>
      </c>
      <c r="BY17" s="43">
        <f t="shared" ref="BY17:DI17" si="333">BY18</f>
        <v>0</v>
      </c>
      <c r="BZ17" s="43">
        <f t="shared" si="333"/>
        <v>0</v>
      </c>
      <c r="CA17" s="43">
        <f t="shared" si="333"/>
        <v>0</v>
      </c>
      <c r="CB17" s="43">
        <f t="shared" si="333"/>
        <v>0</v>
      </c>
      <c r="CC17" s="43">
        <f t="shared" si="333"/>
        <v>0</v>
      </c>
      <c r="CD17" s="43">
        <f t="shared" si="333"/>
        <v>0</v>
      </c>
      <c r="CE17" s="43">
        <f t="shared" si="333"/>
        <v>0</v>
      </c>
      <c r="CF17" s="43">
        <f t="shared" si="333"/>
        <v>0</v>
      </c>
      <c r="CG17" s="43">
        <f t="shared" si="333"/>
        <v>0</v>
      </c>
      <c r="CH17" s="43">
        <f t="shared" si="333"/>
        <v>0</v>
      </c>
      <c r="CI17" s="43">
        <f t="shared" si="333"/>
        <v>0</v>
      </c>
      <c r="CJ17" s="43">
        <f t="shared" si="333"/>
        <v>0</v>
      </c>
      <c r="CK17" s="43">
        <f t="shared" si="333"/>
        <v>0</v>
      </c>
      <c r="CL17" s="43">
        <f t="shared" si="333"/>
        <v>0</v>
      </c>
      <c r="CM17" s="43">
        <f t="shared" si="333"/>
        <v>0</v>
      </c>
      <c r="CN17" s="43">
        <f t="shared" si="333"/>
        <v>0</v>
      </c>
      <c r="CO17" s="43">
        <f t="shared" si="333"/>
        <v>0</v>
      </c>
      <c r="CP17" s="43">
        <f t="shared" si="333"/>
        <v>0</v>
      </c>
      <c r="CQ17" s="43">
        <f t="shared" si="333"/>
        <v>0</v>
      </c>
      <c r="CR17" s="43">
        <f t="shared" si="333"/>
        <v>0</v>
      </c>
      <c r="CS17" s="43">
        <f t="shared" si="333"/>
        <v>0</v>
      </c>
      <c r="CT17" s="43">
        <f t="shared" si="333"/>
        <v>0</v>
      </c>
      <c r="CU17" s="43">
        <f t="shared" si="333"/>
        <v>0</v>
      </c>
      <c r="CV17" s="43">
        <f t="shared" si="333"/>
        <v>0</v>
      </c>
      <c r="CW17" s="43">
        <f t="shared" si="333"/>
        <v>0</v>
      </c>
      <c r="CX17" s="43">
        <f t="shared" si="333"/>
        <v>0</v>
      </c>
      <c r="CY17" s="43">
        <f t="shared" si="333"/>
        <v>0</v>
      </c>
      <c r="CZ17" s="43">
        <f t="shared" si="333"/>
        <v>0</v>
      </c>
      <c r="DA17" s="43">
        <f t="shared" si="333"/>
        <v>0</v>
      </c>
      <c r="DB17" s="43">
        <f t="shared" si="333"/>
        <v>0</v>
      </c>
      <c r="DC17" s="43">
        <f t="shared" si="333"/>
        <v>0</v>
      </c>
      <c r="DD17" s="43">
        <f t="shared" si="333"/>
        <v>0</v>
      </c>
      <c r="DE17" s="43">
        <f t="shared" si="333"/>
        <v>0</v>
      </c>
      <c r="DF17" s="43">
        <f t="shared" si="333"/>
        <v>0</v>
      </c>
      <c r="DG17" s="43">
        <f t="shared" si="333"/>
        <v>0</v>
      </c>
      <c r="DH17" s="43">
        <f t="shared" si="333"/>
        <v>0</v>
      </c>
      <c r="DI17" s="43">
        <f t="shared" si="333"/>
        <v>0</v>
      </c>
      <c r="DJ17" s="43"/>
      <c r="DK17" s="43"/>
      <c r="DL17" s="43"/>
      <c r="DM17" s="43"/>
      <c r="DN17" s="43"/>
    </row>
    <row r="18" spans="2:118" x14ac:dyDescent="0.3">
      <c r="B18" s="49" t="s">
        <v>13</v>
      </c>
      <c r="E18" s="41">
        <f>Loan</f>
        <v>270000</v>
      </c>
      <c r="F18" s="41">
        <f t="shared" ref="F18:AK18" si="334">LoanHistory-LoanPaymentHistory</f>
        <v>270000</v>
      </c>
      <c r="G18" s="41">
        <f t="shared" si="334"/>
        <v>265986.66666666669</v>
      </c>
      <c r="H18" s="41">
        <f t="shared" si="334"/>
        <v>261959.95555555559</v>
      </c>
      <c r="I18" s="41">
        <f t="shared" si="334"/>
        <v>257919.82207407409</v>
      </c>
      <c r="J18" s="41">
        <f t="shared" si="334"/>
        <v>253866.22148098768</v>
      </c>
      <c r="K18" s="41">
        <f t="shared" si="334"/>
        <v>249799.1088859243</v>
      </c>
      <c r="L18" s="41">
        <f t="shared" si="334"/>
        <v>245718.43924887737</v>
      </c>
      <c r="M18" s="41">
        <f t="shared" si="334"/>
        <v>241624.16737970695</v>
      </c>
      <c r="N18" s="41">
        <f t="shared" si="334"/>
        <v>237516.2479376393</v>
      </c>
      <c r="O18" s="41">
        <f t="shared" si="334"/>
        <v>233394.63543076476</v>
      </c>
      <c r="P18" s="41">
        <f t="shared" si="334"/>
        <v>229259.28421553396</v>
      </c>
      <c r="Q18" s="41">
        <f t="shared" si="334"/>
        <v>225110.1484962524</v>
      </c>
      <c r="R18" s="41">
        <f t="shared" si="334"/>
        <v>220947.18232457322</v>
      </c>
      <c r="S18" s="41">
        <f t="shared" si="334"/>
        <v>216770.33959898847</v>
      </c>
      <c r="T18" s="41">
        <f t="shared" si="334"/>
        <v>212579.57406431844</v>
      </c>
      <c r="U18" s="41">
        <f t="shared" si="334"/>
        <v>208374.8393111995</v>
      </c>
      <c r="V18" s="41">
        <f t="shared" si="334"/>
        <v>204156.08877557016</v>
      </c>
      <c r="W18" s="41">
        <f t="shared" si="334"/>
        <v>199923.27573815538</v>
      </c>
      <c r="X18" s="41">
        <f t="shared" si="334"/>
        <v>195676.35332394924</v>
      </c>
      <c r="Y18" s="41">
        <f t="shared" si="334"/>
        <v>191415.27450169573</v>
      </c>
      <c r="Z18" s="41">
        <f t="shared" si="334"/>
        <v>187139.99208336804</v>
      </c>
      <c r="AA18" s="41">
        <f t="shared" si="334"/>
        <v>182850.45872364592</v>
      </c>
      <c r="AB18" s="41">
        <f t="shared" si="334"/>
        <v>178546.62691939139</v>
      </c>
      <c r="AC18" s="41">
        <f t="shared" si="334"/>
        <v>174228.44900912268</v>
      </c>
      <c r="AD18" s="41">
        <f t="shared" si="334"/>
        <v>169895.87717248642</v>
      </c>
      <c r="AE18" s="41">
        <f t="shared" si="334"/>
        <v>165548.86342972802</v>
      </c>
      <c r="AF18" s="41">
        <f t="shared" si="334"/>
        <v>161187.35964116044</v>
      </c>
      <c r="AG18" s="41">
        <f t="shared" si="334"/>
        <v>156811.31750663096</v>
      </c>
      <c r="AH18" s="41">
        <f t="shared" si="334"/>
        <v>152420.6885649864</v>
      </c>
      <c r="AI18" s="41">
        <f t="shared" si="334"/>
        <v>148015.42419353634</v>
      </c>
      <c r="AJ18" s="41">
        <f t="shared" si="334"/>
        <v>143595.47560751479</v>
      </c>
      <c r="AK18" s="41">
        <f t="shared" si="334"/>
        <v>139160.79385953982</v>
      </c>
      <c r="AL18" s="41">
        <f t="shared" ref="AL18:BQ18" si="335">LoanHistory-LoanPaymentHistory</f>
        <v>134711.32983907161</v>
      </c>
      <c r="AM18" s="41">
        <f t="shared" si="335"/>
        <v>130247.0342718685</v>
      </c>
      <c r="AN18" s="41">
        <f t="shared" si="335"/>
        <v>125767.85771944138</v>
      </c>
      <c r="AO18" s="41">
        <f t="shared" si="335"/>
        <v>121273.75057850617</v>
      </c>
      <c r="AP18" s="41">
        <f t="shared" si="335"/>
        <v>116764.6630804345</v>
      </c>
      <c r="AQ18" s="41">
        <f t="shared" si="335"/>
        <v>112240.5452907026</v>
      </c>
      <c r="AR18" s="41">
        <f t="shared" si="335"/>
        <v>107701.34710833826</v>
      </c>
      <c r="AS18" s="41">
        <f t="shared" si="335"/>
        <v>103147.01826536604</v>
      </c>
      <c r="AT18" s="41">
        <f t="shared" si="335"/>
        <v>98577.50832625058</v>
      </c>
      <c r="AU18" s="41">
        <f t="shared" si="335"/>
        <v>93992.766687338066</v>
      </c>
      <c r="AV18" s="41">
        <f t="shared" si="335"/>
        <v>89392.742576295845</v>
      </c>
      <c r="AW18" s="41">
        <f t="shared" si="335"/>
        <v>84777.38505155014</v>
      </c>
      <c r="AX18" s="41">
        <f t="shared" si="335"/>
        <v>80146.643001721954</v>
      </c>
      <c r="AY18" s="41">
        <f t="shared" si="335"/>
        <v>75500.465145061011</v>
      </c>
      <c r="AZ18" s="41">
        <f t="shared" si="335"/>
        <v>70838.800028877857</v>
      </c>
      <c r="BA18" s="41">
        <f t="shared" si="335"/>
        <v>66161.596028974105</v>
      </c>
      <c r="BB18" s="41">
        <f t="shared" si="335"/>
        <v>61468.801349070665</v>
      </c>
      <c r="BC18" s="41">
        <f t="shared" si="335"/>
        <v>56760.364020234214</v>
      </c>
      <c r="BD18" s="41">
        <f t="shared" si="335"/>
        <v>52036.231900301646</v>
      </c>
      <c r="BE18" s="41">
        <f t="shared" si="335"/>
        <v>47296.35267330263</v>
      </c>
      <c r="BF18" s="41">
        <f t="shared" si="335"/>
        <v>42540.673848880288</v>
      </c>
      <c r="BG18" s="41">
        <f t="shared" si="335"/>
        <v>37769.142761709867</v>
      </c>
      <c r="BH18" s="41">
        <f t="shared" si="335"/>
        <v>32981.706570915543</v>
      </c>
      <c r="BI18" s="41">
        <f t="shared" si="335"/>
        <v>28178.312259485239</v>
      </c>
      <c r="BJ18" s="41">
        <f t="shared" si="335"/>
        <v>23358.906633683502</v>
      </c>
      <c r="BK18" s="41">
        <f t="shared" si="335"/>
        <v>18523.436322462425</v>
      </c>
      <c r="BL18" s="41">
        <f t="shared" si="335"/>
        <v>13671.847776870611</v>
      </c>
      <c r="BM18" s="41">
        <f t="shared" si="335"/>
        <v>8804.0872694601567</v>
      </c>
      <c r="BN18" s="41">
        <f t="shared" si="335"/>
        <v>3920.1008936916687</v>
      </c>
      <c r="BO18" s="41">
        <f t="shared" si="335"/>
        <v>0</v>
      </c>
      <c r="BP18" s="41">
        <f t="shared" si="335"/>
        <v>0</v>
      </c>
      <c r="BQ18" s="41">
        <f t="shared" si="335"/>
        <v>0</v>
      </c>
      <c r="BR18" s="41">
        <f t="shared" ref="BR18:DI18" si="336">LoanHistory-LoanPaymentHistory</f>
        <v>0</v>
      </c>
      <c r="BS18" s="41">
        <f t="shared" si="336"/>
        <v>0</v>
      </c>
      <c r="BT18" s="41">
        <f t="shared" si="336"/>
        <v>0</v>
      </c>
      <c r="BU18" s="41">
        <f t="shared" si="336"/>
        <v>0</v>
      </c>
      <c r="BV18" s="41">
        <f t="shared" si="336"/>
        <v>0</v>
      </c>
      <c r="BW18" s="41">
        <f t="shared" si="336"/>
        <v>0</v>
      </c>
      <c r="BX18" s="41">
        <f t="shared" si="336"/>
        <v>0</v>
      </c>
      <c r="BY18" s="41">
        <f t="shared" si="336"/>
        <v>0</v>
      </c>
      <c r="BZ18" s="41">
        <f t="shared" si="336"/>
        <v>0</v>
      </c>
      <c r="CA18" s="41">
        <f t="shared" si="336"/>
        <v>0</v>
      </c>
      <c r="CB18" s="41">
        <f t="shared" si="336"/>
        <v>0</v>
      </c>
      <c r="CC18" s="41">
        <f t="shared" si="336"/>
        <v>0</v>
      </c>
      <c r="CD18" s="41">
        <f t="shared" si="336"/>
        <v>0</v>
      </c>
      <c r="CE18" s="41">
        <f t="shared" si="336"/>
        <v>0</v>
      </c>
      <c r="CF18" s="41">
        <f t="shared" si="336"/>
        <v>0</v>
      </c>
      <c r="CG18" s="41">
        <f t="shared" si="336"/>
        <v>0</v>
      </c>
      <c r="CH18" s="41">
        <f t="shared" si="336"/>
        <v>0</v>
      </c>
      <c r="CI18" s="41">
        <f t="shared" si="336"/>
        <v>0</v>
      </c>
      <c r="CJ18" s="41">
        <f t="shared" si="336"/>
        <v>0</v>
      </c>
      <c r="CK18" s="41">
        <f t="shared" si="336"/>
        <v>0</v>
      </c>
      <c r="CL18" s="41">
        <f t="shared" si="336"/>
        <v>0</v>
      </c>
      <c r="CM18" s="41">
        <f t="shared" si="336"/>
        <v>0</v>
      </c>
      <c r="CN18" s="41">
        <f t="shared" si="336"/>
        <v>0</v>
      </c>
      <c r="CO18" s="41">
        <f t="shared" si="336"/>
        <v>0</v>
      </c>
      <c r="CP18" s="41">
        <f t="shared" si="336"/>
        <v>0</v>
      </c>
      <c r="CQ18" s="41">
        <f t="shared" si="336"/>
        <v>0</v>
      </c>
      <c r="CR18" s="41">
        <f t="shared" si="336"/>
        <v>0</v>
      </c>
      <c r="CS18" s="41">
        <f t="shared" si="336"/>
        <v>0</v>
      </c>
      <c r="CT18" s="41">
        <f t="shared" si="336"/>
        <v>0</v>
      </c>
      <c r="CU18" s="41">
        <f t="shared" si="336"/>
        <v>0</v>
      </c>
      <c r="CV18" s="41">
        <f t="shared" si="336"/>
        <v>0</v>
      </c>
      <c r="CW18" s="41">
        <f t="shared" si="336"/>
        <v>0</v>
      </c>
      <c r="CX18" s="41">
        <f t="shared" si="336"/>
        <v>0</v>
      </c>
      <c r="CY18" s="41">
        <f t="shared" si="336"/>
        <v>0</v>
      </c>
      <c r="CZ18" s="41">
        <f t="shared" si="336"/>
        <v>0</v>
      </c>
      <c r="DA18" s="41">
        <f t="shared" si="336"/>
        <v>0</v>
      </c>
      <c r="DB18" s="41">
        <f t="shared" si="336"/>
        <v>0</v>
      </c>
      <c r="DC18" s="41">
        <f t="shared" si="336"/>
        <v>0</v>
      </c>
      <c r="DD18" s="41">
        <f t="shared" si="336"/>
        <v>0</v>
      </c>
      <c r="DE18" s="41">
        <f t="shared" si="336"/>
        <v>0</v>
      </c>
      <c r="DF18" s="41">
        <f t="shared" si="336"/>
        <v>0</v>
      </c>
      <c r="DG18" s="41">
        <f t="shared" si="336"/>
        <v>0</v>
      </c>
      <c r="DH18" s="41">
        <f t="shared" si="336"/>
        <v>0</v>
      </c>
      <c r="DI18" s="41">
        <f t="shared" si="336"/>
        <v>0</v>
      </c>
      <c r="DJ18" s="41"/>
      <c r="DK18" s="41"/>
      <c r="DL18" s="41"/>
      <c r="DM18" s="41"/>
      <c r="DN18" s="41"/>
    </row>
    <row r="19" spans="2:118" x14ac:dyDescent="0.3">
      <c r="B19" s="48" t="s">
        <v>141</v>
      </c>
      <c r="C19" s="42"/>
      <c r="D19" s="42"/>
      <c r="E19" s="43">
        <f>E20+E21</f>
        <v>15926</v>
      </c>
      <c r="F19" s="43">
        <f t="shared" ref="F19:J19" si="337">F20+F21</f>
        <v>7902.8174867071994</v>
      </c>
      <c r="G19" s="43">
        <f t="shared" si="337"/>
        <v>8513.4450526866058</v>
      </c>
      <c r="H19" s="43">
        <f t="shared" si="337"/>
        <v>12111.504638648556</v>
      </c>
      <c r="I19" s="43">
        <f t="shared" si="337"/>
        <v>9743.5951975540738</v>
      </c>
      <c r="J19" s="43">
        <f t="shared" si="337"/>
        <v>10358.472307233604</v>
      </c>
      <c r="K19" s="43">
        <f t="shared" ref="K19" si="338">K20+K21</f>
        <v>13980.941349185159</v>
      </c>
      <c r="L19" s="43">
        <f t="shared" ref="L19" si="339">L20+L21</f>
        <v>11708.21467470226</v>
      </c>
      <c r="M19" s="43">
        <f t="shared" ref="M19" si="340">M20+M21</f>
        <v>12399.812530605748</v>
      </c>
      <c r="N19" s="43">
        <f t="shared" ref="N19" si="341">N20+N21</f>
        <v>15851.347895529241</v>
      </c>
      <c r="O19" s="43">
        <f t="shared" ref="O19" si="342">O20+O21</f>
        <v>13858.078501458664</v>
      </c>
      <c r="P19" s="43">
        <f t="shared" ref="P19" si="343">P20+P21</f>
        <v>14605.49391555888</v>
      </c>
      <c r="Q19" s="43">
        <f t="shared" ref="Q19" si="344">Q20+Q21</f>
        <v>17781.458168781413</v>
      </c>
      <c r="R19" s="43">
        <f t="shared" ref="R19" si="345">R20+R21</f>
        <v>15634.389410049835</v>
      </c>
      <c r="S19" s="43">
        <f t="shared" ref="S19" si="346">S20+S21</f>
        <v>15691.455708083338</v>
      </c>
      <c r="T19" s="43">
        <f t="shared" ref="T19" si="347">T20+T21</f>
        <v>18624.593644870562</v>
      </c>
      <c r="U19" s="43">
        <f t="shared" ref="U19" si="348">U20+U21</f>
        <v>16295.685522231332</v>
      </c>
      <c r="V19" s="43">
        <f t="shared" ref="V19" si="349">V20+V21</f>
        <v>16359.907807305437</v>
      </c>
      <c r="W19" s="43">
        <f t="shared" ref="W19" si="350">W20+W21</f>
        <v>18817.261211303125</v>
      </c>
      <c r="X19" s="43">
        <f t="shared" ref="X19" si="351">X20+X21</f>
        <v>16488.995313885334</v>
      </c>
      <c r="Y19" s="43">
        <f t="shared" ref="Y19" si="352">Y20+Y21</f>
        <v>16553.861964931617</v>
      </c>
      <c r="Z19" s="43">
        <f t="shared" ref="Z19" si="353">Z20+Z21</f>
        <v>19011.86188278806</v>
      </c>
      <c r="AA19" s="43">
        <f t="shared" ref="AA19" si="354">AA20+AA21</f>
        <v>16684.244654275222</v>
      </c>
      <c r="AB19" s="43">
        <f t="shared" ref="AB19" si="355">AB20+AB21</f>
        <v>16749.762136456142</v>
      </c>
      <c r="AC19" s="43">
        <f t="shared" ref="AC19" si="356">AC20+AC21</f>
        <v>19208.415054884328</v>
      </c>
      <c r="AD19" s="43">
        <f t="shared" ref="AD19" si="357">AD20+AD21</f>
        <v>16881.453003611809</v>
      </c>
      <c r="AE19" s="43">
        <f t="shared" ref="AE19" si="358">AE20+AE21</f>
        <v>16947.627846957184</v>
      </c>
      <c r="AF19" s="43">
        <f t="shared" ref="AF19" si="359">AF20+AF21</f>
        <v>19406.94031775371</v>
      </c>
      <c r="AG19" s="43">
        <f t="shared" ref="AG19" si="360">AG20+AG21</f>
        <v>17080.640017357422</v>
      </c>
      <c r="AH19" s="43">
        <f t="shared" ref="AH19" si="361">AH20+AH21</f>
        <v>17147.478817415282</v>
      </c>
      <c r="AI19" s="43">
        <f t="shared" ref="AI19" si="362">AI20+AI21</f>
        <v>19607.457458113335</v>
      </c>
      <c r="AJ19" s="43">
        <f t="shared" ref="AJ19" si="363">AJ20+AJ21</f>
        <v>17281.825548184916</v>
      </c>
      <c r="AK19" s="43">
        <f t="shared" ref="AK19" si="364">AK20+AK21</f>
        <v>17349.334966678867</v>
      </c>
      <c r="AL19" s="43">
        <f t="shared" ref="AL19" si="365">AL20+AL21</f>
        <v>19809.986461207798</v>
      </c>
      <c r="AM19" s="43">
        <f t="shared" ref="AM19" si="366">AM20+AM21</f>
        <v>17485.029647956362</v>
      </c>
      <c r="AN19" s="43">
        <f t="shared" ref="AN19" si="367">AN20+AN21</f>
        <v>17553.216413449551</v>
      </c>
      <c r="AO19" s="43">
        <f t="shared" ref="AO19" si="368">AO20+AO21</f>
        <v>20014.547512801048</v>
      </c>
      <c r="AP19" s="43">
        <f t="shared" ref="AP19" si="369">AP20+AP21</f>
        <v>17690.272569721586</v>
      </c>
      <c r="AQ19" s="43">
        <f t="shared" ref="AQ19" si="370">AQ20+AQ21</f>
        <v>17759.143478287326</v>
      </c>
      <c r="AR19" s="43">
        <f t="shared" ref="AR19" si="371">AR20+AR21</f>
        <v>20221.161001188284</v>
      </c>
      <c r="AS19" s="43">
        <f t="shared" ref="AS19" si="372">AS20+AS21</f>
        <v>17897.574769736781</v>
      </c>
      <c r="AT19" s="43">
        <f t="shared" ref="AT19" si="373">AT20+AT21</f>
        <v>17967.136685635905</v>
      </c>
      <c r="AU19" s="43">
        <f t="shared" ref="AU19" si="374">AU20+AU21</f>
        <v>20429.847519228028</v>
      </c>
      <c r="AV19" s="43">
        <f t="shared" ref="AV19" si="375">AV20+AV21</f>
        <v>18106.956909503322</v>
      </c>
      <c r="AW19" s="43">
        <f t="shared" ref="AW19" si="376">AW20+AW21</f>
        <v>18177.216765868332</v>
      </c>
      <c r="AX19" s="43">
        <f t="shared" ref="AX19" si="377">AX20+AX21</f>
        <v>20640.627866394563</v>
      </c>
      <c r="AY19" s="43">
        <f t="shared" ref="AY19" si="378">AY20+AY21</f>
        <v>18318.439857827078</v>
      </c>
      <c r="AZ19" s="43">
        <f t="shared" ref="AZ19" si="379">AZ20+AZ21</f>
        <v>18389.40465735317</v>
      </c>
      <c r="BA19" s="43">
        <f t="shared" ref="BA19" si="380">BA20+BA21</f>
        <v>20853.523050851014</v>
      </c>
      <c r="BB19" s="43">
        <f t="shared" ref="BB19" si="381">BB20+BB21</f>
        <v>18532.044692898387</v>
      </c>
      <c r="BC19" s="43">
        <f t="shared" ref="BC19" si="382">BC20+BC21</f>
        <v>18603.721508541385</v>
      </c>
      <c r="BD19" s="43">
        <f t="shared" ref="BD19" si="383">BD20+BD21</f>
        <v>21068.554291543187</v>
      </c>
      <c r="BE19" s="43">
        <f t="shared" ref="BE19" si="384">BE20+BE21</f>
        <v>18747.792704392865</v>
      </c>
      <c r="BF19" s="43">
        <f t="shared" ref="BF19" si="385">BF20+BF21</f>
        <v>18820.188680074178</v>
      </c>
      <c r="BG19" s="43">
        <f t="shared" ref="BG19" si="386">BG20+BG21</f>
        <v>21285.743020314425</v>
      </c>
      <c r="BH19" s="43">
        <f t="shared" ref="BH19" si="387">BH20+BH21</f>
        <v>18965.705395593341</v>
      </c>
      <c r="BI19" s="43">
        <f t="shared" ref="BI19" si="388">BI20+BI21</f>
        <v>19038.827746911989</v>
      </c>
      <c r="BJ19" s="43">
        <f t="shared" ref="BJ19" si="389">BJ20+BJ21</f>
        <v>21505.110884041693</v>
      </c>
      <c r="BK19" s="43">
        <f t="shared" ref="BK19" si="390">BK20+BK21</f>
        <v>19185.804485533034</v>
      </c>
      <c r="BL19" s="43">
        <f t="shared" ref="BL19" si="391">BL20+BL21</f>
        <v>19259.660500484813</v>
      </c>
      <c r="BM19" s="43">
        <f t="shared" ref="BM19" si="392">BM20+BM21</f>
        <v>21726.679746793099</v>
      </c>
      <c r="BN19" s="43">
        <f t="shared" ref="BN19" si="393">BN20+BN21</f>
        <v>19408.111911160282</v>
      </c>
      <c r="BO19" s="43">
        <f t="shared" ref="BO19" si="394">BO20+BO21</f>
        <v>19482.708950864147</v>
      </c>
      <c r="BP19" s="43">
        <f t="shared" ref="BP19" si="395">BP20+BP21</f>
        <v>21948.593041586762</v>
      </c>
      <c r="BQ19" s="43">
        <f t="shared" ref="BQ19" si="396">BQ20+BQ21</f>
        <v>19621.347694714361</v>
      </c>
      <c r="BR19" s="43">
        <f t="shared" ref="BR19" si="397">BR20+BR21</f>
        <v>19687.238298141183</v>
      </c>
      <c r="BS19" s="43">
        <f t="shared" ref="BS19" si="398">BS20+BS21</f>
        <v>22146.265581552765</v>
      </c>
      <c r="BT19" s="43">
        <f t="shared" ref="BT19" si="399">BT20+BT21</f>
        <v>19819.679143146917</v>
      </c>
      <c r="BU19" s="43">
        <f t="shared" ref="BU19" si="400">BU20+BU21</f>
        <v>19886.230851401859</v>
      </c>
      <c r="BV19" s="43">
        <f t="shared" ref="BV19" si="401">BV20+BV21</f>
        <v>22345.921443324311</v>
      </c>
      <c r="BW19" s="43">
        <f t="shared" ref="BW19" si="402">BW20+BW21</f>
        <v>20020.000524457701</v>
      </c>
      <c r="BX19" s="43">
        <f t="shared" ref="BX19" si="403">BX20+BX21</f>
        <v>20087.219970650338</v>
      </c>
      <c r="BY19" s="43">
        <f t="shared" ref="BY19:DI19" si="404">BY20+BY21</f>
        <v>22547.58052630362</v>
      </c>
      <c r="BZ19" s="43">
        <f t="shared" si="404"/>
        <v>20222.331804380279</v>
      </c>
      <c r="CA19" s="43">
        <f t="shared" si="404"/>
        <v>20290.225688172661</v>
      </c>
      <c r="CB19" s="43">
        <f t="shared" si="404"/>
        <v>22751.262929551012</v>
      </c>
      <c r="CC19" s="43">
        <f t="shared" si="404"/>
        <v>20426.693148971834</v>
      </c>
      <c r="CD19" s="43">
        <f t="shared" si="404"/>
        <v>20495.26823724619</v>
      </c>
      <c r="CE19" s="43">
        <f t="shared" si="404"/>
        <v>22956.988953788117</v>
      </c>
      <c r="CF19" s="43">
        <f t="shared" si="404"/>
        <v>20633.104926623062</v>
      </c>
      <c r="CG19" s="43">
        <f t="shared" si="404"/>
        <v>20702.36805415625</v>
      </c>
      <c r="CH19" s="43">
        <f t="shared" si="404"/>
        <v>23164.77910342121</v>
      </c>
      <c r="CI19" s="43">
        <f t="shared" si="404"/>
        <v>20841.587710088261</v>
      </c>
      <c r="CJ19" s="43">
        <f t="shared" si="404"/>
        <v>20911.545780233002</v>
      </c>
      <c r="CK19" s="43">
        <f t="shared" si="404"/>
        <v>23374.654088584888</v>
      </c>
      <c r="CL19" s="43">
        <f t="shared" si="404"/>
        <v>21052.162278535819</v>
      </c>
      <c r="CM19" s="43">
        <f t="shared" si="404"/>
        <v>21122.822263908718</v>
      </c>
      <c r="CN19" s="43">
        <f t="shared" si="404"/>
        <v>23586.634827206191</v>
      </c>
      <c r="CO19" s="43">
        <f t="shared" si="404"/>
        <v>21264.849619619192</v>
      </c>
      <c r="CP19" s="43">
        <f t="shared" si="404"/>
        <v>21336.218562795704</v>
      </c>
      <c r="CQ19" s="43">
        <f t="shared" si="404"/>
        <v>23800.742447089466</v>
      </c>
      <c r="CR19" s="43">
        <f t="shared" si="404"/>
        <v>21479.670931568744</v>
      </c>
      <c r="CS19" s="43">
        <f t="shared" si="404"/>
        <v>21551.755945785084</v>
      </c>
      <c r="CT19" s="43">
        <f t="shared" si="404"/>
        <v>24016.998288022147</v>
      </c>
      <c r="CU19" s="43">
        <f t="shared" si="404"/>
        <v>21696.647625304537</v>
      </c>
      <c r="CV19" s="43">
        <f t="shared" si="404"/>
        <v>21769.455895166662</v>
      </c>
      <c r="CW19" s="43">
        <f t="shared" si="404"/>
        <v>24235.423903901668</v>
      </c>
      <c r="CX19" s="43">
        <f t="shared" si="404"/>
        <v>21915.801326570323</v>
      </c>
      <c r="CY19" s="43">
        <f t="shared" si="404"/>
        <v>21989.340108770004</v>
      </c>
      <c r="CZ19" s="43">
        <f t="shared" si="404"/>
        <v>24456.041064883681</v>
      </c>
      <c r="DA19" s="43">
        <f t="shared" si="404"/>
        <v>22137.153878088935</v>
      </c>
      <c r="DB19" s="43">
        <f t="shared" si="404"/>
        <v>22211.430502127012</v>
      </c>
      <c r="DC19" s="43">
        <f t="shared" si="404"/>
        <v>24678.871759551883</v>
      </c>
      <c r="DD19" s="43">
        <f t="shared" si="404"/>
        <v>22360.72734173937</v>
      </c>
      <c r="DE19" s="43">
        <f t="shared" si="404"/>
        <v>22435.749210656282</v>
      </c>
      <c r="DF19" s="43">
        <f t="shared" si="404"/>
        <v>24903.938197109583</v>
      </c>
      <c r="DG19" s="43">
        <f t="shared" si="404"/>
        <v>22586.544000755595</v>
      </c>
      <c r="DH19" s="43">
        <f t="shared" si="404"/>
        <v>22662.318591869222</v>
      </c>
      <c r="DI19" s="43">
        <f t="shared" si="404"/>
        <v>25068.249386649251</v>
      </c>
      <c r="DJ19" s="43"/>
      <c r="DK19" s="43"/>
      <c r="DL19" s="43"/>
      <c r="DM19" s="43"/>
      <c r="DN19" s="43"/>
    </row>
    <row r="20" spans="2:118" s="25" customFormat="1" x14ac:dyDescent="0.3">
      <c r="B20" s="59" t="s">
        <v>13</v>
      </c>
      <c r="C20" s="53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0"/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0"/>
      <c r="AW20" s="60"/>
      <c r="AX20" s="60"/>
      <c r="AY20" s="60"/>
      <c r="AZ20" s="60"/>
      <c r="BA20" s="60"/>
      <c r="BB20" s="60"/>
      <c r="BC20" s="60"/>
      <c r="BD20" s="60"/>
      <c r="BE20" s="60"/>
      <c r="BF20" s="60"/>
      <c r="BG20" s="60"/>
      <c r="BH20" s="60"/>
      <c r="BI20" s="60"/>
      <c r="BJ20" s="60"/>
      <c r="BK20" s="60"/>
      <c r="BL20" s="60"/>
      <c r="BM20" s="60"/>
      <c r="BN20" s="60"/>
      <c r="BO20" s="60"/>
      <c r="BP20" s="60"/>
      <c r="BQ20" s="60"/>
      <c r="BR20" s="60"/>
      <c r="BS20" s="60"/>
      <c r="BT20" s="60"/>
      <c r="BU20" s="60"/>
      <c r="BV20" s="60"/>
      <c r="BW20" s="60"/>
      <c r="BX20" s="60"/>
      <c r="BY20" s="60"/>
      <c r="BZ20" s="60"/>
      <c r="CA20" s="60"/>
      <c r="CB20" s="60"/>
      <c r="CC20" s="60"/>
      <c r="CD20" s="60"/>
      <c r="CE20" s="60"/>
      <c r="CF20" s="60"/>
      <c r="CG20" s="60"/>
      <c r="CH20" s="60"/>
      <c r="CI20" s="60"/>
      <c r="CJ20" s="60"/>
      <c r="CK20" s="60"/>
      <c r="CL20" s="60"/>
      <c r="CM20" s="60"/>
      <c r="CN20" s="60"/>
      <c r="CO20" s="60"/>
      <c r="CP20" s="60"/>
      <c r="CQ20" s="60"/>
      <c r="CR20" s="60"/>
      <c r="CS20" s="60"/>
      <c r="CT20" s="60"/>
      <c r="CU20" s="60"/>
      <c r="CV20" s="60"/>
      <c r="CW20" s="60"/>
      <c r="CX20" s="60"/>
      <c r="CY20" s="60"/>
      <c r="CZ20" s="60"/>
      <c r="DA20" s="60"/>
      <c r="DB20" s="60"/>
      <c r="DC20" s="60"/>
      <c r="DD20" s="60"/>
      <c r="DE20" s="60"/>
      <c r="DF20" s="60"/>
      <c r="DG20" s="60"/>
      <c r="DH20" s="60"/>
      <c r="DI20" s="60"/>
      <c r="DJ20" s="60"/>
      <c r="DK20" s="60"/>
      <c r="DL20" s="60"/>
      <c r="DM20" s="60"/>
      <c r="DN20" s="60"/>
    </row>
    <row r="21" spans="2:118" x14ac:dyDescent="0.3">
      <c r="B21" s="49" t="s">
        <v>14</v>
      </c>
      <c r="E21" s="41">
        <f>SUM(E22:E25,E29)</f>
        <v>15926</v>
      </c>
      <c r="F21" s="41">
        <f>SUM(F22:F25,F29)</f>
        <v>7902.8174867071994</v>
      </c>
      <c r="G21" s="41">
        <f t="shared" ref="G21:BR21" si="405">SUM(G22:G25,G29)</f>
        <v>8513.4450526866058</v>
      </c>
      <c r="H21" s="41">
        <f t="shared" si="405"/>
        <v>12111.504638648556</v>
      </c>
      <c r="I21" s="41">
        <f t="shared" si="405"/>
        <v>9743.5951975540738</v>
      </c>
      <c r="J21" s="41">
        <f t="shared" si="405"/>
        <v>10358.472307233604</v>
      </c>
      <c r="K21" s="41">
        <f t="shared" si="405"/>
        <v>13980.941349185159</v>
      </c>
      <c r="L21" s="41">
        <f t="shared" si="405"/>
        <v>11708.21467470226</v>
      </c>
      <c r="M21" s="41">
        <f t="shared" si="405"/>
        <v>12399.812530605748</v>
      </c>
      <c r="N21" s="41">
        <f t="shared" si="405"/>
        <v>15851.347895529241</v>
      </c>
      <c r="O21" s="41">
        <f t="shared" si="405"/>
        <v>13858.078501458664</v>
      </c>
      <c r="P21" s="41">
        <f t="shared" si="405"/>
        <v>14605.49391555888</v>
      </c>
      <c r="Q21" s="41">
        <f t="shared" si="405"/>
        <v>17781.458168781413</v>
      </c>
      <c r="R21" s="41">
        <f t="shared" si="405"/>
        <v>15634.389410049835</v>
      </c>
      <c r="S21" s="41">
        <f t="shared" si="405"/>
        <v>15691.455708083338</v>
      </c>
      <c r="T21" s="41">
        <f t="shared" si="405"/>
        <v>18624.593644870562</v>
      </c>
      <c r="U21" s="41">
        <f t="shared" si="405"/>
        <v>16295.685522231332</v>
      </c>
      <c r="V21" s="41">
        <f t="shared" si="405"/>
        <v>16359.907807305437</v>
      </c>
      <c r="W21" s="41">
        <f t="shared" si="405"/>
        <v>18817.261211303125</v>
      </c>
      <c r="X21" s="41">
        <f t="shared" si="405"/>
        <v>16488.995313885334</v>
      </c>
      <c r="Y21" s="41">
        <f t="shared" si="405"/>
        <v>16553.861964931617</v>
      </c>
      <c r="Z21" s="41">
        <f t="shared" si="405"/>
        <v>19011.86188278806</v>
      </c>
      <c r="AA21" s="41">
        <f t="shared" si="405"/>
        <v>16684.244654275222</v>
      </c>
      <c r="AB21" s="41">
        <f t="shared" si="405"/>
        <v>16749.762136456142</v>
      </c>
      <c r="AC21" s="41">
        <f t="shared" si="405"/>
        <v>19208.415054884328</v>
      </c>
      <c r="AD21" s="41">
        <f t="shared" si="405"/>
        <v>16881.453003611809</v>
      </c>
      <c r="AE21" s="41">
        <f t="shared" si="405"/>
        <v>16947.627846957184</v>
      </c>
      <c r="AF21" s="41">
        <f t="shared" si="405"/>
        <v>19406.94031775371</v>
      </c>
      <c r="AG21" s="41">
        <f t="shared" si="405"/>
        <v>17080.640017357422</v>
      </c>
      <c r="AH21" s="41">
        <f t="shared" si="405"/>
        <v>17147.478817415282</v>
      </c>
      <c r="AI21" s="41">
        <f t="shared" si="405"/>
        <v>19607.457458113335</v>
      </c>
      <c r="AJ21" s="41">
        <f t="shared" si="405"/>
        <v>17281.825548184916</v>
      </c>
      <c r="AK21" s="41">
        <f t="shared" si="405"/>
        <v>17349.334966678867</v>
      </c>
      <c r="AL21" s="41">
        <f t="shared" si="405"/>
        <v>19809.986461207798</v>
      </c>
      <c r="AM21" s="41">
        <f t="shared" si="405"/>
        <v>17485.029647956362</v>
      </c>
      <c r="AN21" s="41">
        <f t="shared" si="405"/>
        <v>17553.216413449551</v>
      </c>
      <c r="AO21" s="41">
        <f t="shared" si="405"/>
        <v>20014.547512801048</v>
      </c>
      <c r="AP21" s="41">
        <f t="shared" si="405"/>
        <v>17690.272569721586</v>
      </c>
      <c r="AQ21" s="41">
        <f t="shared" si="405"/>
        <v>17759.143478287326</v>
      </c>
      <c r="AR21" s="41">
        <f t="shared" si="405"/>
        <v>20221.161001188284</v>
      </c>
      <c r="AS21" s="41">
        <f t="shared" si="405"/>
        <v>17897.574769736781</v>
      </c>
      <c r="AT21" s="41">
        <f t="shared" si="405"/>
        <v>17967.136685635905</v>
      </c>
      <c r="AU21" s="41">
        <f t="shared" si="405"/>
        <v>20429.847519228028</v>
      </c>
      <c r="AV21" s="41">
        <f t="shared" si="405"/>
        <v>18106.956909503322</v>
      </c>
      <c r="AW21" s="41">
        <f t="shared" si="405"/>
        <v>18177.216765868332</v>
      </c>
      <c r="AX21" s="41">
        <f t="shared" si="405"/>
        <v>20640.627866394563</v>
      </c>
      <c r="AY21" s="41">
        <f t="shared" si="405"/>
        <v>18318.439857827078</v>
      </c>
      <c r="AZ21" s="41">
        <f t="shared" si="405"/>
        <v>18389.40465735317</v>
      </c>
      <c r="BA21" s="41">
        <f t="shared" si="405"/>
        <v>20853.523050851014</v>
      </c>
      <c r="BB21" s="41">
        <f t="shared" si="405"/>
        <v>18532.044692898387</v>
      </c>
      <c r="BC21" s="41">
        <f t="shared" si="405"/>
        <v>18603.721508541385</v>
      </c>
      <c r="BD21" s="41">
        <f t="shared" si="405"/>
        <v>21068.554291543187</v>
      </c>
      <c r="BE21" s="41">
        <f t="shared" si="405"/>
        <v>18747.792704392865</v>
      </c>
      <c r="BF21" s="41">
        <f t="shared" si="405"/>
        <v>18820.188680074178</v>
      </c>
      <c r="BG21" s="41">
        <f t="shared" si="405"/>
        <v>21285.743020314425</v>
      </c>
      <c r="BH21" s="41">
        <f t="shared" si="405"/>
        <v>18965.705395593341</v>
      </c>
      <c r="BI21" s="41">
        <f t="shared" si="405"/>
        <v>19038.827746911989</v>
      </c>
      <c r="BJ21" s="41">
        <f t="shared" si="405"/>
        <v>21505.110884041693</v>
      </c>
      <c r="BK21" s="41">
        <f t="shared" si="405"/>
        <v>19185.804485533034</v>
      </c>
      <c r="BL21" s="41">
        <f t="shared" si="405"/>
        <v>19259.660500484813</v>
      </c>
      <c r="BM21" s="41">
        <f t="shared" si="405"/>
        <v>21726.679746793099</v>
      </c>
      <c r="BN21" s="41">
        <f t="shared" si="405"/>
        <v>19408.111911160282</v>
      </c>
      <c r="BO21" s="41">
        <f t="shared" si="405"/>
        <v>19482.708950864147</v>
      </c>
      <c r="BP21" s="41">
        <f t="shared" si="405"/>
        <v>21948.593041586762</v>
      </c>
      <c r="BQ21" s="41">
        <f t="shared" si="405"/>
        <v>19621.347694714361</v>
      </c>
      <c r="BR21" s="41">
        <f t="shared" si="405"/>
        <v>19687.238298141183</v>
      </c>
      <c r="BS21" s="41">
        <f t="shared" ref="BS21:BY21" si="406">SUM(BS22:BS25,BS29)</f>
        <v>22146.265581552765</v>
      </c>
      <c r="BT21" s="41">
        <f t="shared" si="406"/>
        <v>19819.679143146917</v>
      </c>
      <c r="BU21" s="41">
        <f t="shared" si="406"/>
        <v>19886.230851401859</v>
      </c>
      <c r="BV21" s="41">
        <f t="shared" si="406"/>
        <v>22345.921443324311</v>
      </c>
      <c r="BW21" s="41">
        <f t="shared" si="406"/>
        <v>20020.000524457701</v>
      </c>
      <c r="BX21" s="41">
        <f t="shared" si="406"/>
        <v>20087.219970650338</v>
      </c>
      <c r="BY21" s="41">
        <f t="shared" si="406"/>
        <v>22547.58052630362</v>
      </c>
      <c r="BZ21" s="41">
        <f t="shared" ref="BZ21:DI21" si="407">SUM(BZ22:BZ25,BZ29)</f>
        <v>20222.331804380279</v>
      </c>
      <c r="CA21" s="41">
        <f t="shared" si="407"/>
        <v>20290.225688172661</v>
      </c>
      <c r="CB21" s="41">
        <f t="shared" si="407"/>
        <v>22751.262929551012</v>
      </c>
      <c r="CC21" s="41">
        <f t="shared" si="407"/>
        <v>20426.693148971834</v>
      </c>
      <c r="CD21" s="41">
        <f t="shared" si="407"/>
        <v>20495.26823724619</v>
      </c>
      <c r="CE21" s="41">
        <f t="shared" si="407"/>
        <v>22956.988953788117</v>
      </c>
      <c r="CF21" s="41">
        <f t="shared" si="407"/>
        <v>20633.104926623062</v>
      </c>
      <c r="CG21" s="41">
        <f t="shared" si="407"/>
        <v>20702.36805415625</v>
      </c>
      <c r="CH21" s="41">
        <f t="shared" si="407"/>
        <v>23164.77910342121</v>
      </c>
      <c r="CI21" s="41">
        <f t="shared" si="407"/>
        <v>20841.587710088261</v>
      </c>
      <c r="CJ21" s="41">
        <f t="shared" si="407"/>
        <v>20911.545780233002</v>
      </c>
      <c r="CK21" s="41">
        <f t="shared" si="407"/>
        <v>23374.654088584888</v>
      </c>
      <c r="CL21" s="41">
        <f t="shared" si="407"/>
        <v>21052.162278535819</v>
      </c>
      <c r="CM21" s="41">
        <f t="shared" si="407"/>
        <v>21122.822263908718</v>
      </c>
      <c r="CN21" s="41">
        <f t="shared" si="407"/>
        <v>23586.634827206191</v>
      </c>
      <c r="CO21" s="41">
        <f t="shared" si="407"/>
        <v>21264.849619619192</v>
      </c>
      <c r="CP21" s="41">
        <f t="shared" si="407"/>
        <v>21336.218562795704</v>
      </c>
      <c r="CQ21" s="41">
        <f t="shared" si="407"/>
        <v>23800.742447089466</v>
      </c>
      <c r="CR21" s="41">
        <f t="shared" si="407"/>
        <v>21479.670931568744</v>
      </c>
      <c r="CS21" s="41">
        <f t="shared" si="407"/>
        <v>21551.755945785084</v>
      </c>
      <c r="CT21" s="41">
        <f t="shared" si="407"/>
        <v>24016.998288022147</v>
      </c>
      <c r="CU21" s="41">
        <f t="shared" si="407"/>
        <v>21696.647625304537</v>
      </c>
      <c r="CV21" s="41">
        <f t="shared" si="407"/>
        <v>21769.455895166662</v>
      </c>
      <c r="CW21" s="41">
        <f t="shared" si="407"/>
        <v>24235.423903901668</v>
      </c>
      <c r="CX21" s="41">
        <f t="shared" si="407"/>
        <v>21915.801326570323</v>
      </c>
      <c r="CY21" s="41">
        <f t="shared" si="407"/>
        <v>21989.340108770004</v>
      </c>
      <c r="CZ21" s="41">
        <f t="shared" si="407"/>
        <v>24456.041064883681</v>
      </c>
      <c r="DA21" s="41">
        <f t="shared" si="407"/>
        <v>22137.153878088935</v>
      </c>
      <c r="DB21" s="41">
        <f t="shared" si="407"/>
        <v>22211.430502127012</v>
      </c>
      <c r="DC21" s="41">
        <f t="shared" si="407"/>
        <v>24678.871759551883</v>
      </c>
      <c r="DD21" s="41">
        <f t="shared" si="407"/>
        <v>22360.72734173937</v>
      </c>
      <c r="DE21" s="41">
        <f t="shared" si="407"/>
        <v>22435.749210656282</v>
      </c>
      <c r="DF21" s="41">
        <f t="shared" si="407"/>
        <v>24903.938197109583</v>
      </c>
      <c r="DG21" s="41">
        <f t="shared" si="407"/>
        <v>22586.544000755595</v>
      </c>
      <c r="DH21" s="41">
        <f t="shared" si="407"/>
        <v>22662.318591869222</v>
      </c>
      <c r="DI21" s="41">
        <f t="shared" si="407"/>
        <v>25068.249386649251</v>
      </c>
      <c r="DJ21" s="41"/>
      <c r="DK21" s="41"/>
      <c r="DL21" s="41"/>
      <c r="DM21" s="41"/>
      <c r="DN21" s="41"/>
    </row>
    <row r="22" spans="2:118" x14ac:dyDescent="0.3">
      <c r="B22" s="49" t="s">
        <v>15</v>
      </c>
      <c r="E22" s="41">
        <f>DebtToSuppliers</f>
        <v>3394</v>
      </c>
      <c r="F22" s="41">
        <f t="shared" ref="F22:AK22" si="408">(OperationCostsHistory-LaborCostsHistory-PropertyTaxHistory+IncomeVAT)*TurnaroundSuppliers/30</f>
        <v>0</v>
      </c>
      <c r="G22" s="41">
        <f t="shared" si="408"/>
        <v>0</v>
      </c>
      <c r="H22" s="41">
        <f t="shared" si="408"/>
        <v>0</v>
      </c>
      <c r="I22" s="41">
        <f t="shared" si="408"/>
        <v>0</v>
      </c>
      <c r="J22" s="41">
        <f t="shared" si="408"/>
        <v>0</v>
      </c>
      <c r="K22" s="41">
        <f t="shared" si="408"/>
        <v>0</v>
      </c>
      <c r="L22" s="41">
        <f t="shared" si="408"/>
        <v>0</v>
      </c>
      <c r="M22" s="41">
        <f t="shared" si="408"/>
        <v>0</v>
      </c>
      <c r="N22" s="41">
        <f t="shared" si="408"/>
        <v>0</v>
      </c>
      <c r="O22" s="41">
        <f t="shared" si="408"/>
        <v>0</v>
      </c>
      <c r="P22" s="41">
        <f t="shared" si="408"/>
        <v>0</v>
      </c>
      <c r="Q22" s="41">
        <f t="shared" si="408"/>
        <v>0</v>
      </c>
      <c r="R22" s="41">
        <f t="shared" si="408"/>
        <v>0</v>
      </c>
      <c r="S22" s="41">
        <f t="shared" si="408"/>
        <v>0</v>
      </c>
      <c r="T22" s="41">
        <f t="shared" si="408"/>
        <v>0</v>
      </c>
      <c r="U22" s="41">
        <f t="shared" si="408"/>
        <v>0</v>
      </c>
      <c r="V22" s="41">
        <f t="shared" si="408"/>
        <v>0</v>
      </c>
      <c r="W22" s="41">
        <f t="shared" si="408"/>
        <v>0</v>
      </c>
      <c r="X22" s="41">
        <f t="shared" si="408"/>
        <v>0</v>
      </c>
      <c r="Y22" s="41">
        <f t="shared" si="408"/>
        <v>0</v>
      </c>
      <c r="Z22" s="41">
        <f t="shared" si="408"/>
        <v>0</v>
      </c>
      <c r="AA22" s="41">
        <f t="shared" si="408"/>
        <v>0</v>
      </c>
      <c r="AB22" s="41">
        <f t="shared" si="408"/>
        <v>0</v>
      </c>
      <c r="AC22" s="41">
        <f t="shared" si="408"/>
        <v>0</v>
      </c>
      <c r="AD22" s="41">
        <f t="shared" si="408"/>
        <v>0</v>
      </c>
      <c r="AE22" s="41">
        <f t="shared" si="408"/>
        <v>0</v>
      </c>
      <c r="AF22" s="41">
        <f t="shared" si="408"/>
        <v>0</v>
      </c>
      <c r="AG22" s="41">
        <f t="shared" si="408"/>
        <v>0</v>
      </c>
      <c r="AH22" s="41">
        <f t="shared" si="408"/>
        <v>0</v>
      </c>
      <c r="AI22" s="41">
        <f t="shared" si="408"/>
        <v>0</v>
      </c>
      <c r="AJ22" s="41">
        <f t="shared" si="408"/>
        <v>0</v>
      </c>
      <c r="AK22" s="41">
        <f t="shared" si="408"/>
        <v>0</v>
      </c>
      <c r="AL22" s="41">
        <f t="shared" ref="AL22:BQ22" si="409">(OperationCostsHistory-LaborCostsHistory-PropertyTaxHistory+IncomeVAT)*TurnaroundSuppliers/30</f>
        <v>0</v>
      </c>
      <c r="AM22" s="41">
        <f t="shared" si="409"/>
        <v>0</v>
      </c>
      <c r="AN22" s="41">
        <f t="shared" si="409"/>
        <v>0</v>
      </c>
      <c r="AO22" s="41">
        <f t="shared" si="409"/>
        <v>0</v>
      </c>
      <c r="AP22" s="41">
        <f t="shared" si="409"/>
        <v>0</v>
      </c>
      <c r="AQ22" s="41">
        <f t="shared" si="409"/>
        <v>0</v>
      </c>
      <c r="AR22" s="41">
        <f t="shared" si="409"/>
        <v>0</v>
      </c>
      <c r="AS22" s="41">
        <f t="shared" si="409"/>
        <v>0</v>
      </c>
      <c r="AT22" s="41">
        <f t="shared" si="409"/>
        <v>0</v>
      </c>
      <c r="AU22" s="41">
        <f t="shared" si="409"/>
        <v>0</v>
      </c>
      <c r="AV22" s="41">
        <f t="shared" si="409"/>
        <v>0</v>
      </c>
      <c r="AW22" s="41">
        <f t="shared" si="409"/>
        <v>0</v>
      </c>
      <c r="AX22" s="41">
        <f t="shared" si="409"/>
        <v>0</v>
      </c>
      <c r="AY22" s="41">
        <f t="shared" si="409"/>
        <v>0</v>
      </c>
      <c r="AZ22" s="41">
        <f t="shared" si="409"/>
        <v>0</v>
      </c>
      <c r="BA22" s="41">
        <f t="shared" si="409"/>
        <v>0</v>
      </c>
      <c r="BB22" s="41">
        <f t="shared" si="409"/>
        <v>0</v>
      </c>
      <c r="BC22" s="41">
        <f t="shared" si="409"/>
        <v>0</v>
      </c>
      <c r="BD22" s="41">
        <f t="shared" si="409"/>
        <v>0</v>
      </c>
      <c r="BE22" s="41">
        <f t="shared" si="409"/>
        <v>0</v>
      </c>
      <c r="BF22" s="41">
        <f t="shared" si="409"/>
        <v>0</v>
      </c>
      <c r="BG22" s="41">
        <f t="shared" si="409"/>
        <v>0</v>
      </c>
      <c r="BH22" s="41">
        <f t="shared" si="409"/>
        <v>0</v>
      </c>
      <c r="BI22" s="41">
        <f t="shared" si="409"/>
        <v>0</v>
      </c>
      <c r="BJ22" s="41">
        <f t="shared" si="409"/>
        <v>0</v>
      </c>
      <c r="BK22" s="41">
        <f t="shared" si="409"/>
        <v>0</v>
      </c>
      <c r="BL22" s="41">
        <f t="shared" si="409"/>
        <v>0</v>
      </c>
      <c r="BM22" s="41">
        <f t="shared" si="409"/>
        <v>0</v>
      </c>
      <c r="BN22" s="41">
        <f t="shared" si="409"/>
        <v>0</v>
      </c>
      <c r="BO22" s="41">
        <f t="shared" si="409"/>
        <v>0</v>
      </c>
      <c r="BP22" s="41">
        <f t="shared" si="409"/>
        <v>0</v>
      </c>
      <c r="BQ22" s="41">
        <f t="shared" si="409"/>
        <v>0</v>
      </c>
      <c r="BR22" s="41">
        <f t="shared" ref="BR22:DI22" si="410">(OperationCostsHistory-LaborCostsHistory-PropertyTaxHistory+IncomeVAT)*TurnaroundSuppliers/30</f>
        <v>0</v>
      </c>
      <c r="BS22" s="41">
        <f t="shared" si="410"/>
        <v>0</v>
      </c>
      <c r="BT22" s="41">
        <f t="shared" si="410"/>
        <v>0</v>
      </c>
      <c r="BU22" s="41">
        <f t="shared" si="410"/>
        <v>0</v>
      </c>
      <c r="BV22" s="41">
        <f t="shared" si="410"/>
        <v>0</v>
      </c>
      <c r="BW22" s="41">
        <f t="shared" si="410"/>
        <v>0</v>
      </c>
      <c r="BX22" s="41">
        <f t="shared" si="410"/>
        <v>0</v>
      </c>
      <c r="BY22" s="41">
        <f t="shared" si="410"/>
        <v>0</v>
      </c>
      <c r="BZ22" s="41">
        <f t="shared" si="410"/>
        <v>0</v>
      </c>
      <c r="CA22" s="41">
        <f t="shared" si="410"/>
        <v>0</v>
      </c>
      <c r="CB22" s="41">
        <f t="shared" si="410"/>
        <v>0</v>
      </c>
      <c r="CC22" s="41">
        <f t="shared" si="410"/>
        <v>0</v>
      </c>
      <c r="CD22" s="41">
        <f t="shared" si="410"/>
        <v>0</v>
      </c>
      <c r="CE22" s="41">
        <f t="shared" si="410"/>
        <v>0</v>
      </c>
      <c r="CF22" s="41">
        <f t="shared" si="410"/>
        <v>0</v>
      </c>
      <c r="CG22" s="41">
        <f t="shared" si="410"/>
        <v>0</v>
      </c>
      <c r="CH22" s="41">
        <f t="shared" si="410"/>
        <v>0</v>
      </c>
      <c r="CI22" s="41">
        <f t="shared" si="410"/>
        <v>0</v>
      </c>
      <c r="CJ22" s="41">
        <f t="shared" si="410"/>
        <v>0</v>
      </c>
      <c r="CK22" s="41">
        <f t="shared" si="410"/>
        <v>0</v>
      </c>
      <c r="CL22" s="41">
        <f t="shared" si="410"/>
        <v>0</v>
      </c>
      <c r="CM22" s="41">
        <f t="shared" si="410"/>
        <v>0</v>
      </c>
      <c r="CN22" s="41">
        <f t="shared" si="410"/>
        <v>0</v>
      </c>
      <c r="CO22" s="41">
        <f t="shared" si="410"/>
        <v>0</v>
      </c>
      <c r="CP22" s="41">
        <f t="shared" si="410"/>
        <v>0</v>
      </c>
      <c r="CQ22" s="41">
        <f t="shared" si="410"/>
        <v>0</v>
      </c>
      <c r="CR22" s="41">
        <f t="shared" si="410"/>
        <v>0</v>
      </c>
      <c r="CS22" s="41">
        <f t="shared" si="410"/>
        <v>0</v>
      </c>
      <c r="CT22" s="41">
        <f t="shared" si="410"/>
        <v>0</v>
      </c>
      <c r="CU22" s="41">
        <f t="shared" si="410"/>
        <v>0</v>
      </c>
      <c r="CV22" s="41">
        <f t="shared" si="410"/>
        <v>0</v>
      </c>
      <c r="CW22" s="41">
        <f t="shared" si="410"/>
        <v>0</v>
      </c>
      <c r="CX22" s="41">
        <f t="shared" si="410"/>
        <v>0</v>
      </c>
      <c r="CY22" s="41">
        <f t="shared" si="410"/>
        <v>0</v>
      </c>
      <c r="CZ22" s="41">
        <f t="shared" si="410"/>
        <v>0</v>
      </c>
      <c r="DA22" s="41">
        <f t="shared" si="410"/>
        <v>0</v>
      </c>
      <c r="DB22" s="41">
        <f t="shared" si="410"/>
        <v>0</v>
      </c>
      <c r="DC22" s="41">
        <f t="shared" si="410"/>
        <v>0</v>
      </c>
      <c r="DD22" s="41">
        <f t="shared" si="410"/>
        <v>0</v>
      </c>
      <c r="DE22" s="41">
        <f t="shared" si="410"/>
        <v>0</v>
      </c>
      <c r="DF22" s="41">
        <f t="shared" si="410"/>
        <v>0</v>
      </c>
      <c r="DG22" s="41">
        <f t="shared" si="410"/>
        <v>0</v>
      </c>
      <c r="DH22" s="41">
        <f t="shared" si="410"/>
        <v>0</v>
      </c>
      <c r="DI22" s="41">
        <f t="shared" si="410"/>
        <v>0</v>
      </c>
      <c r="DJ22" s="41"/>
      <c r="DK22" s="41"/>
      <c r="DL22" s="41"/>
      <c r="DM22" s="41"/>
      <c r="DN22" s="41"/>
    </row>
    <row r="23" spans="2:118" x14ac:dyDescent="0.3">
      <c r="B23" s="49" t="s">
        <v>16</v>
      </c>
      <c r="E23" s="41">
        <f>WageArrears</f>
        <v>235</v>
      </c>
      <c r="F23" s="41">
        <f t="shared" ref="F23:AK23" si="411">LaborCostsHistory/1.302*TurnaroundLabor/30</f>
        <v>116.65813278716504</v>
      </c>
      <c r="G23" s="41">
        <f t="shared" si="411"/>
        <v>117.04699322978894</v>
      </c>
      <c r="H23" s="41">
        <f t="shared" si="411"/>
        <v>117.43714987388827</v>
      </c>
      <c r="I23" s="41">
        <f t="shared" si="411"/>
        <v>117.82860704013456</v>
      </c>
      <c r="J23" s="41">
        <f t="shared" si="411"/>
        <v>118.22136906360171</v>
      </c>
      <c r="K23" s="41">
        <f t="shared" si="411"/>
        <v>118.61544029381372</v>
      </c>
      <c r="L23" s="41">
        <f t="shared" si="411"/>
        <v>119.01082509479312</v>
      </c>
      <c r="M23" s="41">
        <f t="shared" si="411"/>
        <v>119.40752784510909</v>
      </c>
      <c r="N23" s="41">
        <f t="shared" si="411"/>
        <v>119.80555293792614</v>
      </c>
      <c r="O23" s="41">
        <f t="shared" si="411"/>
        <v>120.20490478105256</v>
      </c>
      <c r="P23" s="41">
        <f t="shared" si="411"/>
        <v>120.60558779698938</v>
      </c>
      <c r="Q23" s="41">
        <f t="shared" si="411"/>
        <v>121.00760642297935</v>
      </c>
      <c r="R23" s="41">
        <f t="shared" si="411"/>
        <v>121.41096511105597</v>
      </c>
      <c r="S23" s="41">
        <f t="shared" si="411"/>
        <v>121.81566832809283</v>
      </c>
      <c r="T23" s="41">
        <f t="shared" si="411"/>
        <v>122.22172055585315</v>
      </c>
      <c r="U23" s="41">
        <f t="shared" si="411"/>
        <v>122.62912629103933</v>
      </c>
      <c r="V23" s="41">
        <f t="shared" si="411"/>
        <v>123.03789004534278</v>
      </c>
      <c r="W23" s="41">
        <f t="shared" si="411"/>
        <v>123.44801634549397</v>
      </c>
      <c r="X23" s="41">
        <f t="shared" si="411"/>
        <v>123.85950973331228</v>
      </c>
      <c r="Y23" s="41">
        <f t="shared" si="411"/>
        <v>124.27237476575665</v>
      </c>
      <c r="Z23" s="41">
        <f t="shared" si="411"/>
        <v>124.68661601497585</v>
      </c>
      <c r="AA23" s="41">
        <f t="shared" si="411"/>
        <v>125.10223806835911</v>
      </c>
      <c r="AB23" s="41">
        <f t="shared" si="411"/>
        <v>125.51924552858699</v>
      </c>
      <c r="AC23" s="41">
        <f t="shared" si="411"/>
        <v>125.93764301368232</v>
      </c>
      <c r="AD23" s="41">
        <f t="shared" si="411"/>
        <v>126.35743515706123</v>
      </c>
      <c r="AE23" s="41">
        <f t="shared" si="411"/>
        <v>126.77862660758478</v>
      </c>
      <c r="AF23" s="41">
        <f t="shared" si="411"/>
        <v>127.20122202961008</v>
      </c>
      <c r="AG23" s="41">
        <f t="shared" si="411"/>
        <v>127.6252261030421</v>
      </c>
      <c r="AH23" s="41">
        <f t="shared" si="411"/>
        <v>128.05064352338559</v>
      </c>
      <c r="AI23" s="41">
        <f t="shared" si="411"/>
        <v>128.47747900179687</v>
      </c>
      <c r="AJ23" s="41">
        <f t="shared" si="411"/>
        <v>128.90573726513622</v>
      </c>
      <c r="AK23" s="41">
        <f t="shared" si="411"/>
        <v>129.33542305602003</v>
      </c>
      <c r="AL23" s="41">
        <f t="shared" ref="AL23:BQ23" si="412">LaborCostsHistory/1.302*TurnaroundLabor/30</f>
        <v>129.76654113287344</v>
      </c>
      <c r="AM23" s="41">
        <f t="shared" si="412"/>
        <v>130.19909626998304</v>
      </c>
      <c r="AN23" s="41">
        <f t="shared" si="412"/>
        <v>130.63309325754966</v>
      </c>
      <c r="AO23" s="41">
        <f t="shared" si="412"/>
        <v>131.06853690174151</v>
      </c>
      <c r="AP23" s="41">
        <f t="shared" si="412"/>
        <v>131.50543202474734</v>
      </c>
      <c r="AQ23" s="41">
        <f t="shared" si="412"/>
        <v>131.94378346482983</v>
      </c>
      <c r="AR23" s="41">
        <f t="shared" si="412"/>
        <v>132.38359607637923</v>
      </c>
      <c r="AS23" s="41">
        <f t="shared" si="412"/>
        <v>132.82487472996721</v>
      </c>
      <c r="AT23" s="41">
        <f t="shared" si="412"/>
        <v>133.26762431240044</v>
      </c>
      <c r="AU23" s="41">
        <f t="shared" si="412"/>
        <v>133.71184972677511</v>
      </c>
      <c r="AV23" s="41">
        <f t="shared" si="412"/>
        <v>134.15755589253106</v>
      </c>
      <c r="AW23" s="41">
        <f t="shared" si="412"/>
        <v>134.60474774550616</v>
      </c>
      <c r="AX23" s="41">
        <f t="shared" si="412"/>
        <v>135.05343023799119</v>
      </c>
      <c r="AY23" s="41">
        <f t="shared" si="412"/>
        <v>135.50360833878449</v>
      </c>
      <c r="AZ23" s="41">
        <f t="shared" si="412"/>
        <v>135.95528703324709</v>
      </c>
      <c r="BA23" s="41">
        <f t="shared" si="412"/>
        <v>136.40847132335793</v>
      </c>
      <c r="BB23" s="41">
        <f t="shared" si="412"/>
        <v>136.86316622776911</v>
      </c>
      <c r="BC23" s="41">
        <f t="shared" si="412"/>
        <v>137.31937678186171</v>
      </c>
      <c r="BD23" s="41">
        <f t="shared" si="412"/>
        <v>137.77710803780124</v>
      </c>
      <c r="BE23" s="41">
        <f t="shared" si="412"/>
        <v>138.23636506459391</v>
      </c>
      <c r="BF23" s="41">
        <f t="shared" si="412"/>
        <v>138.69715294814259</v>
      </c>
      <c r="BG23" s="41">
        <f t="shared" si="412"/>
        <v>139.15947679130306</v>
      </c>
      <c r="BH23" s="41">
        <f t="shared" si="412"/>
        <v>139.62334171394073</v>
      </c>
      <c r="BI23" s="41">
        <f t="shared" si="412"/>
        <v>140.0887528529872</v>
      </c>
      <c r="BJ23" s="41">
        <f t="shared" si="412"/>
        <v>140.55571536249718</v>
      </c>
      <c r="BK23" s="41">
        <f t="shared" si="412"/>
        <v>141.02423441370553</v>
      </c>
      <c r="BL23" s="41">
        <f t="shared" si="412"/>
        <v>141.49431519508457</v>
      </c>
      <c r="BM23" s="41">
        <f t="shared" si="412"/>
        <v>141.96596291240155</v>
      </c>
      <c r="BN23" s="41">
        <f t="shared" si="412"/>
        <v>142.43918278877621</v>
      </c>
      <c r="BO23" s="41">
        <f t="shared" si="412"/>
        <v>142.91398006473884</v>
      </c>
      <c r="BP23" s="41">
        <f t="shared" si="412"/>
        <v>143.39035999828795</v>
      </c>
      <c r="BQ23" s="41">
        <f t="shared" si="412"/>
        <v>143.86832786494895</v>
      </c>
      <c r="BR23" s="41">
        <f t="shared" ref="BR23:DI23" si="413">LaborCostsHistory/1.302*TurnaroundLabor/30</f>
        <v>144.34788895783211</v>
      </c>
      <c r="BS23" s="41">
        <f t="shared" si="413"/>
        <v>144.82904858769155</v>
      </c>
      <c r="BT23" s="41">
        <f t="shared" si="413"/>
        <v>145.31181208298386</v>
      </c>
      <c r="BU23" s="41">
        <f t="shared" si="413"/>
        <v>145.79618478992717</v>
      </c>
      <c r="BV23" s="41">
        <f t="shared" si="413"/>
        <v>146.28217207256023</v>
      </c>
      <c r="BW23" s="41">
        <f t="shared" si="413"/>
        <v>146.76977931280211</v>
      </c>
      <c r="BX23" s="41">
        <f t="shared" si="413"/>
        <v>147.25901191051148</v>
      </c>
      <c r="BY23" s="41">
        <f t="shared" si="413"/>
        <v>147.74987528354652</v>
      </c>
      <c r="BZ23" s="41">
        <f t="shared" si="413"/>
        <v>148.24237486782505</v>
      </c>
      <c r="CA23" s="41">
        <f t="shared" si="413"/>
        <v>148.73651611738444</v>
      </c>
      <c r="CB23" s="41">
        <f t="shared" si="413"/>
        <v>149.2323045044424</v>
      </c>
      <c r="CC23" s="41">
        <f t="shared" si="413"/>
        <v>149.72974551945723</v>
      </c>
      <c r="CD23" s="41">
        <f t="shared" si="413"/>
        <v>150.22884467118877</v>
      </c>
      <c r="CE23" s="41">
        <f t="shared" si="413"/>
        <v>150.72960748675942</v>
      </c>
      <c r="CF23" s="41">
        <f t="shared" si="413"/>
        <v>151.23203951171527</v>
      </c>
      <c r="CG23" s="41">
        <f t="shared" si="413"/>
        <v>151.73614631008769</v>
      </c>
      <c r="CH23" s="41">
        <f t="shared" si="413"/>
        <v>152.24193346445466</v>
      </c>
      <c r="CI23" s="41">
        <f t="shared" si="413"/>
        <v>152.74940657600285</v>
      </c>
      <c r="CJ23" s="41">
        <f t="shared" si="413"/>
        <v>153.25857126458953</v>
      </c>
      <c r="CK23" s="41">
        <f t="shared" si="413"/>
        <v>153.76943316880482</v>
      </c>
      <c r="CL23" s="41">
        <f t="shared" si="413"/>
        <v>154.28199794603418</v>
      </c>
      <c r="CM23" s="41">
        <f t="shared" si="413"/>
        <v>154.79627127252098</v>
      </c>
      <c r="CN23" s="41">
        <f t="shared" si="413"/>
        <v>155.31225884342939</v>
      </c>
      <c r="CO23" s="41">
        <f t="shared" si="413"/>
        <v>155.82996637290751</v>
      </c>
      <c r="CP23" s="41">
        <f t="shared" si="413"/>
        <v>156.34939959415053</v>
      </c>
      <c r="CQ23" s="41">
        <f t="shared" si="413"/>
        <v>156.8705642594644</v>
      </c>
      <c r="CR23" s="41">
        <f t="shared" si="413"/>
        <v>157.39346614032928</v>
      </c>
      <c r="CS23" s="41">
        <f t="shared" si="413"/>
        <v>157.91811102746377</v>
      </c>
      <c r="CT23" s="41">
        <f t="shared" si="413"/>
        <v>158.44450473088861</v>
      </c>
      <c r="CU23" s="41">
        <f t="shared" si="413"/>
        <v>158.9726530799916</v>
      </c>
      <c r="CV23" s="41">
        <f t="shared" si="413"/>
        <v>159.5025619235916</v>
      </c>
      <c r="CW23" s="41">
        <f t="shared" si="413"/>
        <v>160.03423713000359</v>
      </c>
      <c r="CX23" s="41">
        <f t="shared" si="413"/>
        <v>160.5676845871036</v>
      </c>
      <c r="CY23" s="41">
        <f t="shared" si="413"/>
        <v>161.10291020239396</v>
      </c>
      <c r="CZ23" s="41">
        <f t="shared" si="413"/>
        <v>161.63991990306866</v>
      </c>
      <c r="DA23" s="41">
        <f t="shared" si="413"/>
        <v>162.17871963607885</v>
      </c>
      <c r="DB23" s="41">
        <f t="shared" si="413"/>
        <v>162.71931536819912</v>
      </c>
      <c r="DC23" s="41">
        <f t="shared" si="413"/>
        <v>163.26171308609315</v>
      </c>
      <c r="DD23" s="41">
        <f t="shared" si="413"/>
        <v>163.80591879638013</v>
      </c>
      <c r="DE23" s="41">
        <f t="shared" si="413"/>
        <v>164.35193852570143</v>
      </c>
      <c r="DF23" s="41">
        <f t="shared" si="413"/>
        <v>164.89977832078708</v>
      </c>
      <c r="DG23" s="41">
        <f t="shared" si="413"/>
        <v>165.44944424852306</v>
      </c>
      <c r="DH23" s="41">
        <f t="shared" si="413"/>
        <v>166.00094239601816</v>
      </c>
      <c r="DI23" s="41">
        <f t="shared" si="413"/>
        <v>166.55427887067157</v>
      </c>
      <c r="DJ23" s="41"/>
      <c r="DK23" s="41"/>
      <c r="DL23" s="41"/>
      <c r="DM23" s="41"/>
      <c r="DN23" s="41"/>
    </row>
    <row r="24" spans="2:118" ht="26" x14ac:dyDescent="0.3">
      <c r="B24" s="49" t="s">
        <v>17</v>
      </c>
      <c r="E24" s="41"/>
      <c r="F24" s="41">
        <f t="shared" ref="F24:AK24" si="414">LaborCostsHistory/1.302*0.302*TurnaroundTax/30</f>
        <v>105.69226830517154</v>
      </c>
      <c r="G24" s="41">
        <f t="shared" si="414"/>
        <v>106.04457586618878</v>
      </c>
      <c r="H24" s="41">
        <f t="shared" si="414"/>
        <v>106.39805778574276</v>
      </c>
      <c r="I24" s="41">
        <f t="shared" si="414"/>
        <v>106.7527179783619</v>
      </c>
      <c r="J24" s="41">
        <f t="shared" si="414"/>
        <v>107.10856037162314</v>
      </c>
      <c r="K24" s="41">
        <f t="shared" si="414"/>
        <v>107.46558890619522</v>
      </c>
      <c r="L24" s="41">
        <f t="shared" si="414"/>
        <v>107.82380753588255</v>
      </c>
      <c r="M24" s="41">
        <f t="shared" si="414"/>
        <v>108.18322022766883</v>
      </c>
      <c r="N24" s="41">
        <f t="shared" si="414"/>
        <v>108.54383096176107</v>
      </c>
      <c r="O24" s="41">
        <f t="shared" si="414"/>
        <v>108.90564373163362</v>
      </c>
      <c r="P24" s="41">
        <f t="shared" si="414"/>
        <v>109.26866254407238</v>
      </c>
      <c r="Q24" s="41">
        <f t="shared" si="414"/>
        <v>109.63289141921929</v>
      </c>
      <c r="R24" s="41">
        <f t="shared" si="414"/>
        <v>109.99833439061671</v>
      </c>
      <c r="S24" s="41">
        <f t="shared" si="414"/>
        <v>110.3649955052521</v>
      </c>
      <c r="T24" s="41">
        <f t="shared" si="414"/>
        <v>110.73287882360296</v>
      </c>
      <c r="U24" s="41">
        <f t="shared" si="414"/>
        <v>111.10198841968163</v>
      </c>
      <c r="V24" s="41">
        <f t="shared" si="414"/>
        <v>111.47232838108056</v>
      </c>
      <c r="W24" s="41">
        <f t="shared" si="414"/>
        <v>111.84390280901754</v>
      </c>
      <c r="X24" s="41">
        <f t="shared" si="414"/>
        <v>112.21671581838092</v>
      </c>
      <c r="Y24" s="41">
        <f t="shared" si="414"/>
        <v>112.59077153777552</v>
      </c>
      <c r="Z24" s="41">
        <f t="shared" si="414"/>
        <v>112.96607410956811</v>
      </c>
      <c r="AA24" s="41">
        <f t="shared" si="414"/>
        <v>113.34262768993335</v>
      </c>
      <c r="AB24" s="41">
        <f t="shared" si="414"/>
        <v>113.72043644889982</v>
      </c>
      <c r="AC24" s="41">
        <f t="shared" si="414"/>
        <v>114.09950457039616</v>
      </c>
      <c r="AD24" s="41">
        <f t="shared" si="414"/>
        <v>114.47983625229747</v>
      </c>
      <c r="AE24" s="41">
        <f t="shared" si="414"/>
        <v>114.86143570647181</v>
      </c>
      <c r="AF24" s="41">
        <f t="shared" si="414"/>
        <v>115.24430715882671</v>
      </c>
      <c r="AG24" s="41">
        <f t="shared" si="414"/>
        <v>115.62845484935615</v>
      </c>
      <c r="AH24" s="41">
        <f t="shared" si="414"/>
        <v>116.01388303218734</v>
      </c>
      <c r="AI24" s="41">
        <f t="shared" si="414"/>
        <v>116.40059597562797</v>
      </c>
      <c r="AJ24" s="41">
        <f t="shared" si="414"/>
        <v>116.78859796221342</v>
      </c>
      <c r="AK24" s="41">
        <f t="shared" si="414"/>
        <v>117.17789328875415</v>
      </c>
      <c r="AL24" s="41">
        <f t="shared" ref="AL24:BQ24" si="415">LaborCostsHistory/1.302*0.302*TurnaroundTax/30</f>
        <v>117.56848626638333</v>
      </c>
      <c r="AM24" s="41">
        <f t="shared" si="415"/>
        <v>117.96038122060463</v>
      </c>
      <c r="AN24" s="41">
        <f t="shared" si="415"/>
        <v>118.35358249133999</v>
      </c>
      <c r="AO24" s="41">
        <f t="shared" si="415"/>
        <v>118.74809443297781</v>
      </c>
      <c r="AP24" s="41">
        <f t="shared" si="415"/>
        <v>119.14392141442109</v>
      </c>
      <c r="AQ24" s="41">
        <f t="shared" si="415"/>
        <v>119.54106781913583</v>
      </c>
      <c r="AR24" s="41">
        <f t="shared" si="415"/>
        <v>119.9395380451996</v>
      </c>
      <c r="AS24" s="41">
        <f t="shared" si="415"/>
        <v>120.33933650535027</v>
      </c>
      <c r="AT24" s="41">
        <f t="shared" si="415"/>
        <v>120.74046762703479</v>
      </c>
      <c r="AU24" s="41">
        <f t="shared" si="415"/>
        <v>121.14293585245824</v>
      </c>
      <c r="AV24" s="41">
        <f t="shared" si="415"/>
        <v>121.54674563863313</v>
      </c>
      <c r="AW24" s="41">
        <f t="shared" si="415"/>
        <v>121.95190145742858</v>
      </c>
      <c r="AX24" s="41">
        <f t="shared" si="415"/>
        <v>122.35840779562001</v>
      </c>
      <c r="AY24" s="41">
        <f t="shared" si="415"/>
        <v>122.76626915493874</v>
      </c>
      <c r="AZ24" s="41">
        <f t="shared" si="415"/>
        <v>123.17549005212186</v>
      </c>
      <c r="BA24" s="41">
        <f t="shared" si="415"/>
        <v>123.58607501896229</v>
      </c>
      <c r="BB24" s="41">
        <f t="shared" si="415"/>
        <v>123.99802860235883</v>
      </c>
      <c r="BC24" s="41">
        <f t="shared" si="415"/>
        <v>124.4113553643667</v>
      </c>
      <c r="BD24" s="41">
        <f t="shared" si="415"/>
        <v>124.82605988224792</v>
      </c>
      <c r="BE24" s="41">
        <f t="shared" si="415"/>
        <v>125.24214674852209</v>
      </c>
      <c r="BF24" s="41">
        <f t="shared" si="415"/>
        <v>125.65962057101719</v>
      </c>
      <c r="BG24" s="41">
        <f t="shared" si="415"/>
        <v>126.07848597292057</v>
      </c>
      <c r="BH24" s="41">
        <f t="shared" si="415"/>
        <v>126.49874759283031</v>
      </c>
      <c r="BI24" s="41">
        <f t="shared" si="415"/>
        <v>126.92041008480642</v>
      </c>
      <c r="BJ24" s="41">
        <f t="shared" si="415"/>
        <v>127.34347811842245</v>
      </c>
      <c r="BK24" s="41">
        <f t="shared" si="415"/>
        <v>127.7679563788172</v>
      </c>
      <c r="BL24" s="41">
        <f t="shared" si="415"/>
        <v>128.19384956674659</v>
      </c>
      <c r="BM24" s="41">
        <f t="shared" si="415"/>
        <v>128.62116239863579</v>
      </c>
      <c r="BN24" s="41">
        <f t="shared" si="415"/>
        <v>129.04989960663124</v>
      </c>
      <c r="BO24" s="41">
        <f t="shared" si="415"/>
        <v>129.48006593865335</v>
      </c>
      <c r="BP24" s="41">
        <f t="shared" si="415"/>
        <v>129.9116661584489</v>
      </c>
      <c r="BQ24" s="41">
        <f t="shared" si="415"/>
        <v>130.34470504564371</v>
      </c>
      <c r="BR24" s="41">
        <f t="shared" ref="BR24:DI24" si="416">LaborCostsHistory/1.302*0.302*TurnaroundTax/30</f>
        <v>130.77918739579587</v>
      </c>
      <c r="BS24" s="41">
        <f t="shared" si="416"/>
        <v>131.21511802044853</v>
      </c>
      <c r="BT24" s="41">
        <f t="shared" si="416"/>
        <v>131.65250174718338</v>
      </c>
      <c r="BU24" s="41">
        <f t="shared" si="416"/>
        <v>132.09134341967399</v>
      </c>
      <c r="BV24" s="41">
        <f t="shared" si="416"/>
        <v>132.53164789773956</v>
      </c>
      <c r="BW24" s="41">
        <f t="shared" si="416"/>
        <v>132.9734200573987</v>
      </c>
      <c r="BX24" s="41">
        <f t="shared" si="416"/>
        <v>133.41666479092339</v>
      </c>
      <c r="BY24" s="41">
        <f t="shared" si="416"/>
        <v>133.86138700689315</v>
      </c>
      <c r="BZ24" s="41">
        <f t="shared" si="416"/>
        <v>134.30759163024948</v>
      </c>
      <c r="CA24" s="41">
        <f t="shared" si="416"/>
        <v>134.75528360235029</v>
      </c>
      <c r="CB24" s="41">
        <f t="shared" si="416"/>
        <v>135.20446788102481</v>
      </c>
      <c r="CC24" s="41">
        <f t="shared" si="416"/>
        <v>135.65514944062826</v>
      </c>
      <c r="CD24" s="41">
        <f t="shared" si="416"/>
        <v>136.10733327209704</v>
      </c>
      <c r="CE24" s="41">
        <f t="shared" si="416"/>
        <v>136.56102438300402</v>
      </c>
      <c r="CF24" s="41">
        <f t="shared" si="416"/>
        <v>137.01622779761405</v>
      </c>
      <c r="CG24" s="41">
        <f t="shared" si="416"/>
        <v>137.47294855693946</v>
      </c>
      <c r="CH24" s="41">
        <f t="shared" si="416"/>
        <v>137.93119171879593</v>
      </c>
      <c r="CI24" s="41">
        <f t="shared" si="416"/>
        <v>138.39096235785857</v>
      </c>
      <c r="CJ24" s="41">
        <f t="shared" si="416"/>
        <v>138.85226556571811</v>
      </c>
      <c r="CK24" s="41">
        <f t="shared" si="416"/>
        <v>139.31510645093718</v>
      </c>
      <c r="CL24" s="41">
        <f t="shared" si="416"/>
        <v>139.77949013910697</v>
      </c>
      <c r="CM24" s="41">
        <f t="shared" si="416"/>
        <v>140.245421772904</v>
      </c>
      <c r="CN24" s="41">
        <f t="shared" si="416"/>
        <v>140.71290651214701</v>
      </c>
      <c r="CO24" s="41">
        <f t="shared" si="416"/>
        <v>141.18194953385421</v>
      </c>
      <c r="CP24" s="41">
        <f t="shared" si="416"/>
        <v>141.65255603230037</v>
      </c>
      <c r="CQ24" s="41">
        <f t="shared" si="416"/>
        <v>142.12473121907473</v>
      </c>
      <c r="CR24" s="41">
        <f t="shared" si="416"/>
        <v>142.59848032313832</v>
      </c>
      <c r="CS24" s="41">
        <f t="shared" si="416"/>
        <v>143.07380859088215</v>
      </c>
      <c r="CT24" s="41">
        <f t="shared" si="416"/>
        <v>143.55072128618511</v>
      </c>
      <c r="CU24" s="41">
        <f t="shared" si="416"/>
        <v>144.02922369047238</v>
      </c>
      <c r="CV24" s="41">
        <f t="shared" si="416"/>
        <v>144.50932110277398</v>
      </c>
      <c r="CW24" s="41">
        <f t="shared" si="416"/>
        <v>144.99101883978321</v>
      </c>
      <c r="CX24" s="41">
        <f t="shared" si="416"/>
        <v>145.47432223591585</v>
      </c>
      <c r="CY24" s="41">
        <f t="shared" si="416"/>
        <v>145.95923664336891</v>
      </c>
      <c r="CZ24" s="41">
        <f t="shared" si="416"/>
        <v>146.44576743218016</v>
      </c>
      <c r="DA24" s="41">
        <f t="shared" si="416"/>
        <v>146.93391999028745</v>
      </c>
      <c r="DB24" s="41">
        <f t="shared" si="416"/>
        <v>147.42369972358838</v>
      </c>
      <c r="DC24" s="41">
        <f t="shared" si="416"/>
        <v>147.9151120560004</v>
      </c>
      <c r="DD24" s="41">
        <f t="shared" si="416"/>
        <v>148.40816242952042</v>
      </c>
      <c r="DE24" s="41">
        <f t="shared" si="416"/>
        <v>148.90285630428545</v>
      </c>
      <c r="DF24" s="41">
        <f t="shared" si="416"/>
        <v>149.39919915863311</v>
      </c>
      <c r="DG24" s="41">
        <f t="shared" si="416"/>
        <v>149.8971964891619</v>
      </c>
      <c r="DH24" s="41">
        <f t="shared" si="416"/>
        <v>150.39685381079244</v>
      </c>
      <c r="DI24" s="41">
        <f t="shared" si="416"/>
        <v>150.89817665682841</v>
      </c>
      <c r="DJ24" s="41"/>
      <c r="DK24" s="41"/>
      <c r="DL24" s="41"/>
      <c r="DM24" s="41"/>
      <c r="DN24" s="41"/>
    </row>
    <row r="25" spans="2:118" x14ac:dyDescent="0.3">
      <c r="B25" s="49" t="s">
        <v>18</v>
      </c>
      <c r="E25" s="41">
        <f>TaxDebt</f>
        <v>5829</v>
      </c>
      <c r="F25" s="41">
        <f>SUM(F26:F28)</f>
        <v>706.11986666666678</v>
      </c>
      <c r="G25" s="41">
        <f t="shared" ref="G25:BR25" si="417">SUM(G26:G28)</f>
        <v>806.10737949590964</v>
      </c>
      <c r="H25" s="41">
        <f>SUM(H26:H28)</f>
        <v>3905.9533579899403</v>
      </c>
      <c r="I25" s="41">
        <f t="shared" si="417"/>
        <v>1020.7912705686667</v>
      </c>
      <c r="J25" s="41">
        <f t="shared" si="417"/>
        <v>1130.9144851385568</v>
      </c>
      <c r="K25" s="41">
        <f t="shared" si="417"/>
        <v>4229.4527435580494</v>
      </c>
      <c r="L25" s="41">
        <f t="shared" si="417"/>
        <v>1429.4049420731187</v>
      </c>
      <c r="M25" s="41">
        <f t="shared" si="417"/>
        <v>1638.3196001066567</v>
      </c>
      <c r="N25" s="41">
        <f t="shared" si="417"/>
        <v>4555.8628845546045</v>
      </c>
      <c r="O25" s="41">
        <f t="shared" si="417"/>
        <v>2041.2829974919418</v>
      </c>
      <c r="P25" s="41">
        <f t="shared" si="417"/>
        <v>2247.8623182843698</v>
      </c>
      <c r="Q25" s="41">
        <f t="shared" si="417"/>
        <v>4895.7458233977113</v>
      </c>
      <c r="R25" s="41">
        <f t="shared" si="417"/>
        <v>2705.7246901815201</v>
      </c>
      <c r="S25" s="41">
        <f t="shared" si="417"/>
        <v>2719.6954391487925</v>
      </c>
      <c r="T25" s="41">
        <f t="shared" si="417"/>
        <v>5609.5941750395696</v>
      </c>
      <c r="U25" s="41">
        <f t="shared" si="417"/>
        <v>3237.3027208342351</v>
      </c>
      <c r="V25" s="41">
        <f t="shared" si="417"/>
        <v>3257.9970632370155</v>
      </c>
      <c r="W25" s="41">
        <f t="shared" si="417"/>
        <v>5671.6774314211407</v>
      </c>
      <c r="X25" s="41">
        <f t="shared" si="417"/>
        <v>3299.5929214037433</v>
      </c>
      <c r="Y25" s="41">
        <f t="shared" si="417"/>
        <v>3320.494897808423</v>
      </c>
      <c r="Z25" s="41">
        <f t="shared" si="417"/>
        <v>5734.3835921077853</v>
      </c>
      <c r="AA25" s="41">
        <f t="shared" si="417"/>
        <v>3362.5081026260114</v>
      </c>
      <c r="AB25" s="41">
        <f t="shared" si="417"/>
        <v>3383.6197963014311</v>
      </c>
      <c r="AC25" s="41">
        <f t="shared" si="417"/>
        <v>5797.7189069291035</v>
      </c>
      <c r="AD25" s="41">
        <f t="shared" si="417"/>
        <v>3426.0545351634</v>
      </c>
      <c r="AE25" s="41">
        <f t="shared" si="417"/>
        <v>3447.3780502806117</v>
      </c>
      <c r="AF25" s="41">
        <f t="shared" si="417"/>
        <v>5861.6896884215475</v>
      </c>
      <c r="AG25" s="41">
        <f t="shared" si="417"/>
        <v>3490.2385525941527</v>
      </c>
      <c r="AH25" s="41">
        <f t="shared" si="417"/>
        <v>3511.7760144361337</v>
      </c>
      <c r="AI25" s="41">
        <f t="shared" si="417"/>
        <v>5926.3023124575875</v>
      </c>
      <c r="AJ25" s="41">
        <f t="shared" si="417"/>
        <v>3555.0665520436469</v>
      </c>
      <c r="AK25" s="41">
        <f t="shared" si="417"/>
        <v>3576.8201072171269</v>
      </c>
      <c r="AL25" s="41">
        <f t="shared" si="417"/>
        <v>5991.5632188811833</v>
      </c>
      <c r="AM25" s="41">
        <f t="shared" si="417"/>
        <v>3620.5449948219893</v>
      </c>
      <c r="AN25" s="41">
        <f t="shared" si="417"/>
        <v>3642.5168114713961</v>
      </c>
      <c r="AO25" s="41">
        <f t="shared" si="417"/>
        <v>6057.4789121496342</v>
      </c>
      <c r="AP25" s="41">
        <f t="shared" si="417"/>
        <v>3686.6804070679991</v>
      </c>
      <c r="AQ25" s="41">
        <f t="shared" si="417"/>
        <v>3708.8726750915603</v>
      </c>
      <c r="AR25" s="41">
        <f t="shared" si="417"/>
        <v>6124.0559619818641</v>
      </c>
      <c r="AS25" s="41">
        <f t="shared" si="417"/>
        <v>3753.4793803996718</v>
      </c>
      <c r="AT25" s="41">
        <f t="shared" si="417"/>
        <v>3775.894311667671</v>
      </c>
      <c r="AU25" s="41">
        <f t="shared" si="417"/>
        <v>6191.3010040132312</v>
      </c>
      <c r="AV25" s="41">
        <f t="shared" si="417"/>
        <v>3820.9485725711411</v>
      </c>
      <c r="AW25" s="41">
        <f t="shared" si="417"/>
        <v>3843.5884011463786</v>
      </c>
      <c r="AX25" s="41">
        <f t="shared" si="417"/>
        <v>6259.2207404568671</v>
      </c>
      <c r="AY25" s="41">
        <f t="shared" si="417"/>
        <v>3889.0947081362574</v>
      </c>
      <c r="AZ25" s="41">
        <f t="shared" si="417"/>
        <v>3911.9616904967111</v>
      </c>
      <c r="BA25" s="41">
        <f t="shared" si="417"/>
        <v>6327.8219407717006</v>
      </c>
      <c r="BB25" s="41">
        <f t="shared" si="417"/>
        <v>3957.9245791188059</v>
      </c>
      <c r="BC25" s="41">
        <f t="shared" si="417"/>
        <v>3981.0209943825357</v>
      </c>
      <c r="BD25" s="41">
        <f t="shared" si="417"/>
        <v>6397.1114423371455</v>
      </c>
      <c r="BE25" s="41">
        <f t="shared" si="417"/>
        <v>4027.4450456894692</v>
      </c>
      <c r="BF25" s="41">
        <f t="shared" si="417"/>
        <v>4050.773195841768</v>
      </c>
      <c r="BG25" s="41">
        <f t="shared" si="417"/>
        <v>6467.096151134574</v>
      </c>
      <c r="BH25" s="41">
        <f t="shared" si="417"/>
        <v>4097.6630368495553</v>
      </c>
      <c r="BI25" s="41">
        <f t="shared" si="417"/>
        <v>4121.225246972388</v>
      </c>
      <c r="BJ25" s="41">
        <f t="shared" si="417"/>
        <v>6537.7830424356298</v>
      </c>
      <c r="BK25" s="41">
        <f t="shared" si="417"/>
        <v>4168.585551121615</v>
      </c>
      <c r="BL25" s="41">
        <f t="shared" si="417"/>
        <v>4192.3841696253539</v>
      </c>
      <c r="BM25" s="41">
        <f t="shared" si="417"/>
        <v>6609.1791614974381</v>
      </c>
      <c r="BN25" s="41">
        <f t="shared" si="417"/>
        <v>4240.2196572469657</v>
      </c>
      <c r="BO25" s="41">
        <f t="shared" si="417"/>
        <v>4264.2570561044568</v>
      </c>
      <c r="BP25" s="41">
        <f t="shared" si="417"/>
        <v>6679.4129738445336</v>
      </c>
      <c r="BQ25" s="41">
        <f t="shared" si="417"/>
        <v>4301.2703600796603</v>
      </c>
      <c r="BR25" s="41">
        <f t="shared" si="417"/>
        <v>4316.0940390577034</v>
      </c>
      <c r="BS25" s="41">
        <f t="shared" ref="BS25:BY25" si="418">SUM(BS26:BS28)</f>
        <v>6723.8841749390067</v>
      </c>
      <c r="BT25" s="41">
        <f t="shared" si="418"/>
        <v>4345.8897985111162</v>
      </c>
      <c r="BU25" s="41">
        <f t="shared" si="418"/>
        <v>4360.8622089505961</v>
      </c>
      <c r="BV25" s="41">
        <f t="shared" si="418"/>
        <v>6768.8015720648773</v>
      </c>
      <c r="BW25" s="41">
        <f t="shared" si="418"/>
        <v>4390.9569202940711</v>
      </c>
      <c r="BX25" s="41">
        <f t="shared" si="418"/>
        <v>4406.079554472828</v>
      </c>
      <c r="BY25" s="41">
        <f t="shared" si="418"/>
        <v>6814.1696420721837</v>
      </c>
      <c r="BZ25" s="41">
        <f t="shared" ref="BZ25:DI25" si="419">SUM(BZ26:BZ28)</f>
        <v>4436.4762172014034</v>
      </c>
      <c r="CA25" s="41">
        <f t="shared" si="419"/>
        <v>4451.7505823698521</v>
      </c>
      <c r="CB25" s="41">
        <f t="shared" si="419"/>
        <v>6859.9929067288631</v>
      </c>
      <c r="CC25" s="41">
        <f t="shared" si="419"/>
        <v>4482.4522260736039</v>
      </c>
      <c r="CD25" s="41">
        <f t="shared" si="419"/>
        <v>4497.8798446049623</v>
      </c>
      <c r="CE25" s="41">
        <f t="shared" si="419"/>
        <v>6906.2759331714233</v>
      </c>
      <c r="CF25" s="41">
        <f t="shared" si="419"/>
        <v>4528.8895292709722</v>
      </c>
      <c r="CG25" s="41">
        <f t="shared" si="419"/>
        <v>4544.4719388129888</v>
      </c>
      <c r="CH25" s="41">
        <f t="shared" si="419"/>
        <v>6953.0233343601412</v>
      </c>
      <c r="CI25" s="41">
        <f t="shared" si="419"/>
        <v>4575.7927551303201</v>
      </c>
      <c r="CJ25" s="41">
        <f t="shared" si="419"/>
        <v>4591.5315087585332</v>
      </c>
      <c r="CK25" s="41">
        <f t="shared" si="419"/>
        <v>7000.2397695388399</v>
      </c>
      <c r="CL25" s="41">
        <f t="shared" si="419"/>
        <v>4623.1665784262796</v>
      </c>
      <c r="CM25" s="41">
        <f t="shared" si="419"/>
        <v>4639.0632447988128</v>
      </c>
      <c r="CN25" s="41">
        <f t="shared" si="419"/>
        <v>7047.9299446992527</v>
      </c>
      <c r="CO25" s="41">
        <f t="shared" si="419"/>
        <v>4671.0157208372284</v>
      </c>
      <c r="CP25" s="41">
        <f t="shared" si="419"/>
        <v>4687.0718843511313</v>
      </c>
      <c r="CQ25" s="41">
        <f t="shared" si="419"/>
        <v>7096.0986130500805</v>
      </c>
      <c r="CR25" s="41">
        <f t="shared" si="419"/>
        <v>4719.344951415891</v>
      </c>
      <c r="CS25" s="41">
        <f t="shared" si="419"/>
        <v>4735.5622123650555</v>
      </c>
      <c r="CT25" s="41">
        <f t="shared" si="419"/>
        <v>7144.750575490717</v>
      </c>
      <c r="CU25" s="41">
        <f t="shared" si="419"/>
        <v>4768.1590870646651</v>
      </c>
      <c r="CV25" s="41">
        <f t="shared" si="419"/>
        <v>4784.5390617993253</v>
      </c>
      <c r="CW25" s="41">
        <f t="shared" si="419"/>
        <v>7193.8906810897679</v>
      </c>
      <c r="CX25" s="41">
        <f t="shared" si="419"/>
        <v>4817.4629930157125</v>
      </c>
      <c r="CY25" s="41">
        <f t="shared" si="419"/>
        <v>4834.0073141035427</v>
      </c>
      <c r="CZ25" s="41">
        <f t="shared" si="419"/>
        <v>7243.5238275683332</v>
      </c>
      <c r="DA25" s="41">
        <f t="shared" si="419"/>
        <v>4867.2615833158716</v>
      </c>
      <c r="DB25" s="41">
        <f t="shared" si="419"/>
        <v>4883.9718997047021</v>
      </c>
      <c r="DC25" s="41">
        <f t="shared" si="419"/>
        <v>7293.6549617881637</v>
      </c>
      <c r="DD25" s="41">
        <f t="shared" si="419"/>
        <v>4917.5598213164349</v>
      </c>
      <c r="DE25" s="41">
        <f t="shared" si="419"/>
        <v>4934.4377984986013</v>
      </c>
      <c r="DF25" s="41">
        <f t="shared" si="419"/>
        <v>7344.2890802447091</v>
      </c>
      <c r="DG25" s="41">
        <f t="shared" si="419"/>
        <v>4968.3627201678364</v>
      </c>
      <c r="DH25" s="41">
        <f t="shared" si="419"/>
        <v>4985.4100403461734</v>
      </c>
      <c r="DI25" s="41">
        <f t="shared" si="419"/>
        <v>7395.4312295651052</v>
      </c>
      <c r="DJ25" s="41"/>
      <c r="DK25" s="41"/>
      <c r="DL25" s="41"/>
      <c r="DM25" s="41"/>
      <c r="DN25" s="41"/>
    </row>
    <row r="26" spans="2:118" x14ac:dyDescent="0.3">
      <c r="B26" s="49" t="s">
        <v>39</v>
      </c>
      <c r="E26" s="41">
        <f>TaxDebt</f>
        <v>5829</v>
      </c>
      <c r="F26" s="41">
        <f>IF(EDATE(F3+1,-1)=Start,IF((VATrevenue-VATincome)&gt;0,(VATrevenue-VATincome)*TurnaroundTax/30+IncomeVAT,0),IF((VATrevenue-VATincome)&gt;0,(VATrevenue-VATincome)*TurnaroundTax/30))</f>
        <v>706.11986666666678</v>
      </c>
      <c r="G26" s="41">
        <f t="shared" ref="G26:AL26" si="420">(IF((VATrevenue-VATincome)&gt;0,VATrevenue-VATincome,0))*TurnaroundTax/30</f>
        <v>806.10737949590964</v>
      </c>
      <c r="H26" s="41">
        <f t="shared" si="420"/>
        <v>914.80705218994046</v>
      </c>
      <c r="I26" s="41">
        <f t="shared" si="420"/>
        <v>1020.7912705686667</v>
      </c>
      <c r="J26" s="41">
        <f t="shared" si="420"/>
        <v>1130.9144851385568</v>
      </c>
      <c r="K26" s="41">
        <f t="shared" si="420"/>
        <v>1238.3064377580499</v>
      </c>
      <c r="L26" s="41">
        <f t="shared" si="420"/>
        <v>1349.8673591827687</v>
      </c>
      <c r="M26" s="41">
        <f t="shared" si="420"/>
        <v>1462.1582611232334</v>
      </c>
      <c r="N26" s="41">
        <f t="shared" si="420"/>
        <v>1564.7165787546041</v>
      </c>
      <c r="O26" s="41">
        <f t="shared" si="420"/>
        <v>1678.4434514024183</v>
      </c>
      <c r="P26" s="41">
        <f t="shared" si="420"/>
        <v>1789.3990898951852</v>
      </c>
      <c r="Q26" s="41">
        <f t="shared" si="420"/>
        <v>1904.5995175977114</v>
      </c>
      <c r="R26" s="41">
        <f t="shared" si="420"/>
        <v>2235.8180878170283</v>
      </c>
      <c r="S26" s="41">
        <f t="shared" si="420"/>
        <v>2243.2708147764188</v>
      </c>
      <c r="T26" s="41">
        <f t="shared" si="420"/>
        <v>2250.7483841590069</v>
      </c>
      <c r="U26" s="41">
        <f t="shared" si="420"/>
        <v>2258.2508787728702</v>
      </c>
      <c r="V26" s="41">
        <f t="shared" si="420"/>
        <v>2265.7783817021132</v>
      </c>
      <c r="W26" s="41">
        <f t="shared" si="420"/>
        <v>2273.3309763077873</v>
      </c>
      <c r="X26" s="41">
        <f t="shared" si="420"/>
        <v>2280.908746228813</v>
      </c>
      <c r="Y26" s="41">
        <f t="shared" si="420"/>
        <v>2288.5117753829095</v>
      </c>
      <c r="Z26" s="41">
        <f t="shared" si="420"/>
        <v>2296.1401479675196</v>
      </c>
      <c r="AA26" s="41">
        <f t="shared" si="420"/>
        <v>2303.7939484607446</v>
      </c>
      <c r="AB26" s="41">
        <f t="shared" si="420"/>
        <v>2311.4732616222805</v>
      </c>
      <c r="AC26" s="41">
        <f t="shared" si="420"/>
        <v>2319.1781724943548</v>
      </c>
      <c r="AD26" s="41">
        <f t="shared" si="420"/>
        <v>2326.9087664026697</v>
      </c>
      <c r="AE26" s="41">
        <f t="shared" si="420"/>
        <v>2334.6651289573451</v>
      </c>
      <c r="AF26" s="41">
        <f t="shared" si="420"/>
        <v>2342.4473460538702</v>
      </c>
      <c r="AG26" s="41">
        <f t="shared" si="420"/>
        <v>2350.2555038740497</v>
      </c>
      <c r="AH26" s="41">
        <f t="shared" si="420"/>
        <v>2358.0896888869634</v>
      </c>
      <c r="AI26" s="41">
        <f t="shared" si="420"/>
        <v>2365.94998784992</v>
      </c>
      <c r="AJ26" s="41">
        <f t="shared" si="420"/>
        <v>2373.8364878094199</v>
      </c>
      <c r="AK26" s="41">
        <f t="shared" si="420"/>
        <v>2381.7492761021185</v>
      </c>
      <c r="AL26" s="41">
        <f t="shared" si="420"/>
        <v>2389.6884403557924</v>
      </c>
      <c r="AM26" s="41">
        <f t="shared" ref="AM26:BR26" si="421">(IF((VATrevenue-VATincome)&gt;0,VATrevenue-VATincome,0))*TurnaroundTax/30</f>
        <v>2397.6540684903125</v>
      </c>
      <c r="AN26" s="41">
        <f t="shared" si="421"/>
        <v>2405.6462487186136</v>
      </c>
      <c r="AO26" s="41">
        <f t="shared" si="421"/>
        <v>2413.665069547676</v>
      </c>
      <c r="AP26" s="41">
        <f t="shared" si="421"/>
        <v>2421.710619779501</v>
      </c>
      <c r="AQ26" s="41">
        <f t="shared" si="421"/>
        <v>2429.7829885121</v>
      </c>
      <c r="AR26" s="41">
        <f t="shared" si="421"/>
        <v>2437.882265140473</v>
      </c>
      <c r="AS26" s="41">
        <f t="shared" si="421"/>
        <v>2446.0085393576087</v>
      </c>
      <c r="AT26" s="41">
        <f t="shared" si="421"/>
        <v>2454.1619011554676</v>
      </c>
      <c r="AU26" s="41">
        <f t="shared" si="421"/>
        <v>2462.3424408259862</v>
      </c>
      <c r="AV26" s="41">
        <f t="shared" si="421"/>
        <v>2470.5502489620726</v>
      </c>
      <c r="AW26" s="41">
        <f t="shared" si="421"/>
        <v>2478.7854164586129</v>
      </c>
      <c r="AX26" s="41">
        <f t="shared" si="421"/>
        <v>2487.0480345134756</v>
      </c>
      <c r="AY26" s="41">
        <f t="shared" si="421"/>
        <v>2495.3381946285208</v>
      </c>
      <c r="AZ26" s="41">
        <f t="shared" si="421"/>
        <v>2503.6559886106156</v>
      </c>
      <c r="BA26" s="41">
        <f t="shared" si="421"/>
        <v>2512.0015085726509</v>
      </c>
      <c r="BB26" s="41">
        <f t="shared" si="421"/>
        <v>2520.3748469345596</v>
      </c>
      <c r="BC26" s="41">
        <f t="shared" si="421"/>
        <v>2528.7760964243416</v>
      </c>
      <c r="BD26" s="41">
        <f t="shared" si="421"/>
        <v>2537.2053500790903</v>
      </c>
      <c r="BE26" s="41">
        <f t="shared" si="421"/>
        <v>2545.6627012460203</v>
      </c>
      <c r="BF26" s="41">
        <f t="shared" si="421"/>
        <v>2554.1482435835078</v>
      </c>
      <c r="BG26" s="41">
        <f t="shared" si="421"/>
        <v>2562.6620710621191</v>
      </c>
      <c r="BH26" s="41">
        <f t="shared" si="421"/>
        <v>2571.2042779656595</v>
      </c>
      <c r="BI26" s="41">
        <f t="shared" si="421"/>
        <v>2579.774958892212</v>
      </c>
      <c r="BJ26" s="41">
        <f t="shared" si="421"/>
        <v>2588.3742087551864</v>
      </c>
      <c r="BK26" s="41">
        <f t="shared" si="421"/>
        <v>2597.0021227843699</v>
      </c>
      <c r="BL26" s="41">
        <f t="shared" si="421"/>
        <v>2605.658796526985</v>
      </c>
      <c r="BM26" s="41">
        <f t="shared" si="421"/>
        <v>2614.3443258487418</v>
      </c>
      <c r="BN26" s="41">
        <f t="shared" si="421"/>
        <v>2623.0588069349051</v>
      </c>
      <c r="BO26" s="41">
        <f t="shared" si="421"/>
        <v>2631.8023362913559</v>
      </c>
      <c r="BP26" s="41">
        <f t="shared" si="421"/>
        <v>2640.5750107456593</v>
      </c>
      <c r="BQ26" s="41">
        <f t="shared" si="421"/>
        <v>2649.3769274481451</v>
      </c>
      <c r="BR26" s="41">
        <f t="shared" si="421"/>
        <v>2658.2081838729719</v>
      </c>
      <c r="BS26" s="41">
        <f t="shared" ref="BS26:DI26" si="422">(IF((VATrevenue-VATincome)&gt;0,VATrevenue-VATincome,0))*TurnaroundTax/30</f>
        <v>2667.0688778192157</v>
      </c>
      <c r="BT26" s="41">
        <f t="shared" si="422"/>
        <v>2675.9591074119467</v>
      </c>
      <c r="BU26" s="41">
        <f t="shared" si="422"/>
        <v>2684.8789711033201</v>
      </c>
      <c r="BV26" s="41">
        <f t="shared" si="422"/>
        <v>2693.828567673665</v>
      </c>
      <c r="BW26" s="41">
        <f t="shared" si="422"/>
        <v>2702.8079962325769</v>
      </c>
      <c r="BX26" s="41">
        <f t="shared" si="422"/>
        <v>2711.8173562200186</v>
      </c>
      <c r="BY26" s="41">
        <f t="shared" si="422"/>
        <v>2720.8567474074193</v>
      </c>
      <c r="BZ26" s="41">
        <f t="shared" si="422"/>
        <v>2729.9262698987777</v>
      </c>
      <c r="CA26" s="41">
        <f t="shared" si="422"/>
        <v>2739.0260241317737</v>
      </c>
      <c r="CB26" s="41">
        <f t="shared" si="422"/>
        <v>2748.1561108788801</v>
      </c>
      <c r="CC26" s="41">
        <f t="shared" si="422"/>
        <v>2757.3166312484759</v>
      </c>
      <c r="CD26" s="41">
        <f t="shared" si="422"/>
        <v>2766.5076866859722</v>
      </c>
      <c r="CE26" s="41">
        <f t="shared" si="422"/>
        <v>2775.7293789749256</v>
      </c>
      <c r="CF26" s="41">
        <f t="shared" si="422"/>
        <v>2784.9818102381751</v>
      </c>
      <c r="CG26" s="41">
        <f t="shared" si="422"/>
        <v>2794.26508293897</v>
      </c>
      <c r="CH26" s="41">
        <f t="shared" si="422"/>
        <v>2803.5792998820993</v>
      </c>
      <c r="CI26" s="41">
        <f t="shared" si="422"/>
        <v>2812.9245642150399</v>
      </c>
      <c r="CJ26" s="41">
        <f t="shared" si="422"/>
        <v>2822.3009794290901</v>
      </c>
      <c r="CK26" s="41">
        <f t="shared" si="422"/>
        <v>2831.7086493605207</v>
      </c>
      <c r="CL26" s="41">
        <f t="shared" si="422"/>
        <v>2841.1476781917222</v>
      </c>
      <c r="CM26" s="41">
        <f t="shared" si="422"/>
        <v>2850.6181704523615</v>
      </c>
      <c r="CN26" s="41">
        <f t="shared" si="422"/>
        <v>2860.1202310205363</v>
      </c>
      <c r="CO26" s="41">
        <f t="shared" si="422"/>
        <v>2869.6539651239382</v>
      </c>
      <c r="CP26" s="41">
        <f t="shared" si="422"/>
        <v>2879.2194783410187</v>
      </c>
      <c r="CQ26" s="41">
        <f t="shared" si="422"/>
        <v>2888.8168766021558</v>
      </c>
      <c r="CR26" s="41">
        <f t="shared" si="422"/>
        <v>2898.4462661908296</v>
      </c>
      <c r="CS26" s="41">
        <f t="shared" si="422"/>
        <v>2908.1077537447991</v>
      </c>
      <c r="CT26" s="41">
        <f t="shared" si="422"/>
        <v>2917.8014462572819</v>
      </c>
      <c r="CU26" s="41">
        <f t="shared" si="422"/>
        <v>2927.5274510781401</v>
      </c>
      <c r="CV26" s="41">
        <f t="shared" si="422"/>
        <v>2937.2858759150672</v>
      </c>
      <c r="CW26" s="41">
        <f t="shared" si="422"/>
        <v>2947.0768288347845</v>
      </c>
      <c r="CX26" s="41">
        <f t="shared" si="422"/>
        <v>2956.9004182642338</v>
      </c>
      <c r="CY26" s="41">
        <f t="shared" si="422"/>
        <v>2966.7567529917819</v>
      </c>
      <c r="CZ26" s="41">
        <f t="shared" si="422"/>
        <v>2976.6459421684212</v>
      </c>
      <c r="DA26" s="41">
        <f t="shared" si="422"/>
        <v>2986.5680953089832</v>
      </c>
      <c r="DB26" s="41">
        <f t="shared" si="422"/>
        <v>2996.5233222933457</v>
      </c>
      <c r="DC26" s="41">
        <f t="shared" si="422"/>
        <v>3006.5117333676581</v>
      </c>
      <c r="DD26" s="41">
        <f t="shared" si="422"/>
        <v>3016.5334391455503</v>
      </c>
      <c r="DE26" s="41">
        <f t="shared" si="422"/>
        <v>3026.5885506093687</v>
      </c>
      <c r="DF26" s="41">
        <f t="shared" si="422"/>
        <v>3036.6771791114006</v>
      </c>
      <c r="DG26" s="41">
        <f t="shared" si="422"/>
        <v>3046.7994363751059</v>
      </c>
      <c r="DH26" s="41">
        <f t="shared" si="422"/>
        <v>3056.9554344963558</v>
      </c>
      <c r="DI26" s="41">
        <f t="shared" si="422"/>
        <v>3067.1452859446772</v>
      </c>
      <c r="DJ26" s="41"/>
      <c r="DK26" s="41"/>
      <c r="DL26" s="41"/>
      <c r="DM26" s="41"/>
      <c r="DN26" s="41"/>
    </row>
    <row r="27" spans="2:118" x14ac:dyDescent="0.3">
      <c r="B27" s="50" t="s">
        <v>63</v>
      </c>
      <c r="F27" s="41">
        <f t="shared" ref="F27:AK27" si="423">PropertyTaxHistory*TurnaroundTax/30</f>
        <v>0</v>
      </c>
      <c r="G27" s="41">
        <f t="shared" si="423"/>
        <v>0</v>
      </c>
      <c r="H27" s="41">
        <f t="shared" si="423"/>
        <v>2991.1463057999999</v>
      </c>
      <c r="I27" s="41">
        <f t="shared" si="423"/>
        <v>0</v>
      </c>
      <c r="J27" s="41">
        <f t="shared" si="423"/>
        <v>0</v>
      </c>
      <c r="K27" s="41">
        <f t="shared" si="423"/>
        <v>2991.1463057999999</v>
      </c>
      <c r="L27" s="41">
        <f t="shared" si="423"/>
        <v>0</v>
      </c>
      <c r="M27" s="41">
        <f t="shared" si="423"/>
        <v>0</v>
      </c>
      <c r="N27" s="41">
        <f t="shared" si="423"/>
        <v>2991.1463057999999</v>
      </c>
      <c r="O27" s="41">
        <f t="shared" si="423"/>
        <v>0</v>
      </c>
      <c r="P27" s="41">
        <f t="shared" si="423"/>
        <v>0</v>
      </c>
      <c r="Q27" s="41">
        <f t="shared" si="423"/>
        <v>2991.1463057999999</v>
      </c>
      <c r="R27" s="41">
        <f t="shared" si="423"/>
        <v>0</v>
      </c>
      <c r="S27" s="41">
        <f t="shared" si="423"/>
        <v>0</v>
      </c>
      <c r="T27" s="41">
        <f t="shared" si="423"/>
        <v>2991.1463057999999</v>
      </c>
      <c r="U27" s="41">
        <f t="shared" si="423"/>
        <v>0</v>
      </c>
      <c r="V27" s="41">
        <f t="shared" si="423"/>
        <v>0</v>
      </c>
      <c r="W27" s="41">
        <f t="shared" si="423"/>
        <v>2991.1463057999999</v>
      </c>
      <c r="X27" s="41">
        <f t="shared" si="423"/>
        <v>0</v>
      </c>
      <c r="Y27" s="41">
        <f t="shared" si="423"/>
        <v>0</v>
      </c>
      <c r="Z27" s="41">
        <f t="shared" si="423"/>
        <v>2991.1463057999999</v>
      </c>
      <c r="AA27" s="41">
        <f t="shared" si="423"/>
        <v>0</v>
      </c>
      <c r="AB27" s="41">
        <f t="shared" si="423"/>
        <v>0</v>
      </c>
      <c r="AC27" s="41">
        <f t="shared" si="423"/>
        <v>2991.1463057999999</v>
      </c>
      <c r="AD27" s="41">
        <f t="shared" si="423"/>
        <v>0</v>
      </c>
      <c r="AE27" s="41">
        <f t="shared" si="423"/>
        <v>0</v>
      </c>
      <c r="AF27" s="41">
        <f t="shared" si="423"/>
        <v>2991.1463057999999</v>
      </c>
      <c r="AG27" s="41">
        <f t="shared" si="423"/>
        <v>0</v>
      </c>
      <c r="AH27" s="41">
        <f t="shared" si="423"/>
        <v>0</v>
      </c>
      <c r="AI27" s="41">
        <f t="shared" si="423"/>
        <v>2991.1463057999999</v>
      </c>
      <c r="AJ27" s="41">
        <f t="shared" si="423"/>
        <v>0</v>
      </c>
      <c r="AK27" s="41">
        <f t="shared" si="423"/>
        <v>0</v>
      </c>
      <c r="AL27" s="41">
        <f t="shared" ref="AL27:BQ27" si="424">PropertyTaxHistory*TurnaroundTax/30</f>
        <v>2991.1463057999999</v>
      </c>
      <c r="AM27" s="41">
        <f t="shared" si="424"/>
        <v>0</v>
      </c>
      <c r="AN27" s="41">
        <f t="shared" si="424"/>
        <v>0</v>
      </c>
      <c r="AO27" s="41">
        <f t="shared" si="424"/>
        <v>2991.1463057999999</v>
      </c>
      <c r="AP27" s="41">
        <f t="shared" si="424"/>
        <v>0</v>
      </c>
      <c r="AQ27" s="41">
        <f t="shared" si="424"/>
        <v>0</v>
      </c>
      <c r="AR27" s="41">
        <f t="shared" si="424"/>
        <v>2991.1463057999999</v>
      </c>
      <c r="AS27" s="41">
        <f t="shared" si="424"/>
        <v>0</v>
      </c>
      <c r="AT27" s="41">
        <f t="shared" si="424"/>
        <v>0</v>
      </c>
      <c r="AU27" s="41">
        <f t="shared" si="424"/>
        <v>2991.1463057999999</v>
      </c>
      <c r="AV27" s="41">
        <f t="shared" si="424"/>
        <v>0</v>
      </c>
      <c r="AW27" s="41">
        <f t="shared" si="424"/>
        <v>0</v>
      </c>
      <c r="AX27" s="41">
        <f t="shared" si="424"/>
        <v>2991.1463057999999</v>
      </c>
      <c r="AY27" s="41">
        <f t="shared" si="424"/>
        <v>0</v>
      </c>
      <c r="AZ27" s="41">
        <f t="shared" si="424"/>
        <v>0</v>
      </c>
      <c r="BA27" s="41">
        <f t="shared" si="424"/>
        <v>2991.1463057999999</v>
      </c>
      <c r="BB27" s="41">
        <f t="shared" si="424"/>
        <v>0</v>
      </c>
      <c r="BC27" s="41">
        <f t="shared" si="424"/>
        <v>0</v>
      </c>
      <c r="BD27" s="41">
        <f t="shared" si="424"/>
        <v>2991.1463057999999</v>
      </c>
      <c r="BE27" s="41">
        <f t="shared" si="424"/>
        <v>0</v>
      </c>
      <c r="BF27" s="41">
        <f t="shared" si="424"/>
        <v>0</v>
      </c>
      <c r="BG27" s="41">
        <f t="shared" si="424"/>
        <v>2991.1463057999999</v>
      </c>
      <c r="BH27" s="41">
        <f t="shared" si="424"/>
        <v>0</v>
      </c>
      <c r="BI27" s="41">
        <f t="shared" si="424"/>
        <v>0</v>
      </c>
      <c r="BJ27" s="41">
        <f t="shared" si="424"/>
        <v>2991.1463057999999</v>
      </c>
      <c r="BK27" s="41">
        <f t="shared" si="424"/>
        <v>0</v>
      </c>
      <c r="BL27" s="41">
        <f t="shared" si="424"/>
        <v>0</v>
      </c>
      <c r="BM27" s="41">
        <f t="shared" si="424"/>
        <v>2991.1463057999999</v>
      </c>
      <c r="BN27" s="41">
        <f t="shared" si="424"/>
        <v>0</v>
      </c>
      <c r="BO27" s="41">
        <f t="shared" si="424"/>
        <v>0</v>
      </c>
      <c r="BP27" s="41">
        <f t="shared" si="424"/>
        <v>2991.1463057999999</v>
      </c>
      <c r="BQ27" s="41">
        <f t="shared" si="424"/>
        <v>0</v>
      </c>
      <c r="BR27" s="41">
        <f t="shared" ref="BR27:DI27" si="425">PropertyTaxHistory*TurnaroundTax/30</f>
        <v>0</v>
      </c>
      <c r="BS27" s="41">
        <f t="shared" si="425"/>
        <v>2991.1463057999999</v>
      </c>
      <c r="BT27" s="41">
        <f t="shared" si="425"/>
        <v>0</v>
      </c>
      <c r="BU27" s="41">
        <f t="shared" si="425"/>
        <v>0</v>
      </c>
      <c r="BV27" s="41">
        <f t="shared" si="425"/>
        <v>2991.1463057999999</v>
      </c>
      <c r="BW27" s="41">
        <f t="shared" si="425"/>
        <v>0</v>
      </c>
      <c r="BX27" s="41">
        <f t="shared" si="425"/>
        <v>0</v>
      </c>
      <c r="BY27" s="41">
        <f t="shared" si="425"/>
        <v>2991.1463057999999</v>
      </c>
      <c r="BZ27" s="41">
        <f t="shared" si="425"/>
        <v>0</v>
      </c>
      <c r="CA27" s="41">
        <f t="shared" si="425"/>
        <v>0</v>
      </c>
      <c r="CB27" s="41">
        <f t="shared" si="425"/>
        <v>2991.1463057999999</v>
      </c>
      <c r="CC27" s="41">
        <f t="shared" si="425"/>
        <v>0</v>
      </c>
      <c r="CD27" s="41">
        <f t="shared" si="425"/>
        <v>0</v>
      </c>
      <c r="CE27" s="41">
        <f t="shared" si="425"/>
        <v>2991.1463057999999</v>
      </c>
      <c r="CF27" s="41">
        <f t="shared" si="425"/>
        <v>0</v>
      </c>
      <c r="CG27" s="41">
        <f t="shared" si="425"/>
        <v>0</v>
      </c>
      <c r="CH27" s="41">
        <f t="shared" si="425"/>
        <v>2991.1463057999999</v>
      </c>
      <c r="CI27" s="41">
        <f t="shared" si="425"/>
        <v>0</v>
      </c>
      <c r="CJ27" s="41">
        <f t="shared" si="425"/>
        <v>0</v>
      </c>
      <c r="CK27" s="41">
        <f t="shared" si="425"/>
        <v>2991.1463057999999</v>
      </c>
      <c r="CL27" s="41">
        <f t="shared" si="425"/>
        <v>0</v>
      </c>
      <c r="CM27" s="41">
        <f t="shared" si="425"/>
        <v>0</v>
      </c>
      <c r="CN27" s="41">
        <f t="shared" si="425"/>
        <v>2991.1463057999999</v>
      </c>
      <c r="CO27" s="41">
        <f t="shared" si="425"/>
        <v>0</v>
      </c>
      <c r="CP27" s="41">
        <f t="shared" si="425"/>
        <v>0</v>
      </c>
      <c r="CQ27" s="41">
        <f t="shared" si="425"/>
        <v>2991.1463057999999</v>
      </c>
      <c r="CR27" s="41">
        <f t="shared" si="425"/>
        <v>0</v>
      </c>
      <c r="CS27" s="41">
        <f t="shared" si="425"/>
        <v>0</v>
      </c>
      <c r="CT27" s="41">
        <f t="shared" si="425"/>
        <v>2991.1463057999999</v>
      </c>
      <c r="CU27" s="41">
        <f t="shared" si="425"/>
        <v>0</v>
      </c>
      <c r="CV27" s="41">
        <f t="shared" si="425"/>
        <v>0</v>
      </c>
      <c r="CW27" s="41">
        <f t="shared" si="425"/>
        <v>2991.1463057999999</v>
      </c>
      <c r="CX27" s="41">
        <f t="shared" si="425"/>
        <v>0</v>
      </c>
      <c r="CY27" s="41">
        <f t="shared" si="425"/>
        <v>0</v>
      </c>
      <c r="CZ27" s="41">
        <f t="shared" si="425"/>
        <v>2991.1463057999999</v>
      </c>
      <c r="DA27" s="41">
        <f t="shared" si="425"/>
        <v>0</v>
      </c>
      <c r="DB27" s="41">
        <f t="shared" si="425"/>
        <v>0</v>
      </c>
      <c r="DC27" s="41">
        <f t="shared" si="425"/>
        <v>2991.1463057999999</v>
      </c>
      <c r="DD27" s="41">
        <f t="shared" si="425"/>
        <v>0</v>
      </c>
      <c r="DE27" s="41">
        <f t="shared" si="425"/>
        <v>0</v>
      </c>
      <c r="DF27" s="41">
        <f t="shared" si="425"/>
        <v>2991.1463057999999</v>
      </c>
      <c r="DG27" s="41">
        <f t="shared" si="425"/>
        <v>0</v>
      </c>
      <c r="DH27" s="41">
        <f t="shared" si="425"/>
        <v>0</v>
      </c>
      <c r="DI27" s="41">
        <f t="shared" si="425"/>
        <v>2991.1463057999999</v>
      </c>
      <c r="DJ27" s="41"/>
      <c r="DK27" s="41"/>
      <c r="DL27" s="41"/>
      <c r="DM27" s="41"/>
      <c r="DN27" s="41"/>
    </row>
    <row r="28" spans="2:118" x14ac:dyDescent="0.3">
      <c r="B28" s="49" t="s">
        <v>129</v>
      </c>
      <c r="E28" s="41"/>
      <c r="F28" s="41">
        <f t="shared" ref="F28:AK28" si="426">TaxOnProfitHistory*TurnaroundTax/30</f>
        <v>0</v>
      </c>
      <c r="G28" s="41">
        <f t="shared" si="426"/>
        <v>0</v>
      </c>
      <c r="H28" s="41">
        <f t="shared" si="426"/>
        <v>0</v>
      </c>
      <c r="I28" s="41">
        <f t="shared" si="426"/>
        <v>0</v>
      </c>
      <c r="J28" s="41">
        <f t="shared" si="426"/>
        <v>0</v>
      </c>
      <c r="K28" s="41">
        <f t="shared" si="426"/>
        <v>0</v>
      </c>
      <c r="L28" s="41">
        <f t="shared" si="426"/>
        <v>79.537582890349952</v>
      </c>
      <c r="M28" s="41">
        <f t="shared" si="426"/>
        <v>176.16133898342343</v>
      </c>
      <c r="N28" s="41">
        <f t="shared" si="426"/>
        <v>0</v>
      </c>
      <c r="O28" s="41">
        <f t="shared" si="426"/>
        <v>362.83954608952354</v>
      </c>
      <c r="P28" s="41">
        <f t="shared" si="426"/>
        <v>458.46322838918451</v>
      </c>
      <c r="Q28" s="41">
        <f t="shared" si="426"/>
        <v>0</v>
      </c>
      <c r="R28" s="41">
        <f t="shared" si="426"/>
        <v>469.90660236449185</v>
      </c>
      <c r="S28" s="41">
        <f t="shared" si="426"/>
        <v>476.42462437237356</v>
      </c>
      <c r="T28" s="41">
        <f t="shared" si="426"/>
        <v>367.69948508056336</v>
      </c>
      <c r="U28" s="41">
        <f t="shared" si="426"/>
        <v>979.05184206136494</v>
      </c>
      <c r="V28" s="41">
        <f t="shared" si="426"/>
        <v>992.2186815349022</v>
      </c>
      <c r="W28" s="41">
        <f t="shared" si="426"/>
        <v>407.20014931335299</v>
      </c>
      <c r="X28" s="41">
        <f t="shared" si="426"/>
        <v>1018.6841751749304</v>
      </c>
      <c r="Y28" s="41">
        <f t="shared" si="426"/>
        <v>1031.9831224255136</v>
      </c>
      <c r="Z28" s="41">
        <f t="shared" si="426"/>
        <v>447.09713834026536</v>
      </c>
      <c r="AA28" s="41">
        <f t="shared" si="426"/>
        <v>1058.714154165267</v>
      </c>
      <c r="AB28" s="41">
        <f t="shared" si="426"/>
        <v>1072.1465346791508</v>
      </c>
      <c r="AC28" s="41">
        <f t="shared" si="426"/>
        <v>487.39442863474835</v>
      </c>
      <c r="AD28" s="41">
        <f t="shared" si="426"/>
        <v>1099.1457687607306</v>
      </c>
      <c r="AE28" s="41">
        <f t="shared" si="426"/>
        <v>1112.7129213232665</v>
      </c>
      <c r="AF28" s="41">
        <f t="shared" si="426"/>
        <v>528.09603656767774</v>
      </c>
      <c r="AG28" s="41">
        <f t="shared" si="426"/>
        <v>1139.9830487201032</v>
      </c>
      <c r="AH28" s="41">
        <f t="shared" si="426"/>
        <v>1153.6863255491705</v>
      </c>
      <c r="AI28" s="41">
        <f t="shared" si="426"/>
        <v>569.20601880766776</v>
      </c>
      <c r="AJ28" s="41">
        <f t="shared" si="426"/>
        <v>1181.2300642342268</v>
      </c>
      <c r="AK28" s="41">
        <f t="shared" si="426"/>
        <v>1195.0708311150081</v>
      </c>
      <c r="AL28" s="41">
        <f t="shared" ref="AL28:BQ28" si="427">TaxOnProfitHistory*TurnaroundTax/30</f>
        <v>610.72847272539138</v>
      </c>
      <c r="AM28" s="41">
        <f t="shared" si="427"/>
        <v>1222.8909263316771</v>
      </c>
      <c r="AN28" s="41">
        <f t="shared" si="427"/>
        <v>1236.8705627527825</v>
      </c>
      <c r="AO28" s="41">
        <f t="shared" si="427"/>
        <v>652.6675368019587</v>
      </c>
      <c r="AP28" s="41">
        <f t="shared" si="427"/>
        <v>1264.9697872884981</v>
      </c>
      <c r="AQ28" s="41">
        <f t="shared" si="427"/>
        <v>1279.0896865794602</v>
      </c>
      <c r="AR28" s="41">
        <f t="shared" si="427"/>
        <v>695.02739104139175</v>
      </c>
      <c r="AS28" s="41">
        <f t="shared" si="427"/>
        <v>1307.4708410420633</v>
      </c>
      <c r="AT28" s="41">
        <f t="shared" si="427"/>
        <v>1321.7324105122036</v>
      </c>
      <c r="AU28" s="41">
        <f t="shared" si="427"/>
        <v>737.81225738724504</v>
      </c>
      <c r="AV28" s="41">
        <f t="shared" si="427"/>
        <v>1350.3983236090687</v>
      </c>
      <c r="AW28" s="41">
        <f t="shared" si="427"/>
        <v>1364.802984687766</v>
      </c>
      <c r="AX28" s="41">
        <f t="shared" si="427"/>
        <v>781.02640014339147</v>
      </c>
      <c r="AY28" s="41">
        <f t="shared" si="427"/>
        <v>1393.7565135077364</v>
      </c>
      <c r="AZ28" s="41">
        <f t="shared" si="427"/>
        <v>1408.3057018860954</v>
      </c>
      <c r="BA28" s="41">
        <f t="shared" si="427"/>
        <v>824.67412639904944</v>
      </c>
      <c r="BB28" s="41">
        <f t="shared" si="427"/>
        <v>1437.5497321842465</v>
      </c>
      <c r="BC28" s="41">
        <f t="shared" si="427"/>
        <v>1452.2448979581941</v>
      </c>
      <c r="BD28" s="41">
        <f t="shared" si="427"/>
        <v>868.75978645805503</v>
      </c>
      <c r="BE28" s="41">
        <f t="shared" si="427"/>
        <v>1481.7823444434491</v>
      </c>
      <c r="BF28" s="41">
        <f t="shared" si="427"/>
        <v>1496.6249522582605</v>
      </c>
      <c r="BG28" s="41">
        <f t="shared" si="427"/>
        <v>913.28777427245484</v>
      </c>
      <c r="BH28" s="41">
        <f t="shared" si="427"/>
        <v>1526.4587588838963</v>
      </c>
      <c r="BI28" s="41">
        <f t="shared" si="427"/>
        <v>1541.4502880801758</v>
      </c>
      <c r="BJ28" s="41">
        <f t="shared" si="427"/>
        <v>958.26252788044337</v>
      </c>
      <c r="BK28" s="41">
        <f t="shared" si="427"/>
        <v>1571.5834283372451</v>
      </c>
      <c r="BL28" s="41">
        <f t="shared" si="427"/>
        <v>1586.7253730983689</v>
      </c>
      <c r="BM28" s="41">
        <f t="shared" si="427"/>
        <v>1003.688529848697</v>
      </c>
      <c r="BN28" s="41">
        <f t="shared" si="427"/>
        <v>1617.1608503120601</v>
      </c>
      <c r="BO28" s="41">
        <f t="shared" si="427"/>
        <v>1632.4547198131006</v>
      </c>
      <c r="BP28" s="41">
        <f t="shared" si="427"/>
        <v>1047.6916572988737</v>
      </c>
      <c r="BQ28" s="41">
        <f t="shared" si="427"/>
        <v>1651.893432631515</v>
      </c>
      <c r="BR28" s="41">
        <f t="shared" ref="BR28:DI28" si="428">TaxOnProfitHistory*TurnaroundTax/30</f>
        <v>1657.8858551847313</v>
      </c>
      <c r="BS28" s="41">
        <f t="shared" si="428"/>
        <v>1065.6689913197911</v>
      </c>
      <c r="BT28" s="41">
        <f t="shared" si="428"/>
        <v>1669.9306910991691</v>
      </c>
      <c r="BU28" s="41">
        <f t="shared" si="428"/>
        <v>1675.9832378472763</v>
      </c>
      <c r="BV28" s="41">
        <f t="shared" si="428"/>
        <v>1083.8266985912126</v>
      </c>
      <c r="BW28" s="41">
        <f t="shared" si="428"/>
        <v>1688.1489240614942</v>
      </c>
      <c r="BX28" s="41">
        <f t="shared" si="428"/>
        <v>1694.2621982528099</v>
      </c>
      <c r="BY28" s="41">
        <f t="shared" si="428"/>
        <v>1102.1665888647644</v>
      </c>
      <c r="BZ28" s="41">
        <f t="shared" si="428"/>
        <v>1706.5499473026252</v>
      </c>
      <c r="CA28" s="41">
        <f t="shared" si="428"/>
        <v>1712.7245582380781</v>
      </c>
      <c r="CB28" s="41">
        <f t="shared" si="428"/>
        <v>1120.6904900499835</v>
      </c>
      <c r="CC28" s="41">
        <f t="shared" si="428"/>
        <v>1725.135594825128</v>
      </c>
      <c r="CD28" s="41">
        <f t="shared" si="428"/>
        <v>1731.3721579189901</v>
      </c>
      <c r="CE28" s="41">
        <f t="shared" si="428"/>
        <v>1139.4002483964975</v>
      </c>
      <c r="CF28" s="41">
        <f t="shared" si="428"/>
        <v>1743.9077190327973</v>
      </c>
      <c r="CG28" s="41">
        <f t="shared" si="428"/>
        <v>1750.2068558740184</v>
      </c>
      <c r="CH28" s="41">
        <f t="shared" si="428"/>
        <v>1158.2977286780422</v>
      </c>
      <c r="CI28" s="41">
        <f t="shared" si="428"/>
        <v>1762.8681909152806</v>
      </c>
      <c r="CJ28" s="41">
        <f t="shared" si="428"/>
        <v>1769.2305293294432</v>
      </c>
      <c r="CK28" s="41">
        <f t="shared" si="428"/>
        <v>1177.3848143783187</v>
      </c>
      <c r="CL28" s="41">
        <f t="shared" si="428"/>
        <v>1782.0189002345576</v>
      </c>
      <c r="CM28" s="41">
        <f t="shared" si="428"/>
        <v>1788.4450743464511</v>
      </c>
      <c r="CN28" s="41">
        <f t="shared" si="428"/>
        <v>1196.6634078787165</v>
      </c>
      <c r="CO28" s="41">
        <f t="shared" si="428"/>
        <v>1801.3617557132904</v>
      </c>
      <c r="CP28" s="41">
        <f t="shared" si="428"/>
        <v>1807.8524060101129</v>
      </c>
      <c r="CQ28" s="41">
        <f t="shared" si="428"/>
        <v>1216.1354306479241</v>
      </c>
      <c r="CR28" s="41">
        <f t="shared" si="428"/>
        <v>1820.8986852250616</v>
      </c>
      <c r="CS28" s="41">
        <f t="shared" si="428"/>
        <v>1827.4544586202567</v>
      </c>
      <c r="CT28" s="41">
        <f t="shared" si="428"/>
        <v>1235.8028234334354</v>
      </c>
      <c r="CU28" s="41">
        <f t="shared" si="428"/>
        <v>1840.6316359865252</v>
      </c>
      <c r="CV28" s="41">
        <f t="shared" si="428"/>
        <v>1847.2531858842581</v>
      </c>
      <c r="CW28" s="41">
        <f t="shared" si="428"/>
        <v>1255.6675464549833</v>
      </c>
      <c r="CX28" s="41">
        <f t="shared" si="428"/>
        <v>1860.5625747514785</v>
      </c>
      <c r="CY28" s="41">
        <f t="shared" si="428"/>
        <v>1867.250561111761</v>
      </c>
      <c r="CZ28" s="41">
        <f t="shared" si="428"/>
        <v>1275.7315795999116</v>
      </c>
      <c r="DA28" s="41">
        <f t="shared" si="428"/>
        <v>1880.6934880068886</v>
      </c>
      <c r="DB28" s="41">
        <f t="shared" si="428"/>
        <v>1887.4485774113568</v>
      </c>
      <c r="DC28" s="41">
        <f t="shared" si="428"/>
        <v>1295.9969226205058</v>
      </c>
      <c r="DD28" s="41">
        <f t="shared" si="428"/>
        <v>1901.0263821708847</v>
      </c>
      <c r="DE28" s="41">
        <f t="shared" si="428"/>
        <v>1907.8492478892329</v>
      </c>
      <c r="DF28" s="41">
        <f t="shared" si="428"/>
        <v>1316.4655953333081</v>
      </c>
      <c r="DG28" s="41">
        <f t="shared" si="428"/>
        <v>1921.5632837927308</v>
      </c>
      <c r="DH28" s="41">
        <f t="shared" si="428"/>
        <v>1928.4546058498174</v>
      </c>
      <c r="DI28" s="41">
        <f t="shared" si="428"/>
        <v>1337.1396378204279</v>
      </c>
      <c r="DJ28" s="41"/>
      <c r="DK28" s="41"/>
      <c r="DL28" s="41"/>
      <c r="DM28" s="41"/>
      <c r="DN28" s="41"/>
    </row>
    <row r="29" spans="2:118" x14ac:dyDescent="0.3">
      <c r="B29" s="49" t="s">
        <v>212</v>
      </c>
      <c r="E29" s="41">
        <f>AdvancesPayments</f>
        <v>6468</v>
      </c>
      <c r="F29" s="41">
        <f t="shared" ref="F29:AK29" si="429">E29-RevenueWithVatHistory+RevenueCash</f>
        <v>6974.3472189481963</v>
      </c>
      <c r="G29" s="41">
        <f t="shared" si="429"/>
        <v>7484.2461040947182</v>
      </c>
      <c r="H29" s="41">
        <f t="shared" si="429"/>
        <v>7981.7160729989855</v>
      </c>
      <c r="I29" s="41">
        <f t="shared" si="429"/>
        <v>8498.2226019669106</v>
      </c>
      <c r="J29" s="41">
        <f t="shared" si="429"/>
        <v>9002.2278926598228</v>
      </c>
      <c r="K29" s="41">
        <f t="shared" si="429"/>
        <v>9525.4075764271001</v>
      </c>
      <c r="L29" s="41">
        <f t="shared" si="429"/>
        <v>10051.975099998464</v>
      </c>
      <c r="M29" s="41">
        <f t="shared" si="429"/>
        <v>10533.902182426313</v>
      </c>
      <c r="N29" s="41">
        <f t="shared" si="429"/>
        <v>11067.135627074949</v>
      </c>
      <c r="O29" s="41">
        <f t="shared" si="429"/>
        <v>11587.684955454035</v>
      </c>
      <c r="P29" s="41">
        <f t="shared" si="429"/>
        <v>12127.757346933449</v>
      </c>
      <c r="Q29" s="41">
        <f t="shared" si="429"/>
        <v>12655.071847541501</v>
      </c>
      <c r="R29" s="41">
        <f t="shared" si="429"/>
        <v>12697.255420366642</v>
      </c>
      <c r="S29" s="41">
        <f t="shared" si="429"/>
        <v>12739.5796051012</v>
      </c>
      <c r="T29" s="41">
        <f t="shared" si="429"/>
        <v>12782.044870451537</v>
      </c>
      <c r="U29" s="41">
        <f t="shared" si="429"/>
        <v>12824.651686686375</v>
      </c>
      <c r="V29" s="41">
        <f t="shared" si="429"/>
        <v>12867.400525641999</v>
      </c>
      <c r="W29" s="41">
        <f t="shared" si="429"/>
        <v>12910.291860727471</v>
      </c>
      <c r="X29" s="41">
        <f t="shared" si="429"/>
        <v>12953.326166929897</v>
      </c>
      <c r="Y29" s="41">
        <f t="shared" si="429"/>
        <v>12996.503920819663</v>
      </c>
      <c r="Z29" s="41">
        <f t="shared" si="429"/>
        <v>13039.82560055573</v>
      </c>
      <c r="AA29" s="41">
        <f t="shared" si="429"/>
        <v>13083.291685890918</v>
      </c>
      <c r="AB29" s="41">
        <f t="shared" si="429"/>
        <v>13126.902658177223</v>
      </c>
      <c r="AC29" s="41">
        <f t="shared" si="429"/>
        <v>13170.659000371146</v>
      </c>
      <c r="AD29" s="41">
        <f t="shared" si="429"/>
        <v>13214.561197039051</v>
      </c>
      <c r="AE29" s="41">
        <f t="shared" si="429"/>
        <v>13258.609734362515</v>
      </c>
      <c r="AF29" s="41">
        <f t="shared" si="429"/>
        <v>13302.805100143723</v>
      </c>
      <c r="AG29" s="41">
        <f t="shared" si="429"/>
        <v>13347.147783810871</v>
      </c>
      <c r="AH29" s="41">
        <f t="shared" si="429"/>
        <v>13391.638276423575</v>
      </c>
      <c r="AI29" s="41">
        <f t="shared" si="429"/>
        <v>13436.277070678321</v>
      </c>
      <c r="AJ29" s="41">
        <f t="shared" si="429"/>
        <v>13481.064660913918</v>
      </c>
      <c r="AK29" s="41">
        <f t="shared" si="429"/>
        <v>13526.001543116967</v>
      </c>
      <c r="AL29" s="41">
        <f t="shared" ref="AL29:BQ29" si="430">AK29-RevenueWithVatHistory+RevenueCash</f>
        <v>13571.088214927358</v>
      </c>
      <c r="AM29" s="41">
        <f t="shared" si="430"/>
        <v>13616.325175643784</v>
      </c>
      <c r="AN29" s="41">
        <f t="shared" si="430"/>
        <v>13661.712926229266</v>
      </c>
      <c r="AO29" s="41">
        <f t="shared" si="430"/>
        <v>13707.251969316694</v>
      </c>
      <c r="AP29" s="41">
        <f t="shared" si="430"/>
        <v>13752.942809214419</v>
      </c>
      <c r="AQ29" s="41">
        <f t="shared" si="430"/>
        <v>13798.785951911801</v>
      </c>
      <c r="AR29" s="41">
        <f t="shared" si="430"/>
        <v>13844.781905084841</v>
      </c>
      <c r="AS29" s="41">
        <f t="shared" si="430"/>
        <v>13890.931178101791</v>
      </c>
      <c r="AT29" s="41">
        <f t="shared" si="430"/>
        <v>13937.234282028799</v>
      </c>
      <c r="AU29" s="41">
        <f t="shared" si="430"/>
        <v>13983.691729635562</v>
      </c>
      <c r="AV29" s="41">
        <f t="shared" si="430"/>
        <v>14030.304035401015</v>
      </c>
      <c r="AW29" s="41">
        <f t="shared" si="430"/>
        <v>14077.07171551902</v>
      </c>
      <c r="AX29" s="41">
        <f t="shared" si="430"/>
        <v>14123.995287904085</v>
      </c>
      <c r="AY29" s="41">
        <f t="shared" si="430"/>
        <v>14171.075272197098</v>
      </c>
      <c r="AZ29" s="41">
        <f t="shared" si="430"/>
        <v>14218.31218977109</v>
      </c>
      <c r="BA29" s="41">
        <f t="shared" si="430"/>
        <v>14265.706563736994</v>
      </c>
      <c r="BB29" s="41">
        <f t="shared" si="430"/>
        <v>14313.258918949452</v>
      </c>
      <c r="BC29" s="41">
        <f t="shared" si="430"/>
        <v>14360.969782012618</v>
      </c>
      <c r="BD29" s="41">
        <f t="shared" si="430"/>
        <v>14408.839681285994</v>
      </c>
      <c r="BE29" s="41">
        <f t="shared" si="430"/>
        <v>14456.869146890282</v>
      </c>
      <c r="BF29" s="41">
        <f t="shared" si="430"/>
        <v>14505.058710713251</v>
      </c>
      <c r="BG29" s="41">
        <f t="shared" si="430"/>
        <v>14553.408906415629</v>
      </c>
      <c r="BH29" s="41">
        <f t="shared" si="430"/>
        <v>14601.920269437014</v>
      </c>
      <c r="BI29" s="41">
        <f t="shared" si="430"/>
        <v>14650.593337001807</v>
      </c>
      <c r="BJ29" s="41">
        <f t="shared" si="430"/>
        <v>14699.428648125144</v>
      </c>
      <c r="BK29" s="41">
        <f t="shared" si="430"/>
        <v>14748.426743618897</v>
      </c>
      <c r="BL29" s="41">
        <f t="shared" si="430"/>
        <v>14797.588166097628</v>
      </c>
      <c r="BM29" s="41">
        <f t="shared" si="430"/>
        <v>14846.913459984624</v>
      </c>
      <c r="BN29" s="41">
        <f t="shared" si="430"/>
        <v>14896.403171517908</v>
      </c>
      <c r="BO29" s="41">
        <f t="shared" si="430"/>
        <v>14946.0578487563</v>
      </c>
      <c r="BP29" s="41">
        <f t="shared" si="430"/>
        <v>14995.878041585491</v>
      </c>
      <c r="BQ29" s="41">
        <f t="shared" si="430"/>
        <v>15045.864301724107</v>
      </c>
      <c r="BR29" s="41">
        <f t="shared" ref="BR29:BY29" si="431">BQ29-RevenueWithVatHistory+RevenueCash</f>
        <v>15096.017182729853</v>
      </c>
      <c r="BS29" s="41">
        <f t="shared" si="431"/>
        <v>15146.33724000562</v>
      </c>
      <c r="BT29" s="41">
        <f t="shared" si="431"/>
        <v>15196.825030805636</v>
      </c>
      <c r="BU29" s="41">
        <f t="shared" si="431"/>
        <v>15247.48111424166</v>
      </c>
      <c r="BV29" s="41">
        <f t="shared" si="431"/>
        <v>15298.306051289133</v>
      </c>
      <c r="BW29" s="41">
        <f t="shared" si="431"/>
        <v>15349.300404793428</v>
      </c>
      <c r="BX29" s="41">
        <f t="shared" si="431"/>
        <v>15400.464739476074</v>
      </c>
      <c r="BY29" s="41">
        <f t="shared" si="431"/>
        <v>15451.799621940996</v>
      </c>
      <c r="BZ29" s="41">
        <f t="shared" ref="BZ29:DI29" si="432">BY29-RevenueWithVatHistory+RevenueCash</f>
        <v>15503.305620680801</v>
      </c>
      <c r="CA29" s="41">
        <f t="shared" si="432"/>
        <v>15554.983306083073</v>
      </c>
      <c r="CB29" s="41">
        <f t="shared" si="432"/>
        <v>15606.833250436683</v>
      </c>
      <c r="CC29" s="41">
        <f t="shared" si="432"/>
        <v>15658.856027938144</v>
      </c>
      <c r="CD29" s="41">
        <f t="shared" si="432"/>
        <v>15711.05221469794</v>
      </c>
      <c r="CE29" s="41">
        <f t="shared" si="432"/>
        <v>15763.422388746932</v>
      </c>
      <c r="CF29" s="41">
        <f t="shared" si="432"/>
        <v>15815.96713004276</v>
      </c>
      <c r="CG29" s="41">
        <f t="shared" si="432"/>
        <v>15868.687020476233</v>
      </c>
      <c r="CH29" s="41">
        <f t="shared" si="432"/>
        <v>15921.582643877819</v>
      </c>
      <c r="CI29" s="41">
        <f t="shared" si="432"/>
        <v>15974.654586024079</v>
      </c>
      <c r="CJ29" s="41">
        <f t="shared" si="432"/>
        <v>16027.90343464416</v>
      </c>
      <c r="CK29" s="41">
        <f t="shared" si="432"/>
        <v>16081.329779426307</v>
      </c>
      <c r="CL29" s="41">
        <f t="shared" si="432"/>
        <v>16134.934212024398</v>
      </c>
      <c r="CM29" s="41">
        <f t="shared" si="432"/>
        <v>16188.717326064479</v>
      </c>
      <c r="CN29" s="41">
        <f t="shared" si="432"/>
        <v>16242.679717151363</v>
      </c>
      <c r="CO29" s="41">
        <f t="shared" si="432"/>
        <v>16296.821982875203</v>
      </c>
      <c r="CP29" s="41">
        <f t="shared" si="432"/>
        <v>16351.144722818122</v>
      </c>
      <c r="CQ29" s="41">
        <f t="shared" si="432"/>
        <v>16405.648538560847</v>
      </c>
      <c r="CR29" s="41">
        <f t="shared" si="432"/>
        <v>16460.334033689385</v>
      </c>
      <c r="CS29" s="41">
        <f t="shared" si="432"/>
        <v>16515.201813801683</v>
      </c>
      <c r="CT29" s="41">
        <f t="shared" si="432"/>
        <v>16570.252486514357</v>
      </c>
      <c r="CU29" s="41">
        <f t="shared" si="432"/>
        <v>16625.486661469407</v>
      </c>
      <c r="CV29" s="41">
        <f t="shared" si="432"/>
        <v>16680.904950340973</v>
      </c>
      <c r="CW29" s="41">
        <f t="shared" si="432"/>
        <v>16736.507966842113</v>
      </c>
      <c r="CX29" s="41">
        <f t="shared" si="432"/>
        <v>16792.29632673159</v>
      </c>
      <c r="CY29" s="41">
        <f t="shared" si="432"/>
        <v>16848.270647820696</v>
      </c>
      <c r="CZ29" s="41">
        <f t="shared" si="432"/>
        <v>16904.431549980098</v>
      </c>
      <c r="DA29" s="41">
        <f t="shared" si="432"/>
        <v>16960.779655146696</v>
      </c>
      <c r="DB29" s="41">
        <f t="shared" si="432"/>
        <v>17017.315587330522</v>
      </c>
      <c r="DC29" s="41">
        <f t="shared" si="432"/>
        <v>17074.039972621627</v>
      </c>
      <c r="DD29" s="41">
        <f t="shared" si="432"/>
        <v>17130.953439197034</v>
      </c>
      <c r="DE29" s="41">
        <f t="shared" si="432"/>
        <v>17188.056617327693</v>
      </c>
      <c r="DF29" s="41">
        <f t="shared" si="432"/>
        <v>17245.350139385453</v>
      </c>
      <c r="DG29" s="41">
        <f t="shared" si="432"/>
        <v>17302.834639850073</v>
      </c>
      <c r="DH29" s="41">
        <f t="shared" si="432"/>
        <v>17360.510755316238</v>
      </c>
      <c r="DI29" s="41">
        <f t="shared" si="432"/>
        <v>17355.365701556646</v>
      </c>
      <c r="DJ29" s="41"/>
      <c r="DK29" s="41"/>
      <c r="DL29" s="41"/>
      <c r="DM29" s="41"/>
      <c r="DN29" s="41"/>
    </row>
    <row r="30" spans="2:118" x14ac:dyDescent="0.3">
      <c r="B30" s="48" t="s">
        <v>102</v>
      </c>
      <c r="C30" s="42"/>
      <c r="D30" s="42"/>
      <c r="E30" s="43">
        <f t="shared" ref="E30:AJ30" si="433">E13+E17+E19</f>
        <v>624079</v>
      </c>
      <c r="F30" s="43">
        <f t="shared" si="433"/>
        <v>393663.47362004052</v>
      </c>
      <c r="G30" s="43">
        <f t="shared" si="433"/>
        <v>388315.32462622586</v>
      </c>
      <c r="H30" s="43">
        <f t="shared" si="433"/>
        <v>383418.27712822158</v>
      </c>
      <c r="I30" s="43">
        <f t="shared" si="433"/>
        <v>375990.42759696394</v>
      </c>
      <c r="J30" s="43">
        <f t="shared" si="433"/>
        <v>372006.00823529606</v>
      </c>
      <c r="K30" s="43">
        <f t="shared" si="433"/>
        <v>368487.82024031633</v>
      </c>
      <c r="L30" s="43">
        <f t="shared" si="433"/>
        <v>362452.57426034793</v>
      </c>
      <c r="M30" s="43">
        <f t="shared" si="433"/>
        <v>359754.5456030147</v>
      </c>
      <c r="N30" s="43">
        <f t="shared" si="433"/>
        <v>357432.12354212563</v>
      </c>
      <c r="O30" s="43">
        <f t="shared" si="433"/>
        <v>352768.59982553864</v>
      </c>
      <c r="P30" s="43">
        <f t="shared" si="433"/>
        <v>351214.51693796483</v>
      </c>
      <c r="Q30" s="43">
        <f t="shared" si="433"/>
        <v>350037.72719591408</v>
      </c>
      <c r="R30" s="43">
        <f t="shared" si="433"/>
        <v>347956.85168678378</v>
      </c>
      <c r="S30" s="43">
        <f t="shared" si="433"/>
        <v>348124.89687858394</v>
      </c>
      <c r="T30" s="43">
        <f t="shared" si="433"/>
        <v>348338.06722102338</v>
      </c>
      <c r="U30" s="43">
        <f t="shared" si="433"/>
        <v>345720.63171351061</v>
      </c>
      <c r="V30" s="43">
        <f t="shared" si="433"/>
        <v>345534.97818909504</v>
      </c>
      <c r="W30" s="43">
        <f t="shared" si="433"/>
        <v>345388.31915293128</v>
      </c>
      <c r="X30" s="43">
        <f t="shared" si="433"/>
        <v>342887.86754200706</v>
      </c>
      <c r="Y30" s="43">
        <f t="shared" si="433"/>
        <v>342819.58786050195</v>
      </c>
      <c r="Z30" s="43">
        <f t="shared" si="433"/>
        <v>342790.69391339173</v>
      </c>
      <c r="AA30" s="43">
        <f t="shared" si="433"/>
        <v>340408.39994181786</v>
      </c>
      <c r="AB30" s="43">
        <f t="shared" si="433"/>
        <v>340458.67175846087</v>
      </c>
      <c r="AC30" s="43">
        <f t="shared" si="433"/>
        <v>340548.7244811593</v>
      </c>
      <c r="AD30" s="43">
        <f t="shared" si="433"/>
        <v>338285.77366829343</v>
      </c>
      <c r="AE30" s="43">
        <f t="shared" si="433"/>
        <v>338455.7864541735</v>
      </c>
      <c r="AF30" s="43">
        <f t="shared" si="433"/>
        <v>338665.9792826731</v>
      </c>
      <c r="AG30" s="43">
        <f t="shared" si="433"/>
        <v>336523.56904262782</v>
      </c>
      <c r="AH30" s="43">
        <f t="shared" si="433"/>
        <v>336814.52420323779</v>
      </c>
      <c r="AI30" s="43">
        <f t="shared" si="433"/>
        <v>337146.06254771643</v>
      </c>
      <c r="AJ30" s="43">
        <f t="shared" si="433"/>
        <v>335125.4023087034</v>
      </c>
      <c r="AK30" s="43">
        <f t="shared" ref="AK30:BP30" si="434">AK13+AK17+AK19</f>
        <v>335538.51330368238</v>
      </c>
      <c r="AL30" s="43">
        <f t="shared" si="434"/>
        <v>335992.61466864467</v>
      </c>
      <c r="AM30" s="43">
        <f t="shared" si="434"/>
        <v>334094.92599351681</v>
      </c>
      <c r="AN30" s="43">
        <f t="shared" si="434"/>
        <v>334631.41845759406</v>
      </c>
      <c r="AO30" s="43">
        <f t="shared" si="434"/>
        <v>335209.31256321818</v>
      </c>
      <c r="AP30" s="43">
        <f t="shared" si="434"/>
        <v>333435.82927122095</v>
      </c>
      <c r="AQ30" s="43">
        <f t="shared" si="434"/>
        <v>334096.94113637268</v>
      </c>
      <c r="AR30" s="43">
        <f t="shared" si="434"/>
        <v>334799.87004107487</v>
      </c>
      <c r="AS30" s="43">
        <f t="shared" si="434"/>
        <v>333151.83833081939</v>
      </c>
      <c r="AT30" s="43">
        <f t="shared" si="434"/>
        <v>333938.81994965184</v>
      </c>
      <c r="AU30" s="43">
        <f t="shared" si="434"/>
        <v>334768.03817388043</v>
      </c>
      <c r="AV30" s="43">
        <f t="shared" si="434"/>
        <v>333246.71674754983</v>
      </c>
      <c r="AW30" s="43">
        <f t="shared" si="434"/>
        <v>334160.83101792017</v>
      </c>
      <c r="AX30" s="43">
        <f t="shared" si="434"/>
        <v>335117.60566919181</v>
      </c>
      <c r="AY30" s="43">
        <f t="shared" si="434"/>
        <v>333724.26585799432</v>
      </c>
      <c r="AZ30" s="43">
        <f t="shared" si="434"/>
        <v>334766.78834888164</v>
      </c>
      <c r="BA30" s="43">
        <f t="shared" si="434"/>
        <v>335852.39924807189</v>
      </c>
      <c r="BB30" s="43">
        <f t="shared" si="434"/>
        <v>334588.32513895287</v>
      </c>
      <c r="BC30" s="43">
        <f t="shared" si="434"/>
        <v>335760.54421759216</v>
      </c>
      <c r="BD30" s="43">
        <f t="shared" si="434"/>
        <v>336976.28402649367</v>
      </c>
      <c r="BE30" s="43">
        <f t="shared" si="434"/>
        <v>335842.77259011805</v>
      </c>
      <c r="BF30" s="43">
        <f t="shared" si="434"/>
        <v>337145.98955041007</v>
      </c>
      <c r="BG30" s="43">
        <f t="shared" si="434"/>
        <v>338493.16390056972</v>
      </c>
      <c r="BH30" s="43">
        <f t="shared" si="434"/>
        <v>337491.52512058994</v>
      </c>
      <c r="BI30" s="43">
        <f t="shared" si="434"/>
        <v>338927.05431279895</v>
      </c>
      <c r="BJ30" s="43">
        <f t="shared" si="434"/>
        <v>340406.98193564866</v>
      </c>
      <c r="BK30" s="43">
        <f t="shared" si="434"/>
        <v>339538.53893926786</v>
      </c>
      <c r="BL30" s="43">
        <f t="shared" si="434"/>
        <v>341107.70790102135</v>
      </c>
      <c r="BM30" s="43">
        <f t="shared" si="434"/>
        <v>342721.72075931396</v>
      </c>
      <c r="BN30" s="43">
        <f t="shared" si="434"/>
        <v>341987.8099491609</v>
      </c>
      <c r="BO30" s="43">
        <f t="shared" si="434"/>
        <v>344672.12497442553</v>
      </c>
      <c r="BP30" s="43">
        <f t="shared" si="434"/>
        <v>351328.77569434361</v>
      </c>
      <c r="BQ30" s="43">
        <f t="shared" ref="BQ30:BY30" si="435">BQ13+BQ17+BQ19</f>
        <v>355609.10407799733</v>
      </c>
      <c r="BR30" s="43">
        <f t="shared" si="435"/>
        <v>362306.538102163</v>
      </c>
      <c r="BS30" s="43">
        <f t="shared" si="435"/>
        <v>369028.24135085376</v>
      </c>
      <c r="BT30" s="43">
        <f t="shared" si="435"/>
        <v>373381.3776768446</v>
      </c>
      <c r="BU30" s="43">
        <f t="shared" si="435"/>
        <v>380151.86233648867</v>
      </c>
      <c r="BV30" s="43">
        <f t="shared" si="435"/>
        <v>386946.85972277599</v>
      </c>
      <c r="BW30" s="43">
        <f t="shared" si="435"/>
        <v>391373.53450015537</v>
      </c>
      <c r="BX30" s="43">
        <f t="shared" si="435"/>
        <v>398217.80273935921</v>
      </c>
      <c r="BY30" s="43">
        <f t="shared" si="435"/>
        <v>405086.82965047157</v>
      </c>
      <c r="BZ30" s="43">
        <f t="shared" ref="BZ30:DI30" si="436">BZ13+BZ17+BZ19</f>
        <v>409587.78071775875</v>
      </c>
      <c r="CA30" s="43">
        <f t="shared" si="436"/>
        <v>416506.57283450343</v>
      </c>
      <c r="CB30" s="43">
        <f t="shared" si="436"/>
        <v>423450.37203608168</v>
      </c>
      <c r="CC30" s="43">
        <f t="shared" si="436"/>
        <v>428026.34463480301</v>
      </c>
      <c r="CD30" s="43">
        <f t="shared" si="436"/>
        <v>435020.40835475334</v>
      </c>
      <c r="CE30" s="43">
        <f t="shared" si="436"/>
        <v>442039.73006488127</v>
      </c>
      <c r="CF30" s="43">
        <f t="shared" si="436"/>
        <v>446691.47691384738</v>
      </c>
      <c r="CG30" s="43">
        <f t="shared" si="436"/>
        <v>453761.56746487663</v>
      </c>
      <c r="CH30" s="43">
        <f t="shared" si="436"/>
        <v>460857.16942885373</v>
      </c>
      <c r="CI30" s="43">
        <f t="shared" si="436"/>
        <v>465585.45079918188</v>
      </c>
      <c r="CJ30" s="43">
        <f t="shared" si="436"/>
        <v>472732.33098664443</v>
      </c>
      <c r="CK30" s="43">
        <f t="shared" si="436"/>
        <v>479904.97855250962</v>
      </c>
      <c r="CL30" s="43">
        <f t="shared" si="436"/>
        <v>484710.56234339881</v>
      </c>
      <c r="CM30" s="43">
        <f t="shared" si="436"/>
        <v>491935.00262615748</v>
      </c>
      <c r="CN30" s="43">
        <f t="shared" si="436"/>
        <v>499185.46882096987</v>
      </c>
      <c r="CO30" s="43">
        <f t="shared" si="436"/>
        <v>504069.13063623605</v>
      </c>
      <c r="CP30" s="43">
        <f t="shared" si="436"/>
        <v>511371.90920345305</v>
      </c>
      <c r="CQ30" s="43">
        <f t="shared" si="436"/>
        <v>518700.97481033846</v>
      </c>
      <c r="CR30" s="43">
        <f t="shared" si="436"/>
        <v>523663.49803571799</v>
      </c>
      <c r="CS30" s="43">
        <f t="shared" si="436"/>
        <v>531045.40088441537</v>
      </c>
      <c r="CT30" s="43">
        <f t="shared" si="436"/>
        <v>538453.8545203862</v>
      </c>
      <c r="CU30" s="43">
        <f t="shared" si="436"/>
        <v>543496.03040161473</v>
      </c>
      <c r="CV30" s="43">
        <f t="shared" si="436"/>
        <v>550957.85141501378</v>
      </c>
      <c r="CW30" s="43">
        <f t="shared" si="436"/>
        <v>558446.48960956873</v>
      </c>
      <c r="CX30" s="43">
        <f t="shared" si="436"/>
        <v>563569.11733124335</v>
      </c>
      <c r="CY30" s="43">
        <f t="shared" si="436"/>
        <v>571111.65835789009</v>
      </c>
      <c r="CZ30" s="43">
        <f t="shared" si="436"/>
        <v>578681.28563240345</v>
      </c>
      <c r="DA30" s="43">
        <f t="shared" si="436"/>
        <v>583885.17239763623</v>
      </c>
      <c r="DB30" s="43">
        <f t="shared" si="436"/>
        <v>591509.24333131977</v>
      </c>
      <c r="DC30" s="43">
        <f t="shared" si="436"/>
        <v>599160.67227922659</v>
      </c>
      <c r="DD30" s="43">
        <f t="shared" si="436"/>
        <v>604446.63339009753</v>
      </c>
      <c r="DE30" s="43">
        <f t="shared" si="436"/>
        <v>612153.05225057143</v>
      </c>
      <c r="DF30" s="43">
        <f t="shared" si="436"/>
        <v>619887.10361835803</v>
      </c>
      <c r="DG30" s="43">
        <f t="shared" si="436"/>
        <v>625255.96255717485</v>
      </c>
      <c r="DH30" s="43">
        <f t="shared" si="436"/>
        <v>633045.55557168776</v>
      </c>
      <c r="DI30" s="43">
        <f t="shared" si="436"/>
        <v>640800.04491774947</v>
      </c>
      <c r="DJ30" s="43"/>
      <c r="DK30" s="43"/>
      <c r="DL30" s="43"/>
      <c r="DM30" s="43"/>
      <c r="DN30" s="43"/>
    </row>
    <row r="31" spans="2:118" x14ac:dyDescent="0.3">
      <c r="AZ31" s="41"/>
      <c r="BA31" s="41"/>
      <c r="BB31" s="41"/>
    </row>
    <row r="32" spans="2:118" s="223" customFormat="1" x14ac:dyDescent="0.3">
      <c r="B32" s="222" t="s">
        <v>248</v>
      </c>
      <c r="C32" s="16"/>
      <c r="E32" s="223">
        <f t="shared" ref="E32:BP32" si="437">E11-E17-E19</f>
        <v>68153</v>
      </c>
      <c r="F32" s="223">
        <f t="shared" si="437"/>
        <v>115760.65613333332</v>
      </c>
      <c r="G32" s="223">
        <f t="shared" si="437"/>
        <v>113815.2129068725</v>
      </c>
      <c r="H32" s="223">
        <f t="shared" si="437"/>
        <v>109346.81693401744</v>
      </c>
      <c r="I32" s="223">
        <f t="shared" si="437"/>
        <v>108327.01032533566</v>
      </c>
      <c r="J32" s="223">
        <f t="shared" si="437"/>
        <v>107781.31444707472</v>
      </c>
      <c r="K32" s="223">
        <f t="shared" si="437"/>
        <v>104707.77000520681</v>
      </c>
      <c r="L32" s="223">
        <f t="shared" si="437"/>
        <v>105025.92033676823</v>
      </c>
      <c r="M32" s="223">
        <f t="shared" si="437"/>
        <v>105730.56569270194</v>
      </c>
      <c r="N32" s="223">
        <f t="shared" si="437"/>
        <v>104064.52770895709</v>
      </c>
      <c r="O32" s="223">
        <f t="shared" si="437"/>
        <v>105515.88589331516</v>
      </c>
      <c r="P32" s="223">
        <f t="shared" si="437"/>
        <v>107349.73880687193</v>
      </c>
      <c r="Q32" s="223">
        <f t="shared" si="437"/>
        <v>107146.12053088026</v>
      </c>
      <c r="R32" s="223">
        <f t="shared" si="437"/>
        <v>111375.27995216072</v>
      </c>
      <c r="S32" s="223">
        <f t="shared" si="437"/>
        <v>115663.10157151207</v>
      </c>
      <c r="T32" s="223">
        <f t="shared" si="437"/>
        <v>117133.89951183432</v>
      </c>
      <c r="U32" s="223">
        <f t="shared" si="437"/>
        <v>121050.10688007978</v>
      </c>
      <c r="V32" s="223">
        <f t="shared" si="437"/>
        <v>125018.98160621939</v>
      </c>
      <c r="W32" s="223">
        <f t="shared" si="437"/>
        <v>126647.78220347277</v>
      </c>
      <c r="X32" s="223">
        <f t="shared" si="437"/>
        <v>130722.5189041725</v>
      </c>
      <c r="Y32" s="223">
        <f t="shared" si="437"/>
        <v>134850.45139387454</v>
      </c>
      <c r="Z32" s="223">
        <f t="shared" si="437"/>
        <v>136638.83994723563</v>
      </c>
      <c r="AA32" s="223">
        <f t="shared" si="437"/>
        <v>140873.69656389666</v>
      </c>
      <c r="AB32" s="223">
        <f t="shared" si="437"/>
        <v>145162.28270261333</v>
      </c>
      <c r="AC32" s="223">
        <f t="shared" si="437"/>
        <v>147111.86041715229</v>
      </c>
      <c r="AD32" s="223">
        <f t="shared" si="437"/>
        <v>151508.44349219522</v>
      </c>
      <c r="AE32" s="223">
        <f t="shared" si="437"/>
        <v>155959.2951774883</v>
      </c>
      <c r="AF32" s="223">
        <f t="shared" si="437"/>
        <v>158071.67932375902</v>
      </c>
      <c r="AG32" s="223">
        <f t="shared" si="437"/>
        <v>162631.61151863937</v>
      </c>
      <c r="AH32" s="223">
        <f t="shared" si="437"/>
        <v>167246.35682083611</v>
      </c>
      <c r="AI32" s="223">
        <f t="shared" si="437"/>
        <v>169523.18089606677</v>
      </c>
      <c r="AJ32" s="223">
        <f t="shared" si="437"/>
        <v>174248.10115300363</v>
      </c>
      <c r="AK32" s="223">
        <f t="shared" si="437"/>
        <v>179028.3844774637</v>
      </c>
      <c r="AL32" s="223">
        <f t="shared" si="437"/>
        <v>181471.29836836527</v>
      </c>
      <c r="AM32" s="223">
        <f t="shared" si="437"/>
        <v>186362.86207369194</v>
      </c>
      <c r="AN32" s="223">
        <f t="shared" si="437"/>
        <v>191310.34432470307</v>
      </c>
      <c r="AO32" s="223">
        <f t="shared" si="437"/>
        <v>193921.01447191092</v>
      </c>
      <c r="AP32" s="223">
        <f t="shared" si="437"/>
        <v>198980.89362106493</v>
      </c>
      <c r="AQ32" s="223">
        <f t="shared" si="437"/>
        <v>204097.25236738275</v>
      </c>
      <c r="AR32" s="223">
        <f t="shared" si="437"/>
        <v>206877.36193154834</v>
      </c>
      <c r="AS32" s="223">
        <f t="shared" si="437"/>
        <v>212107.24529571657</v>
      </c>
      <c r="AT32" s="223">
        <f t="shared" si="437"/>
        <v>217394.17493776535</v>
      </c>
      <c r="AU32" s="223">
        <f t="shared" si="437"/>
        <v>220345.42396731439</v>
      </c>
      <c r="AV32" s="223">
        <f t="shared" si="437"/>
        <v>225747.01726175065</v>
      </c>
      <c r="AW32" s="223">
        <f t="shared" si="437"/>
        <v>231206.22920050169</v>
      </c>
      <c r="AX32" s="223">
        <f t="shared" si="437"/>
        <v>234330.33480107531</v>
      </c>
      <c r="AY32" s="223">
        <f t="shared" si="437"/>
        <v>239905.36085510621</v>
      </c>
      <c r="AZ32" s="223">
        <f t="shared" si="437"/>
        <v>245538.58366265061</v>
      </c>
      <c r="BA32" s="223">
        <f t="shared" si="437"/>
        <v>248837.28016824683</v>
      </c>
      <c r="BB32" s="223">
        <f t="shared" si="437"/>
        <v>254587.47909698373</v>
      </c>
      <c r="BC32" s="223">
        <f t="shared" si="437"/>
        <v>260396.45868881658</v>
      </c>
      <c r="BD32" s="223">
        <f t="shared" si="437"/>
        <v>263871.49783464876</v>
      </c>
      <c r="BE32" s="223">
        <f t="shared" si="437"/>
        <v>269798.62721242255</v>
      </c>
      <c r="BF32" s="223">
        <f t="shared" si="437"/>
        <v>275785.12702145567</v>
      </c>
      <c r="BG32" s="223">
        <f t="shared" si="437"/>
        <v>279438.27811854542</v>
      </c>
      <c r="BH32" s="223">
        <f t="shared" si="437"/>
        <v>285544.11315408099</v>
      </c>
      <c r="BI32" s="223">
        <f t="shared" si="437"/>
        <v>291709.9143064018</v>
      </c>
      <c r="BJ32" s="223">
        <f t="shared" si="437"/>
        <v>295542.96441792353</v>
      </c>
      <c r="BK32" s="223">
        <f t="shared" si="437"/>
        <v>301829.29813127255</v>
      </c>
      <c r="BL32" s="223">
        <f t="shared" si="437"/>
        <v>308176.19962366601</v>
      </c>
      <c r="BM32" s="223">
        <f t="shared" si="437"/>
        <v>312190.95374306076</v>
      </c>
      <c r="BN32" s="223">
        <f t="shared" si="437"/>
        <v>318659.59714430908</v>
      </c>
      <c r="BO32" s="223">
        <f t="shared" si="437"/>
        <v>325189.41602356144</v>
      </c>
      <c r="BP32" s="223">
        <f t="shared" si="437"/>
        <v>329380.18265275692</v>
      </c>
      <c r="BQ32" s="223">
        <f t="shared" ref="BQ32:DH32" si="438">BQ11-BQ17-BQ19</f>
        <v>335987.75638328301</v>
      </c>
      <c r="BR32" s="223">
        <f t="shared" si="438"/>
        <v>342619.29980402195</v>
      </c>
      <c r="BS32" s="223">
        <f t="shared" si="438"/>
        <v>346881.97576930106</v>
      </c>
      <c r="BT32" s="223">
        <f t="shared" si="438"/>
        <v>353561.69853369781</v>
      </c>
      <c r="BU32" s="223">
        <f t="shared" si="438"/>
        <v>360265.63148508687</v>
      </c>
      <c r="BV32" s="223">
        <f t="shared" si="438"/>
        <v>364600.93827945174</v>
      </c>
      <c r="BW32" s="223">
        <f t="shared" si="438"/>
        <v>371353.5339756977</v>
      </c>
      <c r="BX32" s="223">
        <f t="shared" si="438"/>
        <v>378130.58276870893</v>
      </c>
      <c r="BY32" s="223">
        <f t="shared" si="438"/>
        <v>382539.24912416801</v>
      </c>
      <c r="BZ32" s="223">
        <f t="shared" si="438"/>
        <v>389365.44891337852</v>
      </c>
      <c r="CA32" s="223">
        <f t="shared" si="438"/>
        <v>396216.34714633081</v>
      </c>
      <c r="CB32" s="223">
        <f t="shared" si="438"/>
        <v>400699.10910653078</v>
      </c>
      <c r="CC32" s="223">
        <f t="shared" si="438"/>
        <v>407599.6514858313</v>
      </c>
      <c r="CD32" s="223">
        <f t="shared" si="438"/>
        <v>414525.14011750725</v>
      </c>
      <c r="CE32" s="223">
        <f t="shared" si="438"/>
        <v>419082.74111109326</v>
      </c>
      <c r="CF32" s="223">
        <f t="shared" si="438"/>
        <v>426058.37198722444</v>
      </c>
      <c r="CG32" s="223">
        <f t="shared" si="438"/>
        <v>433059.19941072055</v>
      </c>
      <c r="CH32" s="223">
        <f t="shared" si="438"/>
        <v>437692.3903254327</v>
      </c>
      <c r="CI32" s="223">
        <f t="shared" si="438"/>
        <v>444743.86308909382</v>
      </c>
      <c r="CJ32" s="223">
        <f t="shared" si="438"/>
        <v>451820.78520641162</v>
      </c>
      <c r="CK32" s="223">
        <f t="shared" si="438"/>
        <v>456530.3244639248</v>
      </c>
      <c r="CL32" s="223">
        <f t="shared" si="438"/>
        <v>463658.40006486297</v>
      </c>
      <c r="CM32" s="223">
        <f t="shared" si="438"/>
        <v>470812.18036224891</v>
      </c>
      <c r="CN32" s="223">
        <f t="shared" si="438"/>
        <v>475598.83399376372</v>
      </c>
      <c r="CO32" s="223">
        <f t="shared" si="438"/>
        <v>482804.28101661691</v>
      </c>
      <c r="CP32" s="223">
        <f t="shared" si="438"/>
        <v>490035.69064065733</v>
      </c>
      <c r="CQ32" s="223">
        <f t="shared" si="438"/>
        <v>494900.23236324912</v>
      </c>
      <c r="CR32" s="223">
        <f t="shared" si="438"/>
        <v>502183.82710414933</v>
      </c>
      <c r="CS32" s="223">
        <f t="shared" si="438"/>
        <v>509493.64493863028</v>
      </c>
      <c r="CT32" s="223">
        <f t="shared" si="438"/>
        <v>514436.85623236408</v>
      </c>
      <c r="CU32" s="223">
        <f t="shared" si="438"/>
        <v>521799.3827763102</v>
      </c>
      <c r="CV32" s="223">
        <f t="shared" si="438"/>
        <v>529188.39551984728</v>
      </c>
      <c r="CW32" s="223">
        <f t="shared" si="438"/>
        <v>534211.06570566713</v>
      </c>
      <c r="CX32" s="223">
        <f t="shared" si="438"/>
        <v>541653.31600467302</v>
      </c>
      <c r="CY32" s="223">
        <f t="shared" si="438"/>
        <v>549122.31824912014</v>
      </c>
      <c r="CZ32" s="223">
        <f t="shared" si="438"/>
        <v>554225.24456751964</v>
      </c>
      <c r="DA32" s="223">
        <f t="shared" si="438"/>
        <v>561748.01851954719</v>
      </c>
      <c r="DB32" s="223">
        <f t="shared" si="438"/>
        <v>569297.81282919261</v>
      </c>
      <c r="DC32" s="223">
        <f t="shared" si="438"/>
        <v>574481.80051967467</v>
      </c>
      <c r="DD32" s="223">
        <f t="shared" si="438"/>
        <v>582085.9060483583</v>
      </c>
      <c r="DE32" s="223">
        <f t="shared" si="438"/>
        <v>589717.30303991516</v>
      </c>
      <c r="DF32" s="223">
        <f t="shared" si="438"/>
        <v>594983.16542124841</v>
      </c>
      <c r="DG32" s="223">
        <f t="shared" si="438"/>
        <v>602669.41855641932</v>
      </c>
      <c r="DH32" s="223">
        <f t="shared" si="438"/>
        <v>610383.23697981867</v>
      </c>
      <c r="DI32" s="223">
        <f>DI11-DI17-DI19</f>
        <v>615731.79553110024</v>
      </c>
    </row>
    <row r="33" spans="5:8" x14ac:dyDescent="0.3">
      <c r="E33" s="41"/>
      <c r="H33" s="41"/>
    </row>
    <row r="35" spans="5:8" x14ac:dyDescent="0.3">
      <c r="F35" s="41"/>
    </row>
    <row r="36" spans="5:8" x14ac:dyDescent="0.3">
      <c r="F36" s="41"/>
    </row>
  </sheetData>
  <mergeCells count="1">
    <mergeCell ref="B2:B3"/>
  </mergeCell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6">
    <outlinePr summaryBelow="0" summaryRight="0"/>
  </sheetPr>
  <dimension ref="B1:DI59"/>
  <sheetViews>
    <sheetView showGridLines="0" tabSelected="1" topLeftCell="B1" zoomScaleNormal="100" workbookViewId="0">
      <pane xSplit="4" topLeftCell="F1" activePane="topRight" state="frozen"/>
      <selection activeCell="B1" sqref="B1"/>
      <selection pane="topRight" activeCell="DI27" sqref="DI27"/>
    </sheetView>
  </sheetViews>
  <sheetFormatPr defaultRowHeight="13" outlineLevelRow="1" x14ac:dyDescent="0.3"/>
  <cols>
    <col min="1" max="1" width="3.6328125" style="1" customWidth="1"/>
    <col min="2" max="2" width="43.54296875" style="6" customWidth="1"/>
    <col min="3" max="3" width="3.6328125" style="1" customWidth="1"/>
    <col min="4" max="4" width="9.54296875" style="1" customWidth="1"/>
    <col min="5" max="5" width="7" style="1" customWidth="1"/>
    <col min="6" max="113" width="10.26953125" style="1" customWidth="1"/>
    <col min="114" max="16384" width="8.7265625" style="1"/>
  </cols>
  <sheetData>
    <row r="1" spans="2:113" s="10" customFormat="1" x14ac:dyDescent="0.3">
      <c r="B1" s="175"/>
      <c r="C1" s="171"/>
      <c r="D1" s="172"/>
      <c r="E1" s="103"/>
      <c r="F1" s="104"/>
      <c r="G1" s="104"/>
      <c r="H1" s="104"/>
      <c r="I1" s="104"/>
      <c r="J1" s="104"/>
      <c r="K1" s="104"/>
      <c r="L1" s="104"/>
      <c r="M1" s="104"/>
      <c r="N1" s="104"/>
      <c r="O1" s="104"/>
      <c r="P1" s="104"/>
      <c r="Q1" s="104"/>
      <c r="R1" s="104"/>
      <c r="S1" s="104"/>
      <c r="T1" s="104"/>
      <c r="U1" s="104"/>
      <c r="V1" s="104"/>
      <c r="W1" s="104"/>
      <c r="X1" s="104"/>
      <c r="Y1" s="104"/>
      <c r="Z1" s="104"/>
      <c r="AA1" s="104"/>
      <c r="AB1" s="104"/>
      <c r="AC1" s="104"/>
      <c r="AD1" s="104"/>
      <c r="AE1" s="104"/>
      <c r="AF1" s="104"/>
      <c r="AG1" s="104"/>
      <c r="AH1" s="104"/>
      <c r="AI1" s="104"/>
      <c r="AJ1" s="104"/>
      <c r="AK1" s="104"/>
      <c r="AL1" s="104"/>
      <c r="AM1" s="104"/>
      <c r="AN1" s="104"/>
      <c r="AO1" s="104"/>
      <c r="AP1" s="104"/>
      <c r="AQ1" s="104"/>
      <c r="AR1" s="104"/>
      <c r="AS1" s="104"/>
      <c r="AT1" s="104"/>
      <c r="AU1" s="104"/>
      <c r="AV1" s="104"/>
      <c r="AW1" s="104"/>
      <c r="AX1" s="104"/>
      <c r="AY1" s="104"/>
      <c r="AZ1" s="104"/>
      <c r="BA1" s="104"/>
      <c r="BB1" s="104"/>
      <c r="BC1" s="104"/>
      <c r="BD1" s="104"/>
      <c r="BE1" s="104"/>
      <c r="BF1" s="104"/>
      <c r="BG1" s="104"/>
      <c r="BH1" s="104"/>
      <c r="BI1" s="104"/>
      <c r="BJ1" s="104"/>
      <c r="BK1" s="104"/>
      <c r="BL1" s="104"/>
      <c r="BM1" s="104"/>
      <c r="BN1" s="104"/>
      <c r="BO1" s="104"/>
      <c r="BP1" s="104"/>
      <c r="BQ1" s="104"/>
      <c r="BR1" s="104"/>
      <c r="BS1" s="104"/>
      <c r="BT1" s="104"/>
      <c r="BU1" s="104"/>
      <c r="BV1" s="104"/>
      <c r="BW1" s="104"/>
      <c r="BX1" s="104"/>
      <c r="BY1" s="104"/>
      <c r="BZ1" s="104"/>
      <c r="CA1" s="104"/>
      <c r="CB1" s="104"/>
      <c r="CC1" s="104"/>
      <c r="CD1" s="104"/>
      <c r="CE1" s="104"/>
      <c r="CF1" s="104"/>
      <c r="CG1" s="104"/>
      <c r="CH1" s="104"/>
      <c r="CI1" s="104"/>
      <c r="CJ1" s="104"/>
      <c r="CK1" s="104"/>
      <c r="CL1" s="104"/>
      <c r="CM1" s="104"/>
      <c r="CN1" s="104"/>
      <c r="CO1" s="104"/>
      <c r="CP1" s="104"/>
      <c r="CQ1" s="104"/>
      <c r="CR1" s="104"/>
      <c r="CS1" s="104"/>
      <c r="CT1" s="104"/>
      <c r="CU1" s="104"/>
      <c r="CV1" s="104"/>
      <c r="CW1" s="104"/>
      <c r="CX1" s="104"/>
      <c r="CY1" s="104"/>
      <c r="CZ1" s="104"/>
      <c r="DA1" s="104"/>
      <c r="DB1" s="104"/>
      <c r="DC1" s="104"/>
      <c r="DD1" s="104"/>
      <c r="DE1" s="104"/>
      <c r="DF1" s="104"/>
      <c r="DG1" s="104"/>
      <c r="DH1" s="104"/>
      <c r="DI1" s="104"/>
    </row>
    <row r="2" spans="2:113" s="10" customFormat="1" x14ac:dyDescent="0.3">
      <c r="B2" s="175"/>
      <c r="C2" s="171"/>
      <c r="D2" s="180" t="s">
        <v>200</v>
      </c>
      <c r="E2" s="103"/>
      <c r="F2" s="104"/>
      <c r="G2" s="104"/>
      <c r="H2" s="176" t="s">
        <v>208</v>
      </c>
      <c r="I2" s="178">
        <f>F37+NPV(WACC/12,G37:DI37)</f>
        <v>84369.508194199298</v>
      </c>
      <c r="J2" s="104"/>
      <c r="K2" s="177"/>
      <c r="L2" s="176" t="s">
        <v>209</v>
      </c>
      <c r="M2" s="178">
        <f>F38+NPV(WACC/12,G38:DI38)</f>
        <v>87124.619797775958</v>
      </c>
      <c r="N2" s="104"/>
      <c r="O2" s="176"/>
      <c r="P2" s="176"/>
      <c r="Q2" s="176"/>
      <c r="R2" s="176" t="s">
        <v>251</v>
      </c>
      <c r="S2" s="188">
        <f>(D40-Start)/365</f>
        <v>5.7506849315068491</v>
      </c>
      <c r="T2" s="104"/>
      <c r="U2" s="104"/>
      <c r="V2" s="104"/>
      <c r="W2" s="104"/>
      <c r="X2" s="104"/>
      <c r="Y2" s="104"/>
      <c r="Z2" s="104"/>
      <c r="AA2" s="104"/>
      <c r="AB2" s="104"/>
      <c r="AC2" s="104"/>
      <c r="AD2" s="104"/>
      <c r="AE2" s="104"/>
      <c r="AF2" s="104"/>
      <c r="AG2" s="104"/>
      <c r="AH2" s="104"/>
      <c r="AI2" s="104"/>
      <c r="AJ2" s="104"/>
      <c r="AK2" s="104"/>
      <c r="AL2" s="104"/>
      <c r="AM2" s="104"/>
      <c r="AN2" s="104"/>
      <c r="AO2" s="104"/>
      <c r="AP2" s="104"/>
      <c r="AQ2" s="104"/>
      <c r="AR2" s="104"/>
      <c r="AS2" s="104"/>
      <c r="AT2" s="104"/>
      <c r="AU2" s="104"/>
      <c r="AV2" s="104"/>
      <c r="AW2" s="104"/>
      <c r="AX2" s="104"/>
      <c r="AY2" s="104"/>
      <c r="AZ2" s="104"/>
      <c r="BA2" s="104"/>
      <c r="BB2" s="104"/>
      <c r="BC2" s="104"/>
      <c r="BD2" s="104"/>
      <c r="BE2" s="104"/>
      <c r="BF2" s="104"/>
      <c r="BG2" s="104"/>
      <c r="BH2" s="104"/>
      <c r="BI2" s="104"/>
      <c r="BJ2" s="104"/>
      <c r="BK2" s="104"/>
      <c r="BL2" s="104"/>
      <c r="BM2" s="104"/>
      <c r="BN2" s="104"/>
      <c r="BO2" s="104"/>
      <c r="BP2" s="104"/>
      <c r="BQ2" s="104"/>
      <c r="BR2" s="104"/>
      <c r="BS2" s="104"/>
      <c r="BT2" s="104"/>
      <c r="BU2" s="104"/>
      <c r="BV2" s="104"/>
      <c r="BW2" s="104"/>
      <c r="BX2" s="104"/>
      <c r="BY2" s="104"/>
      <c r="BZ2" s="104"/>
      <c r="CA2" s="104"/>
      <c r="CB2" s="104"/>
      <c r="CC2" s="104"/>
      <c r="CD2" s="104"/>
      <c r="CE2" s="104"/>
      <c r="CF2" s="104"/>
      <c r="CG2" s="104"/>
      <c r="CH2" s="104"/>
      <c r="CI2" s="104"/>
      <c r="CJ2" s="104"/>
      <c r="CK2" s="104"/>
      <c r="CL2" s="104"/>
      <c r="CM2" s="104"/>
      <c r="CN2" s="104"/>
      <c r="CO2" s="104"/>
      <c r="CP2" s="104"/>
      <c r="CQ2" s="104"/>
      <c r="CR2" s="104"/>
      <c r="CS2" s="104"/>
      <c r="CT2" s="104"/>
      <c r="CU2" s="104"/>
      <c r="CV2" s="104"/>
      <c r="CW2" s="104"/>
      <c r="CX2" s="104"/>
      <c r="CY2" s="104"/>
      <c r="CZ2" s="104"/>
      <c r="DA2" s="104"/>
      <c r="DB2" s="104"/>
      <c r="DC2" s="104"/>
      <c r="DD2" s="104"/>
      <c r="DE2" s="104"/>
      <c r="DF2" s="104"/>
      <c r="DG2" s="104"/>
      <c r="DH2" s="104"/>
      <c r="DI2" s="104"/>
    </row>
    <row r="3" spans="2:113" s="10" customFormat="1" x14ac:dyDescent="0.3">
      <c r="B3" s="175" t="b">
        <v>1</v>
      </c>
      <c r="C3" s="171"/>
      <c r="D3" s="181">
        <f>(E4-10)/100</f>
        <v>0</v>
      </c>
      <c r="E3" s="174">
        <v>789</v>
      </c>
      <c r="F3" s="173"/>
      <c r="G3" s="173"/>
      <c r="H3" s="104"/>
      <c r="I3" s="104"/>
      <c r="J3" s="104"/>
      <c r="K3" s="104"/>
      <c r="L3" s="104"/>
      <c r="M3" s="104"/>
      <c r="N3" s="104"/>
      <c r="O3" s="104"/>
      <c r="P3" s="104"/>
      <c r="Q3" s="104"/>
      <c r="R3" s="104"/>
      <c r="S3" s="104"/>
      <c r="T3" s="104"/>
      <c r="U3" s="104"/>
      <c r="V3" s="104"/>
      <c r="W3" s="104"/>
      <c r="X3" s="104"/>
      <c r="Y3" s="104"/>
      <c r="Z3" s="104"/>
      <c r="AA3" s="104"/>
      <c r="AB3" s="104"/>
      <c r="AC3" s="104"/>
      <c r="AD3" s="104"/>
      <c r="AE3" s="104"/>
      <c r="AF3" s="104"/>
      <c r="AG3" s="104"/>
      <c r="AH3" s="104"/>
      <c r="AI3" s="104"/>
      <c r="AJ3" s="104"/>
      <c r="AK3" s="104"/>
      <c r="AL3" s="104"/>
      <c r="AM3" s="104"/>
      <c r="AN3" s="104"/>
      <c r="AO3" s="104"/>
      <c r="AP3" s="104"/>
      <c r="AQ3" s="104"/>
      <c r="AR3" s="104"/>
      <c r="AS3" s="104"/>
      <c r="AT3" s="104"/>
      <c r="AU3" s="104"/>
      <c r="AV3" s="104"/>
      <c r="AW3" s="104"/>
      <c r="AX3" s="104"/>
      <c r="AY3" s="104"/>
      <c r="AZ3" s="104"/>
      <c r="BA3" s="104"/>
      <c r="BB3" s="104"/>
      <c r="BC3" s="104"/>
      <c r="BD3" s="104"/>
      <c r="BE3" s="104"/>
      <c r="BF3" s="104"/>
      <c r="BG3" s="104"/>
      <c r="BH3" s="104"/>
      <c r="BI3" s="104"/>
      <c r="BJ3" s="104"/>
      <c r="BK3" s="104"/>
      <c r="BL3" s="104"/>
      <c r="BM3" s="104"/>
      <c r="BN3" s="104"/>
      <c r="BO3" s="104"/>
      <c r="BP3" s="104"/>
      <c r="BQ3" s="104"/>
      <c r="BR3" s="104"/>
      <c r="BS3" s="104"/>
      <c r="BT3" s="104"/>
      <c r="BU3" s="104"/>
      <c r="BV3" s="104"/>
      <c r="BW3" s="104"/>
      <c r="BX3" s="104"/>
      <c r="BY3" s="104"/>
      <c r="BZ3" s="104"/>
      <c r="CA3" s="104"/>
      <c r="CB3" s="104"/>
      <c r="CC3" s="104"/>
      <c r="CD3" s="104"/>
      <c r="CE3" s="104"/>
      <c r="CF3" s="104"/>
      <c r="CG3" s="104"/>
      <c r="CH3" s="104"/>
      <c r="CI3" s="104"/>
      <c r="CJ3" s="104"/>
      <c r="CK3" s="104"/>
      <c r="CL3" s="104"/>
      <c r="CM3" s="104"/>
      <c r="CN3" s="104"/>
      <c r="CO3" s="104"/>
      <c r="CP3" s="104"/>
      <c r="CQ3" s="104"/>
      <c r="CR3" s="104"/>
      <c r="CS3" s="104"/>
      <c r="CT3" s="104"/>
      <c r="CU3" s="104"/>
      <c r="CV3" s="104"/>
      <c r="CW3" s="104"/>
      <c r="CX3" s="104"/>
      <c r="CY3" s="104"/>
      <c r="CZ3" s="104"/>
      <c r="DA3" s="104"/>
      <c r="DB3" s="104"/>
      <c r="DC3" s="104"/>
      <c r="DD3" s="104"/>
      <c r="DE3" s="104"/>
      <c r="DF3" s="104"/>
      <c r="DG3" s="104"/>
      <c r="DH3" s="104"/>
      <c r="DI3" s="104"/>
    </row>
    <row r="4" spans="2:113" s="10" customFormat="1" x14ac:dyDescent="0.3">
      <c r="B4" s="175" t="b">
        <v>1</v>
      </c>
      <c r="C4" s="171"/>
      <c r="D4" s="171"/>
      <c r="E4" s="174">
        <v>10</v>
      </c>
      <c r="F4" s="173"/>
      <c r="G4" s="173"/>
      <c r="H4" s="176" t="s">
        <v>210</v>
      </c>
      <c r="I4" s="179">
        <f>IFERROR(XIRR(F37:DI37,F9:DI9),"")</f>
        <v>0.20350289940834046</v>
      </c>
      <c r="J4" s="104"/>
      <c r="K4" s="104"/>
      <c r="L4" s="176" t="s">
        <v>211</v>
      </c>
      <c r="M4" s="179">
        <f>IFERROR(XIRR(F38:DI38,F9:DI9),"")</f>
        <v>0.2853595554828644</v>
      </c>
      <c r="N4" s="104"/>
      <c r="O4" s="176"/>
      <c r="P4" s="176"/>
      <c r="Q4" s="176"/>
      <c r="R4" s="176" t="s">
        <v>183</v>
      </c>
      <c r="S4" s="188">
        <f>(D44-Start)/365</f>
        <v>6.5041095890410956</v>
      </c>
      <c r="T4" s="104"/>
      <c r="U4" s="104"/>
      <c r="V4" s="104"/>
      <c r="W4" s="104"/>
      <c r="X4" s="104"/>
      <c r="Y4" s="104"/>
      <c r="Z4" s="104"/>
      <c r="AA4" s="104"/>
      <c r="AB4" s="104"/>
      <c r="AC4" s="104"/>
      <c r="AD4" s="104"/>
      <c r="AE4" s="104"/>
      <c r="AF4" s="104"/>
      <c r="AG4" s="104"/>
      <c r="AH4" s="104"/>
      <c r="AI4" s="104"/>
      <c r="AJ4" s="104"/>
      <c r="AK4" s="104"/>
      <c r="AL4" s="104"/>
      <c r="AM4" s="104"/>
      <c r="AN4" s="104"/>
      <c r="AO4" s="104"/>
      <c r="AP4" s="104"/>
      <c r="AQ4" s="104"/>
      <c r="AR4" s="104"/>
      <c r="AS4" s="104"/>
      <c r="AT4" s="104"/>
      <c r="AU4" s="104"/>
      <c r="AV4" s="104"/>
      <c r="AW4" s="104"/>
      <c r="AX4" s="104"/>
      <c r="AY4" s="104"/>
      <c r="AZ4" s="104"/>
      <c r="BA4" s="104"/>
      <c r="BB4" s="104"/>
      <c r="BC4" s="104"/>
      <c r="BD4" s="104"/>
      <c r="BE4" s="104"/>
      <c r="BF4" s="104"/>
      <c r="BG4" s="104"/>
      <c r="BH4" s="104"/>
      <c r="BI4" s="104"/>
      <c r="BJ4" s="104"/>
      <c r="BK4" s="104"/>
      <c r="BL4" s="104"/>
      <c r="BM4" s="104"/>
      <c r="BN4" s="104"/>
      <c r="BO4" s="104"/>
      <c r="BP4" s="104"/>
      <c r="BQ4" s="104"/>
      <c r="BR4" s="104"/>
      <c r="BS4" s="104"/>
      <c r="BT4" s="104"/>
      <c r="BU4" s="104"/>
      <c r="BV4" s="104"/>
      <c r="BW4" s="104"/>
      <c r="BX4" s="104"/>
      <c r="BY4" s="104"/>
      <c r="BZ4" s="104"/>
      <c r="CA4" s="104"/>
      <c r="CB4" s="104"/>
      <c r="CC4" s="104"/>
      <c r="CD4" s="104"/>
      <c r="CE4" s="104"/>
      <c r="CF4" s="104"/>
      <c r="CG4" s="104"/>
      <c r="CH4" s="104"/>
      <c r="CI4" s="104"/>
      <c r="CJ4" s="104"/>
      <c r="CK4" s="104"/>
      <c r="CL4" s="104"/>
      <c r="CM4" s="104"/>
      <c r="CN4" s="104"/>
      <c r="CO4" s="104"/>
      <c r="CP4" s="104"/>
      <c r="CQ4" s="104"/>
      <c r="CR4" s="104"/>
      <c r="CS4" s="104"/>
      <c r="CT4" s="104"/>
      <c r="CU4" s="104"/>
      <c r="CV4" s="104"/>
      <c r="CW4" s="104"/>
      <c r="CX4" s="104"/>
      <c r="CY4" s="104"/>
      <c r="CZ4" s="104"/>
      <c r="DA4" s="104"/>
      <c r="DB4" s="104"/>
      <c r="DC4" s="104"/>
      <c r="DD4" s="104"/>
      <c r="DE4" s="104"/>
      <c r="DF4" s="104"/>
      <c r="DG4" s="104"/>
      <c r="DH4" s="104"/>
      <c r="DI4" s="104"/>
    </row>
    <row r="5" spans="2:113" ht="13" customHeight="1" x14ac:dyDescent="0.3">
      <c r="B5" s="46"/>
      <c r="C5" s="42"/>
      <c r="D5" s="43"/>
      <c r="E5" s="42"/>
      <c r="F5" s="43"/>
      <c r="G5" s="43"/>
      <c r="H5" s="43"/>
      <c r="I5" s="43"/>
      <c r="J5" s="43"/>
      <c r="K5" s="43"/>
      <c r="L5" s="43"/>
      <c r="M5" s="43"/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  <c r="AI5" s="43"/>
      <c r="AJ5" s="43"/>
      <c r="AK5" s="43"/>
      <c r="AL5" s="43"/>
      <c r="AM5" s="43"/>
      <c r="AN5" s="43"/>
      <c r="AO5" s="43"/>
      <c r="AP5" s="43"/>
      <c r="AQ5" s="43"/>
      <c r="AR5" s="43"/>
      <c r="AS5" s="43"/>
      <c r="AT5" s="43"/>
      <c r="AU5" s="43"/>
      <c r="AV5" s="43"/>
      <c r="AW5" s="43"/>
      <c r="AX5" s="43"/>
      <c r="AY5" s="43"/>
      <c r="AZ5" s="43"/>
      <c r="BA5" s="43"/>
      <c r="BB5" s="43"/>
      <c r="BC5" s="43"/>
      <c r="BD5" s="43"/>
      <c r="BE5" s="43"/>
      <c r="BF5" s="43"/>
      <c r="BG5" s="43"/>
      <c r="BH5" s="43"/>
      <c r="BI5" s="43"/>
      <c r="BJ5" s="43"/>
      <c r="BK5" s="43"/>
      <c r="BL5" s="43"/>
      <c r="BM5" s="43"/>
      <c r="BN5" s="43"/>
      <c r="BO5" s="43"/>
      <c r="BP5" s="43"/>
      <c r="BQ5" s="43"/>
      <c r="BR5" s="43"/>
      <c r="BS5" s="43"/>
      <c r="BT5" s="43"/>
      <c r="BU5" s="43"/>
      <c r="BV5" s="43"/>
      <c r="BW5" s="43"/>
      <c r="BX5" s="43"/>
      <c r="BY5" s="43"/>
      <c r="BZ5" s="43"/>
      <c r="CA5" s="43"/>
      <c r="CB5" s="43"/>
      <c r="CC5" s="43"/>
      <c r="CD5" s="43"/>
      <c r="CE5" s="43"/>
      <c r="CF5" s="43"/>
      <c r="CG5" s="43"/>
      <c r="CH5" s="43"/>
      <c r="CI5" s="43"/>
      <c r="CJ5" s="43"/>
      <c r="CK5" s="43"/>
      <c r="CL5" s="43"/>
      <c r="CM5" s="43"/>
      <c r="CN5" s="43"/>
      <c r="CO5" s="43"/>
      <c r="CP5" s="43"/>
      <c r="CQ5" s="43"/>
      <c r="CR5" s="43"/>
      <c r="CS5" s="43"/>
      <c r="CT5" s="43"/>
      <c r="CU5" s="43"/>
      <c r="CV5" s="43"/>
      <c r="CW5" s="43"/>
      <c r="CX5" s="43"/>
      <c r="CY5" s="43"/>
      <c r="CZ5" s="43"/>
      <c r="DA5" s="43"/>
      <c r="DB5" s="43"/>
      <c r="DC5" s="43"/>
      <c r="DD5" s="43"/>
      <c r="DE5" s="43"/>
      <c r="DF5" s="43"/>
      <c r="DG5" s="43"/>
      <c r="DH5" s="43"/>
      <c r="DI5" s="43"/>
    </row>
    <row r="6" spans="2:113" s="183" customFormat="1" ht="13" customHeight="1" x14ac:dyDescent="0.3">
      <c r="B6" s="184"/>
      <c r="C6" s="25"/>
      <c r="D6" s="60"/>
      <c r="E6" s="25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0"/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0"/>
      <c r="AW6" s="60"/>
      <c r="AX6" s="60"/>
      <c r="AY6" s="60"/>
      <c r="AZ6" s="60"/>
      <c r="BA6" s="60"/>
      <c r="BB6" s="60"/>
      <c r="BC6" s="60"/>
      <c r="BD6" s="60"/>
      <c r="BE6" s="60"/>
      <c r="BF6" s="60"/>
      <c r="BG6" s="60"/>
      <c r="BH6" s="60"/>
      <c r="BI6" s="60"/>
      <c r="BJ6" s="60"/>
      <c r="BK6" s="60"/>
      <c r="BL6" s="60"/>
      <c r="BM6" s="60"/>
      <c r="BN6" s="60"/>
      <c r="BO6" s="60"/>
      <c r="BP6" s="60"/>
      <c r="BQ6" s="60"/>
      <c r="BR6" s="60"/>
      <c r="BS6" s="60"/>
      <c r="BT6" s="60"/>
      <c r="BU6" s="60"/>
      <c r="BV6" s="60"/>
      <c r="BW6" s="60"/>
      <c r="BX6" s="60"/>
      <c r="BY6" s="60"/>
      <c r="BZ6" s="60"/>
      <c r="CA6" s="60"/>
      <c r="CB6" s="60"/>
      <c r="CC6" s="60"/>
      <c r="CD6" s="60"/>
      <c r="CE6" s="60"/>
      <c r="CF6" s="60"/>
      <c r="CG6" s="60"/>
      <c r="CH6" s="60"/>
      <c r="CI6" s="60"/>
      <c r="CJ6" s="60"/>
      <c r="CK6" s="60"/>
      <c r="CL6" s="60"/>
      <c r="CM6" s="60"/>
      <c r="CN6" s="60"/>
      <c r="CO6" s="60"/>
      <c r="CP6" s="60"/>
      <c r="CQ6" s="60"/>
      <c r="CR6" s="60"/>
      <c r="CS6" s="60"/>
      <c r="CT6" s="60"/>
      <c r="CU6" s="60"/>
      <c r="CV6" s="60"/>
      <c r="CW6" s="60"/>
      <c r="CX6" s="60"/>
      <c r="CY6" s="60"/>
      <c r="CZ6" s="60"/>
      <c r="DA6" s="60"/>
      <c r="DB6" s="60"/>
      <c r="DC6" s="60"/>
      <c r="DD6" s="60"/>
      <c r="DE6" s="60"/>
      <c r="DF6" s="60"/>
      <c r="DG6" s="60"/>
      <c r="DH6" s="60"/>
      <c r="DI6" s="60"/>
    </row>
    <row r="7" spans="2:113" s="14" customFormat="1" ht="13" customHeight="1" x14ac:dyDescent="0.3">
      <c r="B7" s="230" t="s">
        <v>144</v>
      </c>
      <c r="F7" s="216">
        <f>F8</f>
        <v>44378</v>
      </c>
      <c r="G7" s="216">
        <f t="shared" ref="G7:BR7" si="0">G8</f>
        <v>44409</v>
      </c>
      <c r="H7" s="216">
        <f t="shared" si="0"/>
        <v>44440</v>
      </c>
      <c r="I7" s="216">
        <f t="shared" si="0"/>
        <v>44470</v>
      </c>
      <c r="J7" s="216">
        <f t="shared" si="0"/>
        <v>44501</v>
      </c>
      <c r="K7" s="216">
        <f t="shared" si="0"/>
        <v>44531</v>
      </c>
      <c r="L7" s="216">
        <f t="shared" si="0"/>
        <v>44562</v>
      </c>
      <c r="M7" s="216">
        <f t="shared" si="0"/>
        <v>44593</v>
      </c>
      <c r="N7" s="216">
        <f t="shared" si="0"/>
        <v>44621</v>
      </c>
      <c r="O7" s="216">
        <f t="shared" si="0"/>
        <v>44652</v>
      </c>
      <c r="P7" s="216">
        <f t="shared" si="0"/>
        <v>44682</v>
      </c>
      <c r="Q7" s="216">
        <f t="shared" si="0"/>
        <v>44713</v>
      </c>
      <c r="R7" s="216">
        <f t="shared" si="0"/>
        <v>44743</v>
      </c>
      <c r="S7" s="216">
        <f t="shared" si="0"/>
        <v>44774</v>
      </c>
      <c r="T7" s="216">
        <f t="shared" si="0"/>
        <v>44805</v>
      </c>
      <c r="U7" s="216">
        <f t="shared" si="0"/>
        <v>44835</v>
      </c>
      <c r="V7" s="216">
        <f t="shared" si="0"/>
        <v>44866</v>
      </c>
      <c r="W7" s="216">
        <f t="shared" si="0"/>
        <v>44896</v>
      </c>
      <c r="X7" s="216">
        <f t="shared" si="0"/>
        <v>44927</v>
      </c>
      <c r="Y7" s="216">
        <f t="shared" si="0"/>
        <v>44958</v>
      </c>
      <c r="Z7" s="216">
        <f t="shared" si="0"/>
        <v>44986</v>
      </c>
      <c r="AA7" s="216">
        <f t="shared" si="0"/>
        <v>45017</v>
      </c>
      <c r="AB7" s="216">
        <f t="shared" si="0"/>
        <v>45047</v>
      </c>
      <c r="AC7" s="216">
        <f t="shared" si="0"/>
        <v>45078</v>
      </c>
      <c r="AD7" s="216">
        <f t="shared" si="0"/>
        <v>45108</v>
      </c>
      <c r="AE7" s="216">
        <f t="shared" si="0"/>
        <v>45139</v>
      </c>
      <c r="AF7" s="216">
        <f t="shared" si="0"/>
        <v>45170</v>
      </c>
      <c r="AG7" s="216">
        <f t="shared" si="0"/>
        <v>45200</v>
      </c>
      <c r="AH7" s="216">
        <f t="shared" si="0"/>
        <v>45231</v>
      </c>
      <c r="AI7" s="216">
        <f t="shared" si="0"/>
        <v>45261</v>
      </c>
      <c r="AJ7" s="216">
        <f t="shared" si="0"/>
        <v>45292</v>
      </c>
      <c r="AK7" s="216">
        <f t="shared" si="0"/>
        <v>45323</v>
      </c>
      <c r="AL7" s="216">
        <f t="shared" si="0"/>
        <v>45352</v>
      </c>
      <c r="AM7" s="216">
        <f t="shared" si="0"/>
        <v>45383</v>
      </c>
      <c r="AN7" s="216">
        <f t="shared" si="0"/>
        <v>45413</v>
      </c>
      <c r="AO7" s="216">
        <f t="shared" si="0"/>
        <v>45444</v>
      </c>
      <c r="AP7" s="216">
        <f t="shared" si="0"/>
        <v>45474</v>
      </c>
      <c r="AQ7" s="216">
        <f t="shared" si="0"/>
        <v>45505</v>
      </c>
      <c r="AR7" s="216">
        <f t="shared" si="0"/>
        <v>45536</v>
      </c>
      <c r="AS7" s="216">
        <f t="shared" si="0"/>
        <v>45566</v>
      </c>
      <c r="AT7" s="216">
        <f t="shared" si="0"/>
        <v>45597</v>
      </c>
      <c r="AU7" s="216">
        <f t="shared" si="0"/>
        <v>45627</v>
      </c>
      <c r="AV7" s="216">
        <f t="shared" si="0"/>
        <v>45658</v>
      </c>
      <c r="AW7" s="216">
        <f t="shared" si="0"/>
        <v>45689</v>
      </c>
      <c r="AX7" s="216">
        <f t="shared" si="0"/>
        <v>45717</v>
      </c>
      <c r="AY7" s="216">
        <f t="shared" si="0"/>
        <v>45748</v>
      </c>
      <c r="AZ7" s="216">
        <f t="shared" si="0"/>
        <v>45778</v>
      </c>
      <c r="BA7" s="216">
        <f t="shared" si="0"/>
        <v>45809</v>
      </c>
      <c r="BB7" s="216">
        <f t="shared" si="0"/>
        <v>45839</v>
      </c>
      <c r="BC7" s="216">
        <f t="shared" si="0"/>
        <v>45870</v>
      </c>
      <c r="BD7" s="216">
        <f t="shared" si="0"/>
        <v>45901</v>
      </c>
      <c r="BE7" s="216">
        <f t="shared" si="0"/>
        <v>45931</v>
      </c>
      <c r="BF7" s="216">
        <f t="shared" si="0"/>
        <v>45962</v>
      </c>
      <c r="BG7" s="216">
        <f t="shared" si="0"/>
        <v>45992</v>
      </c>
      <c r="BH7" s="216">
        <f t="shared" si="0"/>
        <v>46023</v>
      </c>
      <c r="BI7" s="216">
        <f t="shared" si="0"/>
        <v>46054</v>
      </c>
      <c r="BJ7" s="216">
        <f t="shared" si="0"/>
        <v>46082</v>
      </c>
      <c r="BK7" s="216">
        <f t="shared" si="0"/>
        <v>46113</v>
      </c>
      <c r="BL7" s="216">
        <f t="shared" si="0"/>
        <v>46143</v>
      </c>
      <c r="BM7" s="216">
        <f t="shared" si="0"/>
        <v>46174</v>
      </c>
      <c r="BN7" s="216">
        <f t="shared" si="0"/>
        <v>46204</v>
      </c>
      <c r="BO7" s="216">
        <f t="shared" si="0"/>
        <v>46235</v>
      </c>
      <c r="BP7" s="216">
        <f t="shared" si="0"/>
        <v>46266</v>
      </c>
      <c r="BQ7" s="216">
        <f t="shared" si="0"/>
        <v>46296</v>
      </c>
      <c r="BR7" s="216">
        <f t="shared" si="0"/>
        <v>46327</v>
      </c>
      <c r="BS7" s="216">
        <f t="shared" ref="BS7:DI7" si="1">BS8</f>
        <v>46357</v>
      </c>
      <c r="BT7" s="216">
        <f t="shared" si="1"/>
        <v>46388</v>
      </c>
      <c r="BU7" s="216">
        <f t="shared" si="1"/>
        <v>46419</v>
      </c>
      <c r="BV7" s="216">
        <f t="shared" si="1"/>
        <v>46447</v>
      </c>
      <c r="BW7" s="216">
        <f t="shared" si="1"/>
        <v>46478</v>
      </c>
      <c r="BX7" s="216">
        <f t="shared" si="1"/>
        <v>46508</v>
      </c>
      <c r="BY7" s="216">
        <f t="shared" si="1"/>
        <v>46539</v>
      </c>
      <c r="BZ7" s="216">
        <f t="shared" si="1"/>
        <v>46569</v>
      </c>
      <c r="CA7" s="216">
        <f t="shared" si="1"/>
        <v>46600</v>
      </c>
      <c r="CB7" s="216">
        <f t="shared" si="1"/>
        <v>46631</v>
      </c>
      <c r="CC7" s="216">
        <f t="shared" si="1"/>
        <v>46661</v>
      </c>
      <c r="CD7" s="216">
        <f t="shared" si="1"/>
        <v>46692</v>
      </c>
      <c r="CE7" s="216">
        <f t="shared" si="1"/>
        <v>46722</v>
      </c>
      <c r="CF7" s="216">
        <f t="shared" si="1"/>
        <v>46753</v>
      </c>
      <c r="CG7" s="216">
        <f t="shared" si="1"/>
        <v>46784</v>
      </c>
      <c r="CH7" s="216">
        <f t="shared" si="1"/>
        <v>46813</v>
      </c>
      <c r="CI7" s="216">
        <f t="shared" si="1"/>
        <v>46844</v>
      </c>
      <c r="CJ7" s="216">
        <f t="shared" si="1"/>
        <v>46874</v>
      </c>
      <c r="CK7" s="216">
        <f t="shared" si="1"/>
        <v>46905</v>
      </c>
      <c r="CL7" s="216">
        <f t="shared" si="1"/>
        <v>46935</v>
      </c>
      <c r="CM7" s="216">
        <f t="shared" si="1"/>
        <v>46966</v>
      </c>
      <c r="CN7" s="216">
        <f t="shared" si="1"/>
        <v>46997</v>
      </c>
      <c r="CO7" s="216">
        <f t="shared" si="1"/>
        <v>47027</v>
      </c>
      <c r="CP7" s="216">
        <f t="shared" si="1"/>
        <v>47058</v>
      </c>
      <c r="CQ7" s="216">
        <f t="shared" si="1"/>
        <v>47088</v>
      </c>
      <c r="CR7" s="216">
        <f t="shared" si="1"/>
        <v>47119</v>
      </c>
      <c r="CS7" s="216">
        <f t="shared" si="1"/>
        <v>47150</v>
      </c>
      <c r="CT7" s="216">
        <f t="shared" si="1"/>
        <v>47178</v>
      </c>
      <c r="CU7" s="216">
        <f t="shared" si="1"/>
        <v>47209</v>
      </c>
      <c r="CV7" s="216">
        <f t="shared" si="1"/>
        <v>47239</v>
      </c>
      <c r="CW7" s="216">
        <f t="shared" si="1"/>
        <v>47270</v>
      </c>
      <c r="CX7" s="216">
        <f t="shared" si="1"/>
        <v>47300</v>
      </c>
      <c r="CY7" s="216">
        <f t="shared" si="1"/>
        <v>47331</v>
      </c>
      <c r="CZ7" s="216">
        <f t="shared" si="1"/>
        <v>47362</v>
      </c>
      <c r="DA7" s="216">
        <f t="shared" si="1"/>
        <v>47392</v>
      </c>
      <c r="DB7" s="216">
        <f t="shared" si="1"/>
        <v>47423</v>
      </c>
      <c r="DC7" s="216">
        <f t="shared" si="1"/>
        <v>47453</v>
      </c>
      <c r="DD7" s="216">
        <f t="shared" si="1"/>
        <v>47484</v>
      </c>
      <c r="DE7" s="216">
        <f t="shared" si="1"/>
        <v>47515</v>
      </c>
      <c r="DF7" s="216">
        <f t="shared" si="1"/>
        <v>47543</v>
      </c>
      <c r="DG7" s="216">
        <f t="shared" si="1"/>
        <v>47574</v>
      </c>
      <c r="DH7" s="216">
        <f t="shared" si="1"/>
        <v>47604</v>
      </c>
      <c r="DI7" s="216">
        <f t="shared" si="1"/>
        <v>47635</v>
      </c>
    </row>
    <row r="8" spans="2:113" ht="13" customHeight="1" x14ac:dyDescent="0.3">
      <c r="B8" s="230"/>
      <c r="C8" s="14"/>
      <c r="F8" s="5">
        <f>Start</f>
        <v>44378</v>
      </c>
      <c r="G8" s="5">
        <f>EDATE(F8,1)</f>
        <v>44409</v>
      </c>
      <c r="H8" s="5">
        <f>EDATE(G8,1)</f>
        <v>44440</v>
      </c>
      <c r="I8" s="5">
        <f t="shared" ref="I8:BT8" si="2">EDATE(H8,1)</f>
        <v>44470</v>
      </c>
      <c r="J8" s="5">
        <f t="shared" si="2"/>
        <v>44501</v>
      </c>
      <c r="K8" s="5">
        <f t="shared" si="2"/>
        <v>44531</v>
      </c>
      <c r="L8" s="5">
        <f t="shared" si="2"/>
        <v>44562</v>
      </c>
      <c r="M8" s="5">
        <f t="shared" si="2"/>
        <v>44593</v>
      </c>
      <c r="N8" s="5">
        <f t="shared" si="2"/>
        <v>44621</v>
      </c>
      <c r="O8" s="5">
        <f t="shared" si="2"/>
        <v>44652</v>
      </c>
      <c r="P8" s="5">
        <f t="shared" si="2"/>
        <v>44682</v>
      </c>
      <c r="Q8" s="5">
        <f t="shared" si="2"/>
        <v>44713</v>
      </c>
      <c r="R8" s="5">
        <f t="shared" si="2"/>
        <v>44743</v>
      </c>
      <c r="S8" s="5">
        <f t="shared" si="2"/>
        <v>44774</v>
      </c>
      <c r="T8" s="5">
        <f t="shared" si="2"/>
        <v>44805</v>
      </c>
      <c r="U8" s="5">
        <f t="shared" si="2"/>
        <v>44835</v>
      </c>
      <c r="V8" s="5">
        <f t="shared" si="2"/>
        <v>44866</v>
      </c>
      <c r="W8" s="5">
        <f t="shared" si="2"/>
        <v>44896</v>
      </c>
      <c r="X8" s="5">
        <f t="shared" si="2"/>
        <v>44927</v>
      </c>
      <c r="Y8" s="5">
        <f t="shared" si="2"/>
        <v>44958</v>
      </c>
      <c r="Z8" s="5">
        <f t="shared" si="2"/>
        <v>44986</v>
      </c>
      <c r="AA8" s="5">
        <f t="shared" si="2"/>
        <v>45017</v>
      </c>
      <c r="AB8" s="5">
        <f t="shared" si="2"/>
        <v>45047</v>
      </c>
      <c r="AC8" s="5">
        <f t="shared" si="2"/>
        <v>45078</v>
      </c>
      <c r="AD8" s="5">
        <f t="shared" si="2"/>
        <v>45108</v>
      </c>
      <c r="AE8" s="5">
        <f t="shared" si="2"/>
        <v>45139</v>
      </c>
      <c r="AF8" s="5">
        <f t="shared" si="2"/>
        <v>45170</v>
      </c>
      <c r="AG8" s="5">
        <f t="shared" si="2"/>
        <v>45200</v>
      </c>
      <c r="AH8" s="5">
        <f t="shared" si="2"/>
        <v>45231</v>
      </c>
      <c r="AI8" s="5">
        <f t="shared" si="2"/>
        <v>45261</v>
      </c>
      <c r="AJ8" s="5">
        <f t="shared" si="2"/>
        <v>45292</v>
      </c>
      <c r="AK8" s="5">
        <f t="shared" si="2"/>
        <v>45323</v>
      </c>
      <c r="AL8" s="5">
        <f t="shared" si="2"/>
        <v>45352</v>
      </c>
      <c r="AM8" s="5">
        <f t="shared" si="2"/>
        <v>45383</v>
      </c>
      <c r="AN8" s="5">
        <f t="shared" si="2"/>
        <v>45413</v>
      </c>
      <c r="AO8" s="5">
        <f t="shared" si="2"/>
        <v>45444</v>
      </c>
      <c r="AP8" s="5">
        <f t="shared" si="2"/>
        <v>45474</v>
      </c>
      <c r="AQ8" s="5">
        <f t="shared" si="2"/>
        <v>45505</v>
      </c>
      <c r="AR8" s="5">
        <f t="shared" si="2"/>
        <v>45536</v>
      </c>
      <c r="AS8" s="5">
        <f t="shared" si="2"/>
        <v>45566</v>
      </c>
      <c r="AT8" s="5">
        <f t="shared" si="2"/>
        <v>45597</v>
      </c>
      <c r="AU8" s="5">
        <f t="shared" si="2"/>
        <v>45627</v>
      </c>
      <c r="AV8" s="5">
        <f t="shared" si="2"/>
        <v>45658</v>
      </c>
      <c r="AW8" s="5">
        <f t="shared" si="2"/>
        <v>45689</v>
      </c>
      <c r="AX8" s="5">
        <f t="shared" si="2"/>
        <v>45717</v>
      </c>
      <c r="AY8" s="5">
        <f t="shared" si="2"/>
        <v>45748</v>
      </c>
      <c r="AZ8" s="5">
        <f t="shared" si="2"/>
        <v>45778</v>
      </c>
      <c r="BA8" s="5">
        <f t="shared" si="2"/>
        <v>45809</v>
      </c>
      <c r="BB8" s="5">
        <f t="shared" si="2"/>
        <v>45839</v>
      </c>
      <c r="BC8" s="5">
        <f t="shared" si="2"/>
        <v>45870</v>
      </c>
      <c r="BD8" s="5">
        <f t="shared" si="2"/>
        <v>45901</v>
      </c>
      <c r="BE8" s="5">
        <f t="shared" si="2"/>
        <v>45931</v>
      </c>
      <c r="BF8" s="5">
        <f t="shared" si="2"/>
        <v>45962</v>
      </c>
      <c r="BG8" s="5">
        <f t="shared" si="2"/>
        <v>45992</v>
      </c>
      <c r="BH8" s="5">
        <f t="shared" si="2"/>
        <v>46023</v>
      </c>
      <c r="BI8" s="5">
        <f t="shared" si="2"/>
        <v>46054</v>
      </c>
      <c r="BJ8" s="5">
        <f t="shared" si="2"/>
        <v>46082</v>
      </c>
      <c r="BK8" s="5">
        <f t="shared" si="2"/>
        <v>46113</v>
      </c>
      <c r="BL8" s="5">
        <f t="shared" si="2"/>
        <v>46143</v>
      </c>
      <c r="BM8" s="5">
        <f t="shared" si="2"/>
        <v>46174</v>
      </c>
      <c r="BN8" s="5">
        <f t="shared" si="2"/>
        <v>46204</v>
      </c>
      <c r="BO8" s="5">
        <f t="shared" si="2"/>
        <v>46235</v>
      </c>
      <c r="BP8" s="5">
        <f t="shared" si="2"/>
        <v>46266</v>
      </c>
      <c r="BQ8" s="5">
        <f t="shared" si="2"/>
        <v>46296</v>
      </c>
      <c r="BR8" s="5">
        <f t="shared" si="2"/>
        <v>46327</v>
      </c>
      <c r="BS8" s="5">
        <f t="shared" si="2"/>
        <v>46357</v>
      </c>
      <c r="BT8" s="5">
        <f t="shared" si="2"/>
        <v>46388</v>
      </c>
      <c r="BU8" s="5">
        <f t="shared" ref="BU8:BY8" si="3">EDATE(BT8,1)</f>
        <v>46419</v>
      </c>
      <c r="BV8" s="5">
        <f t="shared" si="3"/>
        <v>46447</v>
      </c>
      <c r="BW8" s="5">
        <f t="shared" si="3"/>
        <v>46478</v>
      </c>
      <c r="BX8" s="5">
        <f t="shared" si="3"/>
        <v>46508</v>
      </c>
      <c r="BY8" s="5">
        <f t="shared" si="3"/>
        <v>46539</v>
      </c>
      <c r="BZ8" s="5">
        <f t="shared" ref="BZ8" si="4">EDATE(BY8,1)</f>
        <v>46569</v>
      </c>
      <c r="CA8" s="5">
        <f t="shared" ref="CA8" si="5">EDATE(BZ8,1)</f>
        <v>46600</v>
      </c>
      <c r="CB8" s="5">
        <f t="shared" ref="CB8" si="6">EDATE(CA8,1)</f>
        <v>46631</v>
      </c>
      <c r="CC8" s="5">
        <f t="shared" ref="CC8" si="7">EDATE(CB8,1)</f>
        <v>46661</v>
      </c>
      <c r="CD8" s="5">
        <f t="shared" ref="CD8" si="8">EDATE(CC8,1)</f>
        <v>46692</v>
      </c>
      <c r="CE8" s="5">
        <f t="shared" ref="CE8" si="9">EDATE(CD8,1)</f>
        <v>46722</v>
      </c>
      <c r="CF8" s="5">
        <f t="shared" ref="CF8" si="10">EDATE(CE8,1)</f>
        <v>46753</v>
      </c>
      <c r="CG8" s="5">
        <f t="shared" ref="CG8" si="11">EDATE(CF8,1)</f>
        <v>46784</v>
      </c>
      <c r="CH8" s="5">
        <f t="shared" ref="CH8" si="12">EDATE(CG8,1)</f>
        <v>46813</v>
      </c>
      <c r="CI8" s="5">
        <f t="shared" ref="CI8" si="13">EDATE(CH8,1)</f>
        <v>46844</v>
      </c>
      <c r="CJ8" s="5">
        <f t="shared" ref="CJ8" si="14">EDATE(CI8,1)</f>
        <v>46874</v>
      </c>
      <c r="CK8" s="5">
        <f t="shared" ref="CK8" si="15">EDATE(CJ8,1)</f>
        <v>46905</v>
      </c>
      <c r="CL8" s="5">
        <f t="shared" ref="CL8" si="16">EDATE(CK8,1)</f>
        <v>46935</v>
      </c>
      <c r="CM8" s="5">
        <f t="shared" ref="CM8" si="17">EDATE(CL8,1)</f>
        <v>46966</v>
      </c>
      <c r="CN8" s="5">
        <f t="shared" ref="CN8" si="18">EDATE(CM8,1)</f>
        <v>46997</v>
      </c>
      <c r="CO8" s="5">
        <f t="shared" ref="CO8" si="19">EDATE(CN8,1)</f>
        <v>47027</v>
      </c>
      <c r="CP8" s="5">
        <f t="shared" ref="CP8" si="20">EDATE(CO8,1)</f>
        <v>47058</v>
      </c>
      <c r="CQ8" s="5">
        <f t="shared" ref="CQ8" si="21">EDATE(CP8,1)</f>
        <v>47088</v>
      </c>
      <c r="CR8" s="5">
        <f t="shared" ref="CR8" si="22">EDATE(CQ8,1)</f>
        <v>47119</v>
      </c>
      <c r="CS8" s="5">
        <f t="shared" ref="CS8" si="23">EDATE(CR8,1)</f>
        <v>47150</v>
      </c>
      <c r="CT8" s="5">
        <f t="shared" ref="CT8" si="24">EDATE(CS8,1)</f>
        <v>47178</v>
      </c>
      <c r="CU8" s="5">
        <f t="shared" ref="CU8" si="25">EDATE(CT8,1)</f>
        <v>47209</v>
      </c>
      <c r="CV8" s="5">
        <f t="shared" ref="CV8" si="26">EDATE(CU8,1)</f>
        <v>47239</v>
      </c>
      <c r="CW8" s="5">
        <f t="shared" ref="CW8" si="27">EDATE(CV8,1)</f>
        <v>47270</v>
      </c>
      <c r="CX8" s="5">
        <f t="shared" ref="CX8" si="28">EDATE(CW8,1)</f>
        <v>47300</v>
      </c>
      <c r="CY8" s="5">
        <f t="shared" ref="CY8" si="29">EDATE(CX8,1)</f>
        <v>47331</v>
      </c>
      <c r="CZ8" s="5">
        <f t="shared" ref="CZ8" si="30">EDATE(CY8,1)</f>
        <v>47362</v>
      </c>
      <c r="DA8" s="5">
        <f t="shared" ref="DA8" si="31">EDATE(CZ8,1)</f>
        <v>47392</v>
      </c>
      <c r="DB8" s="5">
        <f t="shared" ref="DB8" si="32">EDATE(DA8,1)</f>
        <v>47423</v>
      </c>
      <c r="DC8" s="5">
        <f t="shared" ref="DC8" si="33">EDATE(DB8,1)</f>
        <v>47453</v>
      </c>
      <c r="DD8" s="5">
        <f t="shared" ref="DD8" si="34">EDATE(DC8,1)</f>
        <v>47484</v>
      </c>
      <c r="DE8" s="5">
        <f t="shared" ref="DE8" si="35">EDATE(DD8,1)</f>
        <v>47515</v>
      </c>
      <c r="DF8" s="5">
        <f t="shared" ref="DF8" si="36">EDATE(DE8,1)</f>
        <v>47543</v>
      </c>
      <c r="DG8" s="5">
        <f t="shared" ref="DG8" si="37">EDATE(DF8,1)</f>
        <v>47574</v>
      </c>
      <c r="DH8" s="5">
        <f t="shared" ref="DH8" si="38">EDATE(DG8,1)</f>
        <v>47604</v>
      </c>
      <c r="DI8" s="5">
        <f t="shared" ref="DI8" si="39">EDATE(DH8,1)</f>
        <v>47635</v>
      </c>
    </row>
    <row r="9" spans="2:113" x14ac:dyDescent="0.3">
      <c r="C9" s="14"/>
      <c r="D9" s="14" t="s">
        <v>0</v>
      </c>
      <c r="F9" s="5">
        <f>EDATE(F8,1)-1</f>
        <v>44408</v>
      </c>
      <c r="G9" s="5">
        <f>EDATE(G8,1)-1</f>
        <v>44439</v>
      </c>
      <c r="H9" s="5">
        <f t="shared" ref="H9:BS9" si="40">EDATE(H8,1)-1</f>
        <v>44469</v>
      </c>
      <c r="I9" s="5">
        <f t="shared" si="40"/>
        <v>44500</v>
      </c>
      <c r="J9" s="5">
        <f t="shared" si="40"/>
        <v>44530</v>
      </c>
      <c r="K9" s="5">
        <f t="shared" si="40"/>
        <v>44561</v>
      </c>
      <c r="L9" s="5">
        <f t="shared" si="40"/>
        <v>44592</v>
      </c>
      <c r="M9" s="5">
        <f t="shared" si="40"/>
        <v>44620</v>
      </c>
      <c r="N9" s="5">
        <f t="shared" si="40"/>
        <v>44651</v>
      </c>
      <c r="O9" s="5">
        <f t="shared" si="40"/>
        <v>44681</v>
      </c>
      <c r="P9" s="5">
        <f t="shared" si="40"/>
        <v>44712</v>
      </c>
      <c r="Q9" s="5">
        <f t="shared" si="40"/>
        <v>44742</v>
      </c>
      <c r="R9" s="5">
        <f t="shared" si="40"/>
        <v>44773</v>
      </c>
      <c r="S9" s="5">
        <f t="shared" si="40"/>
        <v>44804</v>
      </c>
      <c r="T9" s="5">
        <f t="shared" si="40"/>
        <v>44834</v>
      </c>
      <c r="U9" s="5">
        <f t="shared" si="40"/>
        <v>44865</v>
      </c>
      <c r="V9" s="5">
        <f t="shared" si="40"/>
        <v>44895</v>
      </c>
      <c r="W9" s="5">
        <f t="shared" si="40"/>
        <v>44926</v>
      </c>
      <c r="X9" s="5">
        <f t="shared" si="40"/>
        <v>44957</v>
      </c>
      <c r="Y9" s="5">
        <f t="shared" si="40"/>
        <v>44985</v>
      </c>
      <c r="Z9" s="5">
        <f t="shared" si="40"/>
        <v>45016</v>
      </c>
      <c r="AA9" s="5">
        <f t="shared" si="40"/>
        <v>45046</v>
      </c>
      <c r="AB9" s="5">
        <f t="shared" si="40"/>
        <v>45077</v>
      </c>
      <c r="AC9" s="5">
        <f t="shared" si="40"/>
        <v>45107</v>
      </c>
      <c r="AD9" s="5">
        <f t="shared" si="40"/>
        <v>45138</v>
      </c>
      <c r="AE9" s="5">
        <f t="shared" si="40"/>
        <v>45169</v>
      </c>
      <c r="AF9" s="5">
        <f t="shared" si="40"/>
        <v>45199</v>
      </c>
      <c r="AG9" s="5">
        <f t="shared" si="40"/>
        <v>45230</v>
      </c>
      <c r="AH9" s="5">
        <f t="shared" si="40"/>
        <v>45260</v>
      </c>
      <c r="AI9" s="5">
        <f t="shared" si="40"/>
        <v>45291</v>
      </c>
      <c r="AJ9" s="5">
        <f t="shared" si="40"/>
        <v>45322</v>
      </c>
      <c r="AK9" s="5">
        <f t="shared" si="40"/>
        <v>45351</v>
      </c>
      <c r="AL9" s="5">
        <f t="shared" si="40"/>
        <v>45382</v>
      </c>
      <c r="AM9" s="5">
        <f t="shared" si="40"/>
        <v>45412</v>
      </c>
      <c r="AN9" s="5">
        <f t="shared" si="40"/>
        <v>45443</v>
      </c>
      <c r="AO9" s="5">
        <f t="shared" si="40"/>
        <v>45473</v>
      </c>
      <c r="AP9" s="5">
        <f t="shared" si="40"/>
        <v>45504</v>
      </c>
      <c r="AQ9" s="5">
        <f t="shared" si="40"/>
        <v>45535</v>
      </c>
      <c r="AR9" s="5">
        <f t="shared" si="40"/>
        <v>45565</v>
      </c>
      <c r="AS9" s="5">
        <f t="shared" si="40"/>
        <v>45596</v>
      </c>
      <c r="AT9" s="5">
        <f t="shared" si="40"/>
        <v>45626</v>
      </c>
      <c r="AU9" s="5">
        <f t="shared" si="40"/>
        <v>45657</v>
      </c>
      <c r="AV9" s="5">
        <f t="shared" si="40"/>
        <v>45688</v>
      </c>
      <c r="AW9" s="5">
        <f t="shared" si="40"/>
        <v>45716</v>
      </c>
      <c r="AX9" s="5">
        <f t="shared" si="40"/>
        <v>45747</v>
      </c>
      <c r="AY9" s="5">
        <f t="shared" si="40"/>
        <v>45777</v>
      </c>
      <c r="AZ9" s="5">
        <f t="shared" si="40"/>
        <v>45808</v>
      </c>
      <c r="BA9" s="5">
        <f t="shared" si="40"/>
        <v>45838</v>
      </c>
      <c r="BB9" s="5">
        <f t="shared" si="40"/>
        <v>45869</v>
      </c>
      <c r="BC9" s="5">
        <f t="shared" si="40"/>
        <v>45900</v>
      </c>
      <c r="BD9" s="5">
        <f t="shared" si="40"/>
        <v>45930</v>
      </c>
      <c r="BE9" s="5">
        <f t="shared" si="40"/>
        <v>45961</v>
      </c>
      <c r="BF9" s="5">
        <f t="shared" si="40"/>
        <v>45991</v>
      </c>
      <c r="BG9" s="5">
        <f t="shared" si="40"/>
        <v>46022</v>
      </c>
      <c r="BH9" s="5">
        <f t="shared" si="40"/>
        <v>46053</v>
      </c>
      <c r="BI9" s="5">
        <f t="shared" si="40"/>
        <v>46081</v>
      </c>
      <c r="BJ9" s="5">
        <f t="shared" si="40"/>
        <v>46112</v>
      </c>
      <c r="BK9" s="5">
        <f t="shared" si="40"/>
        <v>46142</v>
      </c>
      <c r="BL9" s="5">
        <f t="shared" si="40"/>
        <v>46173</v>
      </c>
      <c r="BM9" s="5">
        <f t="shared" si="40"/>
        <v>46203</v>
      </c>
      <c r="BN9" s="5">
        <f t="shared" si="40"/>
        <v>46234</v>
      </c>
      <c r="BO9" s="5">
        <f t="shared" si="40"/>
        <v>46265</v>
      </c>
      <c r="BP9" s="5">
        <f t="shared" si="40"/>
        <v>46295</v>
      </c>
      <c r="BQ9" s="5">
        <f t="shared" si="40"/>
        <v>46326</v>
      </c>
      <c r="BR9" s="5">
        <f t="shared" si="40"/>
        <v>46356</v>
      </c>
      <c r="BS9" s="5">
        <f t="shared" si="40"/>
        <v>46387</v>
      </c>
      <c r="BT9" s="5">
        <f t="shared" ref="BT9:BY9" si="41">EDATE(BT8,1)-1</f>
        <v>46418</v>
      </c>
      <c r="BU9" s="5">
        <f t="shared" si="41"/>
        <v>46446</v>
      </c>
      <c r="BV9" s="5">
        <f t="shared" si="41"/>
        <v>46477</v>
      </c>
      <c r="BW9" s="5">
        <f t="shared" si="41"/>
        <v>46507</v>
      </c>
      <c r="BX9" s="5">
        <f t="shared" si="41"/>
        <v>46538</v>
      </c>
      <c r="BY9" s="5">
        <f t="shared" si="41"/>
        <v>46568</v>
      </c>
      <c r="BZ9" s="5">
        <f t="shared" ref="BZ9:DI9" si="42">EDATE(BZ8,1)-1</f>
        <v>46599</v>
      </c>
      <c r="CA9" s="5">
        <f t="shared" si="42"/>
        <v>46630</v>
      </c>
      <c r="CB9" s="5">
        <f t="shared" si="42"/>
        <v>46660</v>
      </c>
      <c r="CC9" s="5">
        <f t="shared" si="42"/>
        <v>46691</v>
      </c>
      <c r="CD9" s="5">
        <f t="shared" si="42"/>
        <v>46721</v>
      </c>
      <c r="CE9" s="5">
        <f t="shared" si="42"/>
        <v>46752</v>
      </c>
      <c r="CF9" s="5">
        <f t="shared" si="42"/>
        <v>46783</v>
      </c>
      <c r="CG9" s="5">
        <f t="shared" si="42"/>
        <v>46812</v>
      </c>
      <c r="CH9" s="5">
        <f t="shared" si="42"/>
        <v>46843</v>
      </c>
      <c r="CI9" s="5">
        <f t="shared" si="42"/>
        <v>46873</v>
      </c>
      <c r="CJ9" s="5">
        <f t="shared" si="42"/>
        <v>46904</v>
      </c>
      <c r="CK9" s="5">
        <f t="shared" si="42"/>
        <v>46934</v>
      </c>
      <c r="CL9" s="5">
        <f t="shared" si="42"/>
        <v>46965</v>
      </c>
      <c r="CM9" s="5">
        <f t="shared" si="42"/>
        <v>46996</v>
      </c>
      <c r="CN9" s="5">
        <f t="shared" si="42"/>
        <v>47026</v>
      </c>
      <c r="CO9" s="5">
        <f t="shared" si="42"/>
        <v>47057</v>
      </c>
      <c r="CP9" s="5">
        <f t="shared" si="42"/>
        <v>47087</v>
      </c>
      <c r="CQ9" s="5">
        <f t="shared" si="42"/>
        <v>47118</v>
      </c>
      <c r="CR9" s="5">
        <f t="shared" si="42"/>
        <v>47149</v>
      </c>
      <c r="CS9" s="5">
        <f t="shared" si="42"/>
        <v>47177</v>
      </c>
      <c r="CT9" s="5">
        <f t="shared" si="42"/>
        <v>47208</v>
      </c>
      <c r="CU9" s="5">
        <f t="shared" si="42"/>
        <v>47238</v>
      </c>
      <c r="CV9" s="5">
        <f t="shared" si="42"/>
        <v>47269</v>
      </c>
      <c r="CW9" s="5">
        <f t="shared" si="42"/>
        <v>47299</v>
      </c>
      <c r="CX9" s="5">
        <f t="shared" si="42"/>
        <v>47330</v>
      </c>
      <c r="CY9" s="5">
        <f t="shared" si="42"/>
        <v>47361</v>
      </c>
      <c r="CZ9" s="5">
        <f t="shared" si="42"/>
        <v>47391</v>
      </c>
      <c r="DA9" s="5">
        <f t="shared" si="42"/>
        <v>47422</v>
      </c>
      <c r="DB9" s="5">
        <f t="shared" si="42"/>
        <v>47452</v>
      </c>
      <c r="DC9" s="5">
        <f t="shared" si="42"/>
        <v>47483</v>
      </c>
      <c r="DD9" s="5">
        <f t="shared" si="42"/>
        <v>47514</v>
      </c>
      <c r="DE9" s="5">
        <f t="shared" si="42"/>
        <v>47542</v>
      </c>
      <c r="DF9" s="5">
        <f t="shared" si="42"/>
        <v>47573</v>
      </c>
      <c r="DG9" s="5">
        <f t="shared" si="42"/>
        <v>47603</v>
      </c>
      <c r="DH9" s="5">
        <f t="shared" si="42"/>
        <v>47634</v>
      </c>
      <c r="DI9" s="5">
        <f t="shared" si="42"/>
        <v>47664</v>
      </c>
    </row>
    <row r="10" spans="2:113" x14ac:dyDescent="0.3">
      <c r="C10" s="14" t="s">
        <v>198</v>
      </c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5"/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</row>
    <row r="11" spans="2:113" s="18" customFormat="1" x14ac:dyDescent="0.3">
      <c r="B11" s="51" t="s">
        <v>146</v>
      </c>
      <c r="D11" s="52">
        <f t="shared" ref="D11:D30" si="43">SUM(F11:DI11)</f>
        <v>589499.04491774947</v>
      </c>
      <c r="F11" s="52">
        <f t="shared" ref="F11:AK11" si="44">F12-F16</f>
        <v>-9325.0263799594668</v>
      </c>
      <c r="G11" s="52">
        <f t="shared" si="44"/>
        <v>-272.3156604814003</v>
      </c>
      <c r="H11" s="52">
        <f t="shared" si="44"/>
        <v>192.16361310689717</v>
      </c>
      <c r="I11" s="52">
        <f t="shared" si="44"/>
        <v>-2325.2160497762379</v>
      </c>
      <c r="J11" s="52">
        <f t="shared" si="44"/>
        <v>1131.6812314185918</v>
      </c>
      <c r="K11" s="52">
        <f t="shared" si="44"/>
        <v>1611.4246000836501</v>
      </c>
      <c r="L11" s="52">
        <f t="shared" si="44"/>
        <v>-892.07634292150033</v>
      </c>
      <c r="M11" s="52">
        <f t="shared" si="44"/>
        <v>2458.7432118371835</v>
      </c>
      <c r="N11" s="52">
        <f t="shared" si="44"/>
        <v>2847.9973811786185</v>
      </c>
      <c r="O11" s="52">
        <f t="shared" si="44"/>
        <v>520.58879028751653</v>
      </c>
      <c r="P11" s="52">
        <f t="shared" si="44"/>
        <v>3643.7683276569551</v>
      </c>
      <c r="Q11" s="52">
        <f t="shared" si="44"/>
        <v>4034.8459772308888</v>
      </c>
      <c r="R11" s="52">
        <f t="shared" si="44"/>
        <v>2811.2573292155157</v>
      </c>
      <c r="S11" s="52">
        <f t="shared" si="44"/>
        <v>5074.0545840515315</v>
      </c>
      <c r="T11" s="52">
        <f t="shared" si="44"/>
        <v>5133.1025437761436</v>
      </c>
      <c r="U11" s="52">
        <f t="shared" si="44"/>
        <v>2316.4659122728935</v>
      </c>
      <c r="V11" s="52">
        <f t="shared" si="44"/>
        <v>4762.2636778803826</v>
      </c>
      <c r="W11" s="52">
        <f t="shared" si="44"/>
        <v>4815.3206679177638</v>
      </c>
      <c r="X11" s="52">
        <f t="shared" si="44"/>
        <v>2475.6374699485987</v>
      </c>
      <c r="Y11" s="52">
        <f t="shared" si="44"/>
        <v>4921.9658074150047</v>
      </c>
      <c r="Z11" s="52">
        <f t="shared" si="44"/>
        <v>4975.5551378841683</v>
      </c>
      <c r="AA11" s="52">
        <f t="shared" si="44"/>
        <v>2636.4060548148937</v>
      </c>
      <c r="AB11" s="52">
        <f t="shared" si="44"/>
        <v>5083.2702875641899</v>
      </c>
      <c r="AC11" s="52">
        <f t="shared" si="44"/>
        <v>5137.3972996338471</v>
      </c>
      <c r="AD11" s="52">
        <f t="shared" si="44"/>
        <v>2798.7876904370751</v>
      </c>
      <c r="AE11" s="52">
        <f t="shared" si="44"/>
        <v>5246.1931953051062</v>
      </c>
      <c r="AF11" s="52">
        <f t="shared" si="44"/>
        <v>5300.8632837339028</v>
      </c>
      <c r="AG11" s="52">
        <f t="shared" si="44"/>
        <v>2962.7985611507956</v>
      </c>
      <c r="AH11" s="52">
        <f t="shared" si="44"/>
        <v>5410.7507689212071</v>
      </c>
      <c r="AI11" s="52">
        <f t="shared" si="44"/>
        <v>5465.9693825953873</v>
      </c>
      <c r="AJ11" s="52">
        <f t="shared" si="44"/>
        <v>3128.455013675155</v>
      </c>
      <c r="AK11" s="52">
        <f t="shared" si="44"/>
        <v>5576.9594096206511</v>
      </c>
      <c r="AL11" s="52">
        <f t="shared" ref="AL11:BQ11" si="45">AL12-AL16</f>
        <v>5632.7320520971643</v>
      </c>
      <c r="AM11" s="52">
        <f t="shared" si="45"/>
        <v>3295.7735587419374</v>
      </c>
      <c r="AN11" s="52">
        <f t="shared" si="45"/>
        <v>5744.8356831709862</v>
      </c>
      <c r="AO11" s="52">
        <f t="shared" si="45"/>
        <v>5801.1679132259978</v>
      </c>
      <c r="AP11" s="52">
        <f t="shared" si="45"/>
        <v>3464.7708727411991</v>
      </c>
      <c r="AQ11" s="52">
        <f t="shared" si="45"/>
        <v>5914.3963215502481</v>
      </c>
      <c r="AR11" s="52">
        <f t="shared" si="45"/>
        <v>5971.2937537331927</v>
      </c>
      <c r="AS11" s="52">
        <f t="shared" si="45"/>
        <v>3635.4637993834149</v>
      </c>
      <c r="AT11" s="52">
        <f t="shared" si="45"/>
        <v>6085.6582246146063</v>
      </c>
      <c r="AU11" s="52">
        <f t="shared" si="45"/>
        <v>6143.1265298077669</v>
      </c>
      <c r="AV11" s="52">
        <f t="shared" si="45"/>
        <v>3807.8693513782346</v>
      </c>
      <c r="AW11" s="52">
        <f t="shared" si="45"/>
        <v>6258.6384617827425</v>
      </c>
      <c r="AX11" s="52">
        <f t="shared" si="45"/>
        <v>6316.6833677664636</v>
      </c>
      <c r="AY11" s="52">
        <f t="shared" si="45"/>
        <v>3982.0047121301286</v>
      </c>
      <c r="AZ11" s="52">
        <f t="shared" si="45"/>
        <v>6433.354273737139</v>
      </c>
      <c r="BA11" s="52">
        <f t="shared" si="45"/>
        <v>6491.9815657607087</v>
      </c>
      <c r="BB11" s="52">
        <f t="shared" si="45"/>
        <v>4157.8872374510192</v>
      </c>
      <c r="BC11" s="52">
        <f t="shared" si="45"/>
        <v>6609.8230741424395</v>
      </c>
      <c r="BD11" s="52">
        <f t="shared" si="45"/>
        <v>6669.0385955006932</v>
      </c>
      <c r="BE11" s="52">
        <f t="shared" si="45"/>
        <v>4335.5344572901395</v>
      </c>
      <c r="BF11" s="52">
        <f t="shared" si="45"/>
        <v>6788.0624513810199</v>
      </c>
      <c r="BG11" s="52">
        <f t="shared" si="45"/>
        <v>6847.8721039967349</v>
      </c>
      <c r="BH11" s="52">
        <f t="shared" si="45"/>
        <v>4514.9640774811669</v>
      </c>
      <c r="BI11" s="52">
        <f t="shared" si="45"/>
        <v>6968.0901703060172</v>
      </c>
      <c r="BJ11" s="52">
        <f t="shared" si="45"/>
        <v>7028.499915318147</v>
      </c>
      <c r="BK11" s="52">
        <f t="shared" si="45"/>
        <v>4696.1939815069891</v>
      </c>
      <c r="BL11" s="52">
        <f t="shared" si="45"/>
        <v>7149.9241740119214</v>
      </c>
      <c r="BM11" s="52">
        <f t="shared" si="45"/>
        <v>7210.9400323697428</v>
      </c>
      <c r="BN11" s="52">
        <f t="shared" si="45"/>
        <v>4879.2422322820894</v>
      </c>
      <c r="BO11" s="52">
        <f t="shared" si="45"/>
        <v>7333.5825856229349</v>
      </c>
      <c r="BP11" s="52">
        <f t="shared" si="45"/>
        <v>7385.817386584773</v>
      </c>
      <c r="BQ11" s="52">
        <f t="shared" si="45"/>
        <v>5009.4950503203236</v>
      </c>
      <c r="BR11" s="52">
        <f t="shared" ref="BR11:CW11" si="46">BR12-BR16</f>
        <v>7426.6006908324143</v>
      </c>
      <c r="BS11" s="52">
        <f t="shared" si="46"/>
        <v>7450.8699153574125</v>
      </c>
      <c r="BT11" s="52">
        <f t="shared" si="46"/>
        <v>5082.3029926574964</v>
      </c>
      <c r="BU11" s="52">
        <f t="shared" si="46"/>
        <v>7499.6513263107136</v>
      </c>
      <c r="BV11" s="52">
        <f t="shared" si="46"/>
        <v>7524.1640529539691</v>
      </c>
      <c r="BW11" s="52">
        <f t="shared" si="46"/>
        <v>5155.8414440460328</v>
      </c>
      <c r="BX11" s="52">
        <f t="shared" si="46"/>
        <v>7573.4349058705448</v>
      </c>
      <c r="BY11" s="52">
        <f t="shared" si="46"/>
        <v>7598.1935777790059</v>
      </c>
      <c r="BZ11" s="52">
        <f t="shared" si="46"/>
        <v>5230.1177339538262</v>
      </c>
      <c r="CA11" s="52">
        <f t="shared" si="46"/>
        <v>7647.958783411359</v>
      </c>
      <c r="CB11" s="52">
        <f t="shared" si="46"/>
        <v>7672.9658682449535</v>
      </c>
      <c r="CC11" s="52">
        <f t="shared" si="46"/>
        <v>5305.1392653879957</v>
      </c>
      <c r="CD11" s="52">
        <f t="shared" si="46"/>
        <v>7723.2303866169823</v>
      </c>
      <c r="CE11" s="52">
        <f t="shared" si="46"/>
        <v>7748.4883767945885</v>
      </c>
      <c r="CF11" s="52">
        <f t="shared" si="46"/>
        <v>5380.9135156327975</v>
      </c>
      <c r="CG11" s="52">
        <f t="shared" si="46"/>
        <v>7799.2572176959238</v>
      </c>
      <c r="CH11" s="52">
        <f t="shared" si="46"/>
        <v>7824.7686306437954</v>
      </c>
      <c r="CI11" s="52">
        <f t="shared" si="46"/>
        <v>5457.4480369948342</v>
      </c>
      <c r="CJ11" s="52">
        <f t="shared" si="46"/>
        <v>7876.0468541291775</v>
      </c>
      <c r="CK11" s="52">
        <f t="shared" si="46"/>
        <v>7901.8142325318277</v>
      </c>
      <c r="CL11" s="52">
        <f t="shared" si="46"/>
        <v>5534.7504575558251</v>
      </c>
      <c r="CM11" s="52">
        <f t="shared" si="46"/>
        <v>7953.6069494253679</v>
      </c>
      <c r="CN11" s="52">
        <f t="shared" si="46"/>
        <v>7979.6328614790073</v>
      </c>
      <c r="CO11" s="52">
        <f t="shared" si="46"/>
        <v>5612.8284819328292</v>
      </c>
      <c r="CP11" s="52">
        <f t="shared" si="46"/>
        <v>8031.9452338836309</v>
      </c>
      <c r="CQ11" s="52">
        <f t="shared" si="46"/>
        <v>8058.2322735521248</v>
      </c>
      <c r="CR11" s="52">
        <f t="shared" si="46"/>
        <v>5691.6898920461899</v>
      </c>
      <c r="CS11" s="52">
        <f t="shared" si="46"/>
        <v>8111.0695153640318</v>
      </c>
      <c r="CT11" s="52">
        <f t="shared" si="46"/>
        <v>8137.6203026374715</v>
      </c>
      <c r="CU11" s="52">
        <f t="shared" si="46"/>
        <v>5771.342547895154</v>
      </c>
      <c r="CV11" s="52">
        <f t="shared" si="46"/>
        <v>8190.987680065824</v>
      </c>
      <c r="CW11" s="52">
        <f t="shared" si="46"/>
        <v>8217.8048612216026</v>
      </c>
      <c r="CX11" s="52">
        <f t="shared" ref="CX11:DI11" si="47">CX12-CX16</f>
        <v>5851.7943883412318</v>
      </c>
      <c r="CY11" s="52">
        <f t="shared" si="47"/>
        <v>8271.7076933133885</v>
      </c>
      <c r="CZ11" s="52">
        <f t="shared" si="47"/>
        <v>8298.7939411799907</v>
      </c>
      <c r="DA11" s="52">
        <f t="shared" si="47"/>
        <v>5933.053431899476</v>
      </c>
      <c r="DB11" s="52">
        <f t="shared" si="47"/>
        <v>8353.2376003501722</v>
      </c>
      <c r="DC11" s="52">
        <f t="shared" si="47"/>
        <v>8380.5956145735618</v>
      </c>
      <c r="DD11" s="52">
        <f t="shared" si="47"/>
        <v>6015.127777537693</v>
      </c>
      <c r="DE11" s="52">
        <f t="shared" si="47"/>
        <v>8435.5855271405089</v>
      </c>
      <c r="DF11" s="52">
        <f t="shared" si="47"/>
        <v>8463.2180344531989</v>
      </c>
      <c r="DG11" s="52">
        <f t="shared" si="47"/>
        <v>6098.0256054836027</v>
      </c>
      <c r="DH11" s="52">
        <f t="shared" si="47"/>
        <v>8518.7596811795629</v>
      </c>
      <c r="DI11" s="52">
        <f t="shared" si="47"/>
        <v>8483.6560127284083</v>
      </c>
    </row>
    <row r="12" spans="2:113" x14ac:dyDescent="0.3">
      <c r="B12" s="46" t="s">
        <v>148</v>
      </c>
      <c r="C12" s="42"/>
      <c r="D12" s="43">
        <f t="shared" si="43"/>
        <v>1688585.3937227861</v>
      </c>
      <c r="E12" s="42"/>
      <c r="F12" s="43">
        <f>F13</f>
        <v>7551.0632189481967</v>
      </c>
      <c r="G12" s="43">
        <f t="shared" ref="G12:BR12" si="48">G13</f>
        <v>8106.399504848293</v>
      </c>
      <c r="H12" s="43">
        <f t="shared" si="48"/>
        <v>8649.3554978169323</v>
      </c>
      <c r="I12" s="43">
        <f t="shared" si="48"/>
        <v>9210.2393173341006</v>
      </c>
      <c r="J12" s="43">
        <f t="shared" si="48"/>
        <v>9760.3200733602807</v>
      </c>
      <c r="K12" s="43">
        <f t="shared" si="48"/>
        <v>10328.460037388693</v>
      </c>
      <c r="L12" s="43">
        <f t="shared" si="48"/>
        <v>10901.69831153248</v>
      </c>
      <c r="M12" s="43">
        <f t="shared" si="48"/>
        <v>11430.598360064776</v>
      </c>
      <c r="N12" s="43">
        <f t="shared" si="48"/>
        <v>12006.822577015821</v>
      </c>
      <c r="O12" s="43">
        <f t="shared" si="48"/>
        <v>12574.939511447323</v>
      </c>
      <c r="P12" s="43">
        <f t="shared" si="48"/>
        <v>13161.448010098338</v>
      </c>
      <c r="Q12" s="43">
        <f t="shared" si="48"/>
        <v>13736.940191636751</v>
      </c>
      <c r="R12" s="43">
        <f t="shared" si="48"/>
        <v>13826.163365376608</v>
      </c>
      <c r="S12" s="43">
        <f t="shared" si="48"/>
        <v>13872.250576594532</v>
      </c>
      <c r="T12" s="43">
        <f t="shared" si="48"/>
        <v>13918.491411849845</v>
      </c>
      <c r="U12" s="43">
        <f t="shared" si="48"/>
        <v>13964.886383222678</v>
      </c>
      <c r="V12" s="43">
        <f t="shared" si="48"/>
        <v>14011.43600450009</v>
      </c>
      <c r="W12" s="43">
        <f t="shared" si="48"/>
        <v>14058.140791181757</v>
      </c>
      <c r="X12" s="43">
        <f t="shared" si="48"/>
        <v>14105.001260485697</v>
      </c>
      <c r="Y12" s="43">
        <f t="shared" si="48"/>
        <v>14152.017931353981</v>
      </c>
      <c r="Z12" s="43">
        <f t="shared" si="48"/>
        <v>14199.191324458498</v>
      </c>
      <c r="AA12" s="43">
        <f t="shared" si="48"/>
        <v>14246.521962206694</v>
      </c>
      <c r="AB12" s="43">
        <f t="shared" si="48"/>
        <v>14294.010368747386</v>
      </c>
      <c r="AC12" s="43">
        <f t="shared" si="48"/>
        <v>14341.657069976542</v>
      </c>
      <c r="AD12" s="43">
        <f t="shared" si="48"/>
        <v>14389.462593543132</v>
      </c>
      <c r="AE12" s="43">
        <f t="shared" si="48"/>
        <v>14437.427468854943</v>
      </c>
      <c r="AF12" s="43">
        <f t="shared" si="48"/>
        <v>14485.552227084459</v>
      </c>
      <c r="AG12" s="43">
        <f t="shared" si="48"/>
        <v>14533.837401174744</v>
      </c>
      <c r="AH12" s="43">
        <f t="shared" si="48"/>
        <v>14582.283525845327</v>
      </c>
      <c r="AI12" s="43">
        <f t="shared" si="48"/>
        <v>14630.891137598144</v>
      </c>
      <c r="AJ12" s="43">
        <f t="shared" si="48"/>
        <v>14679.660774723476</v>
      </c>
      <c r="AK12" s="43">
        <f t="shared" si="48"/>
        <v>14728.592977305889</v>
      </c>
      <c r="AL12" s="43">
        <f t="shared" si="48"/>
        <v>14777.688287230243</v>
      </c>
      <c r="AM12" s="43">
        <f t="shared" si="48"/>
        <v>14826.94724818768</v>
      </c>
      <c r="AN12" s="43">
        <f t="shared" si="48"/>
        <v>14876.37040568164</v>
      </c>
      <c r="AO12" s="43">
        <f t="shared" si="48"/>
        <v>14925.95830703391</v>
      </c>
      <c r="AP12" s="43">
        <f t="shared" si="48"/>
        <v>14975.711501390693</v>
      </c>
      <c r="AQ12" s="43">
        <f t="shared" si="48"/>
        <v>15025.630539728663</v>
      </c>
      <c r="AR12" s="43">
        <f t="shared" si="48"/>
        <v>15075.715974861092</v>
      </c>
      <c r="AS12" s="43">
        <f t="shared" si="48"/>
        <v>15125.968361443964</v>
      </c>
      <c r="AT12" s="43">
        <f t="shared" si="48"/>
        <v>15176.388255982112</v>
      </c>
      <c r="AU12" s="43">
        <f t="shared" si="48"/>
        <v>15226.976216835386</v>
      </c>
      <c r="AV12" s="43">
        <f t="shared" si="48"/>
        <v>15277.732804224839</v>
      </c>
      <c r="AW12" s="43">
        <f t="shared" si="48"/>
        <v>15328.658580238922</v>
      </c>
      <c r="AX12" s="43">
        <f t="shared" si="48"/>
        <v>15379.754108839721</v>
      </c>
      <c r="AY12" s="43">
        <f t="shared" si="48"/>
        <v>15431.019955869186</v>
      </c>
      <c r="AZ12" s="43">
        <f t="shared" si="48"/>
        <v>15482.456689055416</v>
      </c>
      <c r="BA12" s="43">
        <f t="shared" si="48"/>
        <v>15534.064878018935</v>
      </c>
      <c r="BB12" s="43">
        <f t="shared" si="48"/>
        <v>15585.845094278999</v>
      </c>
      <c r="BC12" s="43">
        <f t="shared" si="48"/>
        <v>15637.797911259931</v>
      </c>
      <c r="BD12" s="43">
        <f t="shared" si="48"/>
        <v>15689.923904297464</v>
      </c>
      <c r="BE12" s="43">
        <f t="shared" si="48"/>
        <v>15742.223650645125</v>
      </c>
      <c r="BF12" s="43">
        <f t="shared" si="48"/>
        <v>15794.697729480609</v>
      </c>
      <c r="BG12" s="43">
        <f t="shared" si="48"/>
        <v>15847.346721912212</v>
      </c>
      <c r="BH12" s="43">
        <f t="shared" si="48"/>
        <v>15900.171210985252</v>
      </c>
      <c r="BI12" s="43">
        <f t="shared" si="48"/>
        <v>15953.171781688539</v>
      </c>
      <c r="BJ12" s="43">
        <f t="shared" si="48"/>
        <v>16006.349020960832</v>
      </c>
      <c r="BK12" s="43">
        <f t="shared" si="48"/>
        <v>16059.703517697371</v>
      </c>
      <c r="BL12" s="43">
        <f t="shared" si="48"/>
        <v>16113.235862756364</v>
      </c>
      <c r="BM12" s="43">
        <f t="shared" si="48"/>
        <v>16166.946648965555</v>
      </c>
      <c r="BN12" s="43">
        <f t="shared" si="48"/>
        <v>16220.836471128776</v>
      </c>
      <c r="BO12" s="43">
        <f t="shared" si="48"/>
        <v>16274.905926032538</v>
      </c>
      <c r="BP12" s="43">
        <f t="shared" si="48"/>
        <v>16329.155612452651</v>
      </c>
      <c r="BQ12" s="43">
        <f t="shared" si="48"/>
        <v>16383.586131160822</v>
      </c>
      <c r="BR12" s="43">
        <f t="shared" si="48"/>
        <v>16438.198084931359</v>
      </c>
      <c r="BS12" s="43">
        <f t="shared" ref="BS12:DI12" si="49">BS13</f>
        <v>16492.992078547799</v>
      </c>
      <c r="BT12" s="43">
        <f t="shared" si="49"/>
        <v>16547.968718809625</v>
      </c>
      <c r="BU12" s="43">
        <f t="shared" si="49"/>
        <v>16603.128614538997</v>
      </c>
      <c r="BV12" s="43">
        <f t="shared" si="49"/>
        <v>16658.472376587459</v>
      </c>
      <c r="BW12" s="43">
        <f t="shared" si="49"/>
        <v>16714.000617842747</v>
      </c>
      <c r="BX12" s="43">
        <f t="shared" si="49"/>
        <v>16769.713953235558</v>
      </c>
      <c r="BY12" s="43">
        <f t="shared" si="49"/>
        <v>16825.612999746347</v>
      </c>
      <c r="BZ12" s="43">
        <f t="shared" si="49"/>
        <v>16881.698376412169</v>
      </c>
      <c r="CA12" s="43">
        <f t="shared" si="49"/>
        <v>16937.970704333544</v>
      </c>
      <c r="CB12" s="43">
        <f t="shared" si="49"/>
        <v>16994.430606681322</v>
      </c>
      <c r="CC12" s="43">
        <f t="shared" si="49"/>
        <v>17051.078708703601</v>
      </c>
      <c r="CD12" s="43">
        <f t="shared" si="49"/>
        <v>17107.915637732614</v>
      </c>
      <c r="CE12" s="43">
        <f t="shared" si="49"/>
        <v>17164.942023191721</v>
      </c>
      <c r="CF12" s="43">
        <f t="shared" si="49"/>
        <v>17222.158496602366</v>
      </c>
      <c r="CG12" s="43">
        <f t="shared" si="49"/>
        <v>17279.565691591037</v>
      </c>
      <c r="CH12" s="43">
        <f t="shared" si="49"/>
        <v>17337.164243896339</v>
      </c>
      <c r="CI12" s="43">
        <f t="shared" si="49"/>
        <v>17394.954791375996</v>
      </c>
      <c r="CJ12" s="43">
        <f t="shared" si="49"/>
        <v>17452.937974013919</v>
      </c>
      <c r="CK12" s="43">
        <f t="shared" si="49"/>
        <v>17511.114433927298</v>
      </c>
      <c r="CL12" s="43">
        <f t="shared" si="49"/>
        <v>17569.484815373726</v>
      </c>
      <c r="CM12" s="43">
        <f t="shared" si="49"/>
        <v>17628.049764758303</v>
      </c>
      <c r="CN12" s="43">
        <f t="shared" si="49"/>
        <v>17686.809930640833</v>
      </c>
      <c r="CO12" s="43">
        <f t="shared" si="49"/>
        <v>17745.765963742972</v>
      </c>
      <c r="CP12" s="43">
        <f t="shared" si="49"/>
        <v>17804.918516955451</v>
      </c>
      <c r="CQ12" s="43">
        <f t="shared" si="49"/>
        <v>17864.268245345302</v>
      </c>
      <c r="CR12" s="43">
        <f t="shared" si="49"/>
        <v>17923.815806163122</v>
      </c>
      <c r="CS12" s="43">
        <f t="shared" si="49"/>
        <v>17983.561858850331</v>
      </c>
      <c r="CT12" s="43">
        <f t="shared" si="49"/>
        <v>18043.507065046502</v>
      </c>
      <c r="CU12" s="43">
        <f t="shared" si="49"/>
        <v>18103.65208859666</v>
      </c>
      <c r="CV12" s="43">
        <f t="shared" si="49"/>
        <v>18163.997595558649</v>
      </c>
      <c r="CW12" s="43">
        <f t="shared" si="49"/>
        <v>18224.544254210516</v>
      </c>
      <c r="CX12" s="43">
        <f t="shared" si="49"/>
        <v>18285.292735057887</v>
      </c>
      <c r="CY12" s="43">
        <f t="shared" si="49"/>
        <v>18346.243710841412</v>
      </c>
      <c r="CZ12" s="43">
        <f t="shared" si="49"/>
        <v>18407.397856544216</v>
      </c>
      <c r="DA12" s="43">
        <f t="shared" si="49"/>
        <v>18468.755849399364</v>
      </c>
      <c r="DB12" s="43">
        <f t="shared" si="49"/>
        <v>18530.318368897366</v>
      </c>
      <c r="DC12" s="43">
        <f t="shared" si="49"/>
        <v>18592.086096793693</v>
      </c>
      <c r="DD12" s="43">
        <f t="shared" si="49"/>
        <v>18654.059717116339</v>
      </c>
      <c r="DE12" s="43">
        <f t="shared" si="49"/>
        <v>18716.239916173396</v>
      </c>
      <c r="DF12" s="43">
        <f t="shared" si="49"/>
        <v>18778.62738256064</v>
      </c>
      <c r="DG12" s="43">
        <f t="shared" si="49"/>
        <v>18841.222807169179</v>
      </c>
      <c r="DH12" s="43">
        <f t="shared" si="49"/>
        <v>18904.026883193073</v>
      </c>
      <c r="DI12" s="43">
        <f t="shared" si="49"/>
        <v>18904.026883193073</v>
      </c>
    </row>
    <row r="13" spans="2:113" x14ac:dyDescent="0.3">
      <c r="B13" s="6" t="s">
        <v>78</v>
      </c>
      <c r="D13" s="27">
        <f t="shared" si="43"/>
        <v>1688585.3937227861</v>
      </c>
      <c r="E13" s="41"/>
      <c r="F13" s="41">
        <f t="shared" ref="F13:AK13" si="50">IF(F8=Start,F14-AdvancesPayments+G14*PrepaymentPercentage,IF(AND(F8&gt;Start,F9&lt;Finish),G14*PrepaymentPercentage+F14*(1-PrepaymentPercentage),IF(F9=Finish,E13,0)))</f>
        <v>7551.0632189481967</v>
      </c>
      <c r="G13" s="41">
        <f t="shared" si="50"/>
        <v>8106.399504848293</v>
      </c>
      <c r="H13" s="41">
        <f t="shared" si="50"/>
        <v>8649.3554978169323</v>
      </c>
      <c r="I13" s="41">
        <f t="shared" si="50"/>
        <v>9210.2393173341006</v>
      </c>
      <c r="J13" s="41">
        <f t="shared" si="50"/>
        <v>9760.3200733602807</v>
      </c>
      <c r="K13" s="41">
        <f t="shared" si="50"/>
        <v>10328.460037388693</v>
      </c>
      <c r="L13" s="41">
        <f t="shared" si="50"/>
        <v>10901.69831153248</v>
      </c>
      <c r="M13" s="41">
        <f t="shared" si="50"/>
        <v>11430.598360064776</v>
      </c>
      <c r="N13" s="41">
        <f t="shared" si="50"/>
        <v>12006.822577015821</v>
      </c>
      <c r="O13" s="41">
        <f t="shared" si="50"/>
        <v>12574.939511447323</v>
      </c>
      <c r="P13" s="41">
        <f t="shared" si="50"/>
        <v>13161.448010098338</v>
      </c>
      <c r="Q13" s="41">
        <f t="shared" si="50"/>
        <v>13736.940191636751</v>
      </c>
      <c r="R13" s="41">
        <f t="shared" si="50"/>
        <v>13826.163365376608</v>
      </c>
      <c r="S13" s="41">
        <f t="shared" si="50"/>
        <v>13872.250576594532</v>
      </c>
      <c r="T13" s="41">
        <f t="shared" si="50"/>
        <v>13918.491411849845</v>
      </c>
      <c r="U13" s="41">
        <f t="shared" si="50"/>
        <v>13964.886383222678</v>
      </c>
      <c r="V13" s="41">
        <f t="shared" si="50"/>
        <v>14011.43600450009</v>
      </c>
      <c r="W13" s="41">
        <f t="shared" si="50"/>
        <v>14058.140791181757</v>
      </c>
      <c r="X13" s="41">
        <f t="shared" si="50"/>
        <v>14105.001260485697</v>
      </c>
      <c r="Y13" s="41">
        <f t="shared" si="50"/>
        <v>14152.017931353981</v>
      </c>
      <c r="Z13" s="41">
        <f t="shared" si="50"/>
        <v>14199.191324458498</v>
      </c>
      <c r="AA13" s="41">
        <f t="shared" si="50"/>
        <v>14246.521962206694</v>
      </c>
      <c r="AB13" s="41">
        <f t="shared" si="50"/>
        <v>14294.010368747386</v>
      </c>
      <c r="AC13" s="41">
        <f t="shared" si="50"/>
        <v>14341.657069976542</v>
      </c>
      <c r="AD13" s="41">
        <f t="shared" si="50"/>
        <v>14389.462593543132</v>
      </c>
      <c r="AE13" s="41">
        <f t="shared" si="50"/>
        <v>14437.427468854943</v>
      </c>
      <c r="AF13" s="41">
        <f t="shared" si="50"/>
        <v>14485.552227084459</v>
      </c>
      <c r="AG13" s="41">
        <f t="shared" si="50"/>
        <v>14533.837401174744</v>
      </c>
      <c r="AH13" s="41">
        <f t="shared" si="50"/>
        <v>14582.283525845327</v>
      </c>
      <c r="AI13" s="41">
        <f t="shared" si="50"/>
        <v>14630.891137598144</v>
      </c>
      <c r="AJ13" s="41">
        <f t="shared" si="50"/>
        <v>14679.660774723476</v>
      </c>
      <c r="AK13" s="41">
        <f t="shared" si="50"/>
        <v>14728.592977305889</v>
      </c>
      <c r="AL13" s="41">
        <f t="shared" ref="AL13:BQ13" si="51">IF(AL8=Start,AL14-AdvancesPayments+AM14*PrepaymentPercentage,IF(AND(AL8&gt;Start,AL9&lt;Finish),AM14*PrepaymentPercentage+AL14*(1-PrepaymentPercentage),IF(AL9=Finish,AK13,0)))</f>
        <v>14777.688287230243</v>
      </c>
      <c r="AM13" s="41">
        <f t="shared" si="51"/>
        <v>14826.94724818768</v>
      </c>
      <c r="AN13" s="41">
        <f t="shared" si="51"/>
        <v>14876.37040568164</v>
      </c>
      <c r="AO13" s="41">
        <f t="shared" si="51"/>
        <v>14925.95830703391</v>
      </c>
      <c r="AP13" s="41">
        <f t="shared" si="51"/>
        <v>14975.711501390693</v>
      </c>
      <c r="AQ13" s="41">
        <f t="shared" si="51"/>
        <v>15025.630539728663</v>
      </c>
      <c r="AR13" s="41">
        <f t="shared" si="51"/>
        <v>15075.715974861092</v>
      </c>
      <c r="AS13" s="41">
        <f t="shared" si="51"/>
        <v>15125.968361443964</v>
      </c>
      <c r="AT13" s="41">
        <f t="shared" si="51"/>
        <v>15176.388255982112</v>
      </c>
      <c r="AU13" s="41">
        <f t="shared" si="51"/>
        <v>15226.976216835386</v>
      </c>
      <c r="AV13" s="41">
        <f t="shared" si="51"/>
        <v>15277.732804224839</v>
      </c>
      <c r="AW13" s="41">
        <f t="shared" si="51"/>
        <v>15328.658580238922</v>
      </c>
      <c r="AX13" s="41">
        <f t="shared" si="51"/>
        <v>15379.754108839721</v>
      </c>
      <c r="AY13" s="41">
        <f t="shared" si="51"/>
        <v>15431.019955869186</v>
      </c>
      <c r="AZ13" s="41">
        <f t="shared" si="51"/>
        <v>15482.456689055416</v>
      </c>
      <c r="BA13" s="41">
        <f t="shared" si="51"/>
        <v>15534.064878018935</v>
      </c>
      <c r="BB13" s="41">
        <f t="shared" si="51"/>
        <v>15585.845094278999</v>
      </c>
      <c r="BC13" s="41">
        <f t="shared" si="51"/>
        <v>15637.797911259931</v>
      </c>
      <c r="BD13" s="41">
        <f t="shared" si="51"/>
        <v>15689.923904297464</v>
      </c>
      <c r="BE13" s="41">
        <f t="shared" si="51"/>
        <v>15742.223650645125</v>
      </c>
      <c r="BF13" s="41">
        <f t="shared" si="51"/>
        <v>15794.697729480609</v>
      </c>
      <c r="BG13" s="41">
        <f t="shared" si="51"/>
        <v>15847.346721912212</v>
      </c>
      <c r="BH13" s="41">
        <f t="shared" si="51"/>
        <v>15900.171210985252</v>
      </c>
      <c r="BI13" s="41">
        <f t="shared" si="51"/>
        <v>15953.171781688539</v>
      </c>
      <c r="BJ13" s="41">
        <f t="shared" si="51"/>
        <v>16006.349020960832</v>
      </c>
      <c r="BK13" s="41">
        <f t="shared" si="51"/>
        <v>16059.703517697371</v>
      </c>
      <c r="BL13" s="41">
        <f t="shared" si="51"/>
        <v>16113.235862756364</v>
      </c>
      <c r="BM13" s="41">
        <f t="shared" si="51"/>
        <v>16166.946648965555</v>
      </c>
      <c r="BN13" s="41">
        <f t="shared" si="51"/>
        <v>16220.836471128776</v>
      </c>
      <c r="BO13" s="41">
        <f t="shared" si="51"/>
        <v>16274.905926032538</v>
      </c>
      <c r="BP13" s="41">
        <f t="shared" si="51"/>
        <v>16329.155612452651</v>
      </c>
      <c r="BQ13" s="41">
        <f t="shared" si="51"/>
        <v>16383.586131160822</v>
      </c>
      <c r="BR13" s="41">
        <f t="shared" ref="BR13:CW13" si="52">IF(BR8=Start,BR14-AdvancesPayments+BS14*PrepaymentPercentage,IF(AND(BR8&gt;Start,BR9&lt;Finish),BS14*PrepaymentPercentage+BR14*(1-PrepaymentPercentage),IF(BR9=Finish,BQ13,0)))</f>
        <v>16438.198084931359</v>
      </c>
      <c r="BS13" s="41">
        <f t="shared" si="52"/>
        <v>16492.992078547799</v>
      </c>
      <c r="BT13" s="41">
        <f t="shared" si="52"/>
        <v>16547.968718809625</v>
      </c>
      <c r="BU13" s="41">
        <f t="shared" si="52"/>
        <v>16603.128614538997</v>
      </c>
      <c r="BV13" s="41">
        <f t="shared" si="52"/>
        <v>16658.472376587459</v>
      </c>
      <c r="BW13" s="41">
        <f t="shared" si="52"/>
        <v>16714.000617842747</v>
      </c>
      <c r="BX13" s="41">
        <f t="shared" si="52"/>
        <v>16769.713953235558</v>
      </c>
      <c r="BY13" s="41">
        <f t="shared" si="52"/>
        <v>16825.612999746347</v>
      </c>
      <c r="BZ13" s="41">
        <f t="shared" si="52"/>
        <v>16881.698376412169</v>
      </c>
      <c r="CA13" s="41">
        <f t="shared" si="52"/>
        <v>16937.970704333544</v>
      </c>
      <c r="CB13" s="41">
        <f t="shared" si="52"/>
        <v>16994.430606681322</v>
      </c>
      <c r="CC13" s="41">
        <f t="shared" si="52"/>
        <v>17051.078708703601</v>
      </c>
      <c r="CD13" s="41">
        <f t="shared" si="52"/>
        <v>17107.915637732614</v>
      </c>
      <c r="CE13" s="41">
        <f t="shared" si="52"/>
        <v>17164.942023191721</v>
      </c>
      <c r="CF13" s="41">
        <f t="shared" si="52"/>
        <v>17222.158496602366</v>
      </c>
      <c r="CG13" s="41">
        <f t="shared" si="52"/>
        <v>17279.565691591037</v>
      </c>
      <c r="CH13" s="41">
        <f t="shared" si="52"/>
        <v>17337.164243896339</v>
      </c>
      <c r="CI13" s="41">
        <f t="shared" si="52"/>
        <v>17394.954791375996</v>
      </c>
      <c r="CJ13" s="41">
        <f t="shared" si="52"/>
        <v>17452.937974013919</v>
      </c>
      <c r="CK13" s="41">
        <f t="shared" si="52"/>
        <v>17511.114433927298</v>
      </c>
      <c r="CL13" s="41">
        <f t="shared" si="52"/>
        <v>17569.484815373726</v>
      </c>
      <c r="CM13" s="41">
        <f t="shared" si="52"/>
        <v>17628.049764758303</v>
      </c>
      <c r="CN13" s="41">
        <f t="shared" si="52"/>
        <v>17686.809930640833</v>
      </c>
      <c r="CO13" s="41">
        <f t="shared" si="52"/>
        <v>17745.765963742972</v>
      </c>
      <c r="CP13" s="41">
        <f t="shared" si="52"/>
        <v>17804.918516955451</v>
      </c>
      <c r="CQ13" s="41">
        <f t="shared" si="52"/>
        <v>17864.268245345302</v>
      </c>
      <c r="CR13" s="41">
        <f t="shared" si="52"/>
        <v>17923.815806163122</v>
      </c>
      <c r="CS13" s="41">
        <f t="shared" si="52"/>
        <v>17983.561858850331</v>
      </c>
      <c r="CT13" s="41">
        <f t="shared" si="52"/>
        <v>18043.507065046502</v>
      </c>
      <c r="CU13" s="41">
        <f t="shared" si="52"/>
        <v>18103.65208859666</v>
      </c>
      <c r="CV13" s="41">
        <f t="shared" si="52"/>
        <v>18163.997595558649</v>
      </c>
      <c r="CW13" s="41">
        <f t="shared" si="52"/>
        <v>18224.544254210516</v>
      </c>
      <c r="CX13" s="41">
        <f t="shared" ref="CX13:DH13" si="53">IF(CX8=Start,CX14-AdvancesPayments+CY14*PrepaymentPercentage,IF(AND(CX8&gt;Start,CX9&lt;Finish),CY14*PrepaymentPercentage+CX14*(1-PrepaymentPercentage),IF(CX9=Finish,CW13,0)))</f>
        <v>18285.292735057887</v>
      </c>
      <c r="CY13" s="41">
        <f t="shared" si="53"/>
        <v>18346.243710841412</v>
      </c>
      <c r="CZ13" s="41">
        <f t="shared" si="53"/>
        <v>18407.397856544216</v>
      </c>
      <c r="DA13" s="41">
        <f t="shared" si="53"/>
        <v>18468.755849399364</v>
      </c>
      <c r="DB13" s="41">
        <f t="shared" si="53"/>
        <v>18530.318368897366</v>
      </c>
      <c r="DC13" s="41">
        <f t="shared" si="53"/>
        <v>18592.086096793693</v>
      </c>
      <c r="DD13" s="41">
        <f t="shared" si="53"/>
        <v>18654.059717116339</v>
      </c>
      <c r="DE13" s="41">
        <f t="shared" si="53"/>
        <v>18716.239916173396</v>
      </c>
      <c r="DF13" s="41">
        <f t="shared" si="53"/>
        <v>18778.62738256064</v>
      </c>
      <c r="DG13" s="41">
        <f t="shared" si="53"/>
        <v>18841.222807169179</v>
      </c>
      <c r="DH13" s="41">
        <f t="shared" si="53"/>
        <v>18904.026883193073</v>
      </c>
      <c r="DI13" s="41">
        <f>IF(DI8=Start,DI14-AdvancesPayments+#REF!*PrepaymentPercentage,IF(AND(DI8&gt;Start,DI9&lt;Finish),#REF!*PrepaymentPercentage+DI14*(1-PrepaymentPercentage),IF(DI9=Finish,DH13,0)))</f>
        <v>18904.026883193073</v>
      </c>
    </row>
    <row r="14" spans="2:113" s="62" customFormat="1" outlineLevel="1" x14ac:dyDescent="0.3">
      <c r="B14" s="61" t="s">
        <v>168</v>
      </c>
      <c r="D14" s="63">
        <f t="shared" si="43"/>
        <v>1677698.0280212287</v>
      </c>
      <c r="E14" s="63"/>
      <c r="F14" s="63">
        <f t="shared" ref="F14:AK14" si="54">RevenueWithVatHistory</f>
        <v>7044.7160000000003</v>
      </c>
      <c r="G14" s="63">
        <f t="shared" si="54"/>
        <v>7596.500619701771</v>
      </c>
      <c r="H14" s="63">
        <f t="shared" si="54"/>
        <v>8151.885528912665</v>
      </c>
      <c r="I14" s="63">
        <f t="shared" si="54"/>
        <v>8693.7327883661746</v>
      </c>
      <c r="J14" s="63">
        <f t="shared" si="54"/>
        <v>9256.3147826673685</v>
      </c>
      <c r="K14" s="63">
        <f t="shared" si="54"/>
        <v>9805.280353621416</v>
      </c>
      <c r="L14" s="63">
        <f t="shared" si="54"/>
        <v>10375.130787961116</v>
      </c>
      <c r="M14" s="63">
        <f t="shared" si="54"/>
        <v>10948.671277636928</v>
      </c>
      <c r="N14" s="63">
        <f t="shared" si="54"/>
        <v>11473.589132367184</v>
      </c>
      <c r="O14" s="63">
        <f t="shared" si="54"/>
        <v>12054.390183068237</v>
      </c>
      <c r="P14" s="63">
        <f t="shared" si="54"/>
        <v>12621.375618618924</v>
      </c>
      <c r="Q14" s="63">
        <f t="shared" si="54"/>
        <v>13209.625691028699</v>
      </c>
      <c r="R14" s="63">
        <f t="shared" si="54"/>
        <v>13783.979792551467</v>
      </c>
      <c r="S14" s="63">
        <f t="shared" si="54"/>
        <v>13829.926391859974</v>
      </c>
      <c r="T14" s="63">
        <f t="shared" si="54"/>
        <v>13876.026146499509</v>
      </c>
      <c r="U14" s="63">
        <f t="shared" si="54"/>
        <v>13922.27956698784</v>
      </c>
      <c r="V14" s="63">
        <f t="shared" si="54"/>
        <v>13968.687165544467</v>
      </c>
      <c r="W14" s="63">
        <f t="shared" si="54"/>
        <v>14015.249456096284</v>
      </c>
      <c r="X14" s="63">
        <f t="shared" si="54"/>
        <v>14061.966954283271</v>
      </c>
      <c r="Y14" s="63">
        <f t="shared" si="54"/>
        <v>14108.840177464215</v>
      </c>
      <c r="Z14" s="63">
        <f t="shared" si="54"/>
        <v>14155.86964472243</v>
      </c>
      <c r="AA14" s="63">
        <f t="shared" si="54"/>
        <v>14203.055876871507</v>
      </c>
      <c r="AB14" s="63">
        <f t="shared" si="54"/>
        <v>14250.39939646108</v>
      </c>
      <c r="AC14" s="63">
        <f t="shared" si="54"/>
        <v>14297.900727782619</v>
      </c>
      <c r="AD14" s="63">
        <f t="shared" si="54"/>
        <v>14345.560396875228</v>
      </c>
      <c r="AE14" s="63">
        <f t="shared" si="54"/>
        <v>14393.378931531479</v>
      </c>
      <c r="AF14" s="63">
        <f t="shared" si="54"/>
        <v>14441.356861303251</v>
      </c>
      <c r="AG14" s="63">
        <f t="shared" si="54"/>
        <v>14489.494717507596</v>
      </c>
      <c r="AH14" s="63">
        <f t="shared" si="54"/>
        <v>14537.793033232623</v>
      </c>
      <c r="AI14" s="63">
        <f t="shared" si="54"/>
        <v>14586.252343343398</v>
      </c>
      <c r="AJ14" s="63">
        <f t="shared" si="54"/>
        <v>14634.873184487878</v>
      </c>
      <c r="AK14" s="63">
        <f t="shared" si="54"/>
        <v>14683.65609510284</v>
      </c>
      <c r="AL14" s="63">
        <f t="shared" ref="AL14:BQ14" si="55">RevenueWithVatHistory</f>
        <v>14732.601615419851</v>
      </c>
      <c r="AM14" s="63">
        <f t="shared" si="55"/>
        <v>14781.710287471255</v>
      </c>
      <c r="AN14" s="63">
        <f t="shared" si="55"/>
        <v>14830.982655096159</v>
      </c>
      <c r="AO14" s="63">
        <f t="shared" si="55"/>
        <v>14880.419263946482</v>
      </c>
      <c r="AP14" s="63">
        <f t="shared" si="55"/>
        <v>14930.020661492968</v>
      </c>
      <c r="AQ14" s="63">
        <f t="shared" si="55"/>
        <v>14979.787397031281</v>
      </c>
      <c r="AR14" s="63">
        <f t="shared" si="55"/>
        <v>15029.720021688052</v>
      </c>
      <c r="AS14" s="63">
        <f t="shared" si="55"/>
        <v>15079.819088427013</v>
      </c>
      <c r="AT14" s="63">
        <f t="shared" si="55"/>
        <v>15130.085152055104</v>
      </c>
      <c r="AU14" s="63">
        <f t="shared" si="55"/>
        <v>15180.518769228624</v>
      </c>
      <c r="AV14" s="63">
        <f t="shared" si="55"/>
        <v>15231.120498459386</v>
      </c>
      <c r="AW14" s="63">
        <f t="shared" si="55"/>
        <v>15281.890900120918</v>
      </c>
      <c r="AX14" s="63">
        <f t="shared" si="55"/>
        <v>15332.830536454656</v>
      </c>
      <c r="AY14" s="63">
        <f t="shared" si="55"/>
        <v>15383.939971576172</v>
      </c>
      <c r="AZ14" s="63">
        <f t="shared" si="55"/>
        <v>15435.219771481425</v>
      </c>
      <c r="BA14" s="63">
        <f t="shared" si="55"/>
        <v>15486.670504053031</v>
      </c>
      <c r="BB14" s="63">
        <f t="shared" si="55"/>
        <v>15538.292739066541</v>
      </c>
      <c r="BC14" s="63">
        <f t="shared" si="55"/>
        <v>15590.087048196765</v>
      </c>
      <c r="BD14" s="63">
        <f t="shared" si="55"/>
        <v>15642.054005024089</v>
      </c>
      <c r="BE14" s="63">
        <f t="shared" si="55"/>
        <v>15694.194185040837</v>
      </c>
      <c r="BF14" s="63">
        <f t="shared" si="55"/>
        <v>15746.50816565764</v>
      </c>
      <c r="BG14" s="63">
        <f t="shared" si="55"/>
        <v>15798.996526209834</v>
      </c>
      <c r="BH14" s="63">
        <f t="shared" si="55"/>
        <v>15851.659847963867</v>
      </c>
      <c r="BI14" s="63">
        <f t="shared" si="55"/>
        <v>15904.498714123747</v>
      </c>
      <c r="BJ14" s="63">
        <f t="shared" si="55"/>
        <v>15957.513709837494</v>
      </c>
      <c r="BK14" s="63">
        <f t="shared" si="55"/>
        <v>16010.705422203619</v>
      </c>
      <c r="BL14" s="63">
        <f t="shared" si="55"/>
        <v>16064.074440277633</v>
      </c>
      <c r="BM14" s="63">
        <f t="shared" si="55"/>
        <v>16117.62135507856</v>
      </c>
      <c r="BN14" s="63">
        <f t="shared" si="55"/>
        <v>16171.346759595492</v>
      </c>
      <c r="BO14" s="63">
        <f t="shared" si="55"/>
        <v>16225.251248794146</v>
      </c>
      <c r="BP14" s="63">
        <f t="shared" si="55"/>
        <v>16279.33541962346</v>
      </c>
      <c r="BQ14" s="63">
        <f t="shared" si="55"/>
        <v>16333.599871022207</v>
      </c>
      <c r="BR14" s="63">
        <f t="shared" ref="BR14:DI14" si="56">RevenueWithVatHistory</f>
        <v>16388.045203925612</v>
      </c>
      <c r="BS14" s="63">
        <f t="shared" si="56"/>
        <v>16442.672021272032</v>
      </c>
      <c r="BT14" s="63">
        <f t="shared" si="56"/>
        <v>16497.480928009609</v>
      </c>
      <c r="BU14" s="63">
        <f t="shared" si="56"/>
        <v>16552.472531102972</v>
      </c>
      <c r="BV14" s="63">
        <f t="shared" si="56"/>
        <v>16607.647439539985</v>
      </c>
      <c r="BW14" s="63">
        <f t="shared" si="56"/>
        <v>16663.006264338452</v>
      </c>
      <c r="BX14" s="63">
        <f t="shared" si="56"/>
        <v>16718.549618552912</v>
      </c>
      <c r="BY14" s="63">
        <f t="shared" si="56"/>
        <v>16774.278117281425</v>
      </c>
      <c r="BZ14" s="63">
        <f t="shared" si="56"/>
        <v>16830.192377672363</v>
      </c>
      <c r="CA14" s="63">
        <f t="shared" si="56"/>
        <v>16886.293018931272</v>
      </c>
      <c r="CB14" s="63">
        <f t="shared" si="56"/>
        <v>16942.580662327713</v>
      </c>
      <c r="CC14" s="63">
        <f t="shared" si="56"/>
        <v>16999.05593120214</v>
      </c>
      <c r="CD14" s="63">
        <f t="shared" si="56"/>
        <v>17055.719450972818</v>
      </c>
      <c r="CE14" s="63">
        <f t="shared" si="56"/>
        <v>17112.571849142729</v>
      </c>
      <c r="CF14" s="63">
        <f t="shared" si="56"/>
        <v>17169.613755306538</v>
      </c>
      <c r="CG14" s="63">
        <f t="shared" si="56"/>
        <v>17226.845801157564</v>
      </c>
      <c r="CH14" s="63">
        <f t="shared" si="56"/>
        <v>17284.268620494753</v>
      </c>
      <c r="CI14" s="63">
        <f t="shared" si="56"/>
        <v>17341.882849229736</v>
      </c>
      <c r="CJ14" s="63">
        <f t="shared" si="56"/>
        <v>17399.689125393837</v>
      </c>
      <c r="CK14" s="63">
        <f t="shared" si="56"/>
        <v>17457.688089145151</v>
      </c>
      <c r="CL14" s="63">
        <f t="shared" si="56"/>
        <v>17515.880382775635</v>
      </c>
      <c r="CM14" s="63">
        <f t="shared" si="56"/>
        <v>17574.266650718222</v>
      </c>
      <c r="CN14" s="63">
        <f t="shared" si="56"/>
        <v>17632.84753955395</v>
      </c>
      <c r="CO14" s="63">
        <f t="shared" si="56"/>
        <v>17691.623698019132</v>
      </c>
      <c r="CP14" s="63">
        <f t="shared" si="56"/>
        <v>17750.595777012531</v>
      </c>
      <c r="CQ14" s="63">
        <f t="shared" si="56"/>
        <v>17809.764429602576</v>
      </c>
      <c r="CR14" s="63">
        <f t="shared" si="56"/>
        <v>17869.130311034583</v>
      </c>
      <c r="CS14" s="63">
        <f t="shared" si="56"/>
        <v>17928.694078738034</v>
      </c>
      <c r="CT14" s="63">
        <f t="shared" si="56"/>
        <v>17988.456392333828</v>
      </c>
      <c r="CU14" s="63">
        <f t="shared" si="56"/>
        <v>18048.41791364161</v>
      </c>
      <c r="CV14" s="63">
        <f t="shared" si="56"/>
        <v>18108.579306687083</v>
      </c>
      <c r="CW14" s="63">
        <f t="shared" si="56"/>
        <v>18168.941237709376</v>
      </c>
      <c r="CX14" s="63">
        <f t="shared" si="56"/>
        <v>18229.50437516841</v>
      </c>
      <c r="CY14" s="63">
        <f t="shared" si="56"/>
        <v>18290.269389752306</v>
      </c>
      <c r="CZ14" s="63">
        <f t="shared" si="56"/>
        <v>18351.236954384814</v>
      </c>
      <c r="DA14" s="63">
        <f t="shared" si="56"/>
        <v>18412.407744232765</v>
      </c>
      <c r="DB14" s="63">
        <f t="shared" si="56"/>
        <v>18473.78243671354</v>
      </c>
      <c r="DC14" s="63">
        <f t="shared" si="56"/>
        <v>18535.361711502588</v>
      </c>
      <c r="DD14" s="63">
        <f t="shared" si="56"/>
        <v>18597.146250540933</v>
      </c>
      <c r="DE14" s="63">
        <f t="shared" si="56"/>
        <v>18659.136738042736</v>
      </c>
      <c r="DF14" s="63">
        <f t="shared" si="56"/>
        <v>18721.33386050288</v>
      </c>
      <c r="DG14" s="63">
        <f t="shared" si="56"/>
        <v>18783.738306704559</v>
      </c>
      <c r="DH14" s="63">
        <f t="shared" si="56"/>
        <v>18846.350767726908</v>
      </c>
      <c r="DI14" s="63">
        <f t="shared" si="56"/>
        <v>18909.171936952665</v>
      </c>
    </row>
    <row r="15" spans="2:113" s="62" customFormat="1" outlineLevel="1" x14ac:dyDescent="0.3">
      <c r="B15" s="61" t="s">
        <v>184</v>
      </c>
      <c r="D15" s="63">
        <f t="shared" si="43"/>
        <v>223428.29820693959</v>
      </c>
      <c r="E15" s="63"/>
      <c r="F15" s="63">
        <f t="shared" ref="F15:AK15" si="57">IF(F8&gt;=EDATE(Finish,-12),F12,0)</f>
        <v>0</v>
      </c>
      <c r="G15" s="63">
        <f t="shared" si="57"/>
        <v>0</v>
      </c>
      <c r="H15" s="63">
        <f t="shared" si="57"/>
        <v>0</v>
      </c>
      <c r="I15" s="63">
        <f t="shared" si="57"/>
        <v>0</v>
      </c>
      <c r="J15" s="63">
        <f t="shared" si="57"/>
        <v>0</v>
      </c>
      <c r="K15" s="63">
        <f t="shared" si="57"/>
        <v>0</v>
      </c>
      <c r="L15" s="63">
        <f t="shared" si="57"/>
        <v>0</v>
      </c>
      <c r="M15" s="63">
        <f t="shared" si="57"/>
        <v>0</v>
      </c>
      <c r="N15" s="63">
        <f t="shared" si="57"/>
        <v>0</v>
      </c>
      <c r="O15" s="63">
        <f t="shared" si="57"/>
        <v>0</v>
      </c>
      <c r="P15" s="63">
        <f t="shared" si="57"/>
        <v>0</v>
      </c>
      <c r="Q15" s="63">
        <f t="shared" si="57"/>
        <v>0</v>
      </c>
      <c r="R15" s="63">
        <f t="shared" si="57"/>
        <v>0</v>
      </c>
      <c r="S15" s="63">
        <f t="shared" si="57"/>
        <v>0</v>
      </c>
      <c r="T15" s="63">
        <f t="shared" si="57"/>
        <v>0</v>
      </c>
      <c r="U15" s="63">
        <f t="shared" si="57"/>
        <v>0</v>
      </c>
      <c r="V15" s="63">
        <f t="shared" si="57"/>
        <v>0</v>
      </c>
      <c r="W15" s="63">
        <f t="shared" si="57"/>
        <v>0</v>
      </c>
      <c r="X15" s="63">
        <f t="shared" si="57"/>
        <v>0</v>
      </c>
      <c r="Y15" s="63">
        <f t="shared" si="57"/>
        <v>0</v>
      </c>
      <c r="Z15" s="63">
        <f t="shared" si="57"/>
        <v>0</v>
      </c>
      <c r="AA15" s="63">
        <f t="shared" si="57"/>
        <v>0</v>
      </c>
      <c r="AB15" s="63">
        <f t="shared" si="57"/>
        <v>0</v>
      </c>
      <c r="AC15" s="63">
        <f t="shared" si="57"/>
        <v>0</v>
      </c>
      <c r="AD15" s="63">
        <f t="shared" si="57"/>
        <v>0</v>
      </c>
      <c r="AE15" s="63">
        <f t="shared" si="57"/>
        <v>0</v>
      </c>
      <c r="AF15" s="63">
        <f t="shared" si="57"/>
        <v>0</v>
      </c>
      <c r="AG15" s="63">
        <f t="shared" si="57"/>
        <v>0</v>
      </c>
      <c r="AH15" s="63">
        <f t="shared" si="57"/>
        <v>0</v>
      </c>
      <c r="AI15" s="63">
        <f t="shared" si="57"/>
        <v>0</v>
      </c>
      <c r="AJ15" s="63">
        <f t="shared" si="57"/>
        <v>0</v>
      </c>
      <c r="AK15" s="63">
        <f t="shared" si="57"/>
        <v>0</v>
      </c>
      <c r="AL15" s="63">
        <f t="shared" ref="AL15:BQ15" si="58">IF(AL8&gt;=EDATE(Finish,-12),AL12,0)</f>
        <v>0</v>
      </c>
      <c r="AM15" s="63">
        <f t="shared" si="58"/>
        <v>0</v>
      </c>
      <c r="AN15" s="63">
        <f t="shared" si="58"/>
        <v>0</v>
      </c>
      <c r="AO15" s="63">
        <f t="shared" si="58"/>
        <v>0</v>
      </c>
      <c r="AP15" s="63">
        <f t="shared" si="58"/>
        <v>0</v>
      </c>
      <c r="AQ15" s="63">
        <f t="shared" si="58"/>
        <v>0</v>
      </c>
      <c r="AR15" s="63">
        <f t="shared" si="58"/>
        <v>0</v>
      </c>
      <c r="AS15" s="63">
        <f t="shared" si="58"/>
        <v>0</v>
      </c>
      <c r="AT15" s="63">
        <f t="shared" si="58"/>
        <v>0</v>
      </c>
      <c r="AU15" s="63">
        <f t="shared" si="58"/>
        <v>0</v>
      </c>
      <c r="AV15" s="63">
        <f t="shared" si="58"/>
        <v>0</v>
      </c>
      <c r="AW15" s="63">
        <f t="shared" si="58"/>
        <v>0</v>
      </c>
      <c r="AX15" s="63">
        <f t="shared" si="58"/>
        <v>0</v>
      </c>
      <c r="AY15" s="63">
        <f t="shared" si="58"/>
        <v>0</v>
      </c>
      <c r="AZ15" s="63">
        <f t="shared" si="58"/>
        <v>0</v>
      </c>
      <c r="BA15" s="63">
        <f t="shared" si="58"/>
        <v>0</v>
      </c>
      <c r="BB15" s="63">
        <f t="shared" si="58"/>
        <v>0</v>
      </c>
      <c r="BC15" s="63">
        <f t="shared" si="58"/>
        <v>0</v>
      </c>
      <c r="BD15" s="63">
        <f t="shared" si="58"/>
        <v>0</v>
      </c>
      <c r="BE15" s="63">
        <f t="shared" si="58"/>
        <v>0</v>
      </c>
      <c r="BF15" s="63">
        <f t="shared" si="58"/>
        <v>0</v>
      </c>
      <c r="BG15" s="63">
        <f t="shared" si="58"/>
        <v>0</v>
      </c>
      <c r="BH15" s="63">
        <f t="shared" si="58"/>
        <v>0</v>
      </c>
      <c r="BI15" s="63">
        <f t="shared" si="58"/>
        <v>0</v>
      </c>
      <c r="BJ15" s="63">
        <f t="shared" si="58"/>
        <v>0</v>
      </c>
      <c r="BK15" s="63">
        <f t="shared" si="58"/>
        <v>0</v>
      </c>
      <c r="BL15" s="63">
        <f t="shared" si="58"/>
        <v>0</v>
      </c>
      <c r="BM15" s="63">
        <f t="shared" si="58"/>
        <v>0</v>
      </c>
      <c r="BN15" s="63">
        <f t="shared" si="58"/>
        <v>0</v>
      </c>
      <c r="BO15" s="63">
        <f t="shared" si="58"/>
        <v>0</v>
      </c>
      <c r="BP15" s="63">
        <f t="shared" si="58"/>
        <v>0</v>
      </c>
      <c r="BQ15" s="63">
        <f t="shared" si="58"/>
        <v>0</v>
      </c>
      <c r="BR15" s="63">
        <f t="shared" ref="BR15:CW15" si="59">IF(BR8&gt;=EDATE(Finish,-12),BR12,0)</f>
        <v>0</v>
      </c>
      <c r="BS15" s="63">
        <f t="shared" si="59"/>
        <v>0</v>
      </c>
      <c r="BT15" s="63">
        <f t="shared" si="59"/>
        <v>0</v>
      </c>
      <c r="BU15" s="63">
        <f t="shared" si="59"/>
        <v>0</v>
      </c>
      <c r="BV15" s="63">
        <f t="shared" si="59"/>
        <v>0</v>
      </c>
      <c r="BW15" s="63">
        <f t="shared" si="59"/>
        <v>0</v>
      </c>
      <c r="BX15" s="63">
        <f t="shared" si="59"/>
        <v>0</v>
      </c>
      <c r="BY15" s="63">
        <f t="shared" si="59"/>
        <v>0</v>
      </c>
      <c r="BZ15" s="63">
        <f t="shared" si="59"/>
        <v>0</v>
      </c>
      <c r="CA15" s="63">
        <f t="shared" si="59"/>
        <v>0</v>
      </c>
      <c r="CB15" s="63">
        <f t="shared" si="59"/>
        <v>0</v>
      </c>
      <c r="CC15" s="63">
        <f t="shared" si="59"/>
        <v>0</v>
      </c>
      <c r="CD15" s="63">
        <f t="shared" si="59"/>
        <v>0</v>
      </c>
      <c r="CE15" s="63">
        <f t="shared" si="59"/>
        <v>0</v>
      </c>
      <c r="CF15" s="63">
        <f t="shared" si="59"/>
        <v>0</v>
      </c>
      <c r="CG15" s="63">
        <f t="shared" si="59"/>
        <v>0</v>
      </c>
      <c r="CH15" s="63">
        <f t="shared" si="59"/>
        <v>0</v>
      </c>
      <c r="CI15" s="63">
        <f t="shared" si="59"/>
        <v>0</v>
      </c>
      <c r="CJ15" s="63">
        <f t="shared" si="59"/>
        <v>0</v>
      </c>
      <c r="CK15" s="63">
        <f t="shared" si="59"/>
        <v>0</v>
      </c>
      <c r="CL15" s="63">
        <f t="shared" si="59"/>
        <v>0</v>
      </c>
      <c r="CM15" s="63">
        <f t="shared" si="59"/>
        <v>0</v>
      </c>
      <c r="CN15" s="63">
        <f t="shared" si="59"/>
        <v>0</v>
      </c>
      <c r="CO15" s="63">
        <f t="shared" si="59"/>
        <v>0</v>
      </c>
      <c r="CP15" s="63">
        <f t="shared" si="59"/>
        <v>0</v>
      </c>
      <c r="CQ15" s="63">
        <f t="shared" si="59"/>
        <v>0</v>
      </c>
      <c r="CR15" s="63">
        <f t="shared" si="59"/>
        <v>0</v>
      </c>
      <c r="CS15" s="63">
        <f t="shared" si="59"/>
        <v>0</v>
      </c>
      <c r="CT15" s="63">
        <f t="shared" si="59"/>
        <v>0</v>
      </c>
      <c r="CU15" s="63">
        <f t="shared" si="59"/>
        <v>0</v>
      </c>
      <c r="CV15" s="63">
        <f t="shared" si="59"/>
        <v>0</v>
      </c>
      <c r="CW15" s="63">
        <f t="shared" si="59"/>
        <v>0</v>
      </c>
      <c r="CX15" s="63">
        <f t="shared" ref="CX15:DI15" si="60">IF(CX8&gt;=EDATE(Finish,-12),CX12,0)</f>
        <v>18285.292735057887</v>
      </c>
      <c r="CY15" s="63">
        <f t="shared" si="60"/>
        <v>18346.243710841412</v>
      </c>
      <c r="CZ15" s="63">
        <f t="shared" si="60"/>
        <v>18407.397856544216</v>
      </c>
      <c r="DA15" s="63">
        <f t="shared" si="60"/>
        <v>18468.755849399364</v>
      </c>
      <c r="DB15" s="63">
        <f t="shared" si="60"/>
        <v>18530.318368897366</v>
      </c>
      <c r="DC15" s="63">
        <f t="shared" si="60"/>
        <v>18592.086096793693</v>
      </c>
      <c r="DD15" s="63">
        <f t="shared" si="60"/>
        <v>18654.059717116339</v>
      </c>
      <c r="DE15" s="63">
        <f t="shared" si="60"/>
        <v>18716.239916173396</v>
      </c>
      <c r="DF15" s="63">
        <f t="shared" si="60"/>
        <v>18778.62738256064</v>
      </c>
      <c r="DG15" s="63">
        <f t="shared" si="60"/>
        <v>18841.222807169179</v>
      </c>
      <c r="DH15" s="63">
        <f t="shared" si="60"/>
        <v>18904.026883193073</v>
      </c>
      <c r="DI15" s="63">
        <f t="shared" si="60"/>
        <v>18904.026883193073</v>
      </c>
    </row>
    <row r="16" spans="2:113" x14ac:dyDescent="0.3">
      <c r="B16" s="46" t="s">
        <v>149</v>
      </c>
      <c r="C16" s="42"/>
      <c r="D16" s="43">
        <f t="shared" si="43"/>
        <v>1099086.3488050357</v>
      </c>
      <c r="E16" s="43"/>
      <c r="F16" s="43">
        <f>SUM(F17:F22)</f>
        <v>16876.089598907663</v>
      </c>
      <c r="G16" s="43">
        <f t="shared" ref="G16:BR16" si="61">SUM(G17:G22)</f>
        <v>8378.7151653296933</v>
      </c>
      <c r="H16" s="43">
        <f t="shared" si="61"/>
        <v>8457.1918847100351</v>
      </c>
      <c r="I16" s="43">
        <f t="shared" si="61"/>
        <v>11535.455367110339</v>
      </c>
      <c r="J16" s="43">
        <f t="shared" si="61"/>
        <v>8628.638841941689</v>
      </c>
      <c r="K16" s="43">
        <f t="shared" si="61"/>
        <v>8717.0354373050432</v>
      </c>
      <c r="L16" s="43">
        <f t="shared" si="61"/>
        <v>11793.77465445398</v>
      </c>
      <c r="M16" s="43">
        <f t="shared" si="61"/>
        <v>8971.8551482275925</v>
      </c>
      <c r="N16" s="43">
        <f t="shared" si="61"/>
        <v>9158.825195837202</v>
      </c>
      <c r="O16" s="43">
        <f t="shared" si="61"/>
        <v>12054.350721159806</v>
      </c>
      <c r="P16" s="43">
        <f t="shared" si="61"/>
        <v>9517.6796824413832</v>
      </c>
      <c r="Q16" s="43">
        <f t="shared" si="61"/>
        <v>9702.0942144058627</v>
      </c>
      <c r="R16" s="43">
        <f t="shared" si="61"/>
        <v>11014.906036161092</v>
      </c>
      <c r="S16" s="43">
        <f t="shared" si="61"/>
        <v>8798.1959925430001</v>
      </c>
      <c r="T16" s="43">
        <f t="shared" si="61"/>
        <v>8785.3888680737018</v>
      </c>
      <c r="U16" s="43">
        <f t="shared" si="61"/>
        <v>11648.420470949784</v>
      </c>
      <c r="V16" s="43">
        <f t="shared" si="61"/>
        <v>9249.1723266197077</v>
      </c>
      <c r="W16" s="43">
        <f t="shared" si="61"/>
        <v>9242.8201232639931</v>
      </c>
      <c r="X16" s="43">
        <f t="shared" si="61"/>
        <v>11629.363790537098</v>
      </c>
      <c r="Y16" s="43">
        <f t="shared" si="61"/>
        <v>9230.0521239389764</v>
      </c>
      <c r="Z16" s="43">
        <f t="shared" si="61"/>
        <v>9223.6361865743293</v>
      </c>
      <c r="AA16" s="43">
        <f t="shared" si="61"/>
        <v>11610.115907391801</v>
      </c>
      <c r="AB16" s="43">
        <f t="shared" si="61"/>
        <v>9210.7400811831958</v>
      </c>
      <c r="AC16" s="43">
        <f t="shared" si="61"/>
        <v>9204.2597703426945</v>
      </c>
      <c r="AD16" s="43">
        <f t="shared" si="61"/>
        <v>11590.674903106057</v>
      </c>
      <c r="AE16" s="43">
        <f t="shared" si="61"/>
        <v>9191.2342735498369</v>
      </c>
      <c r="AF16" s="43">
        <f t="shared" si="61"/>
        <v>9184.6889433505567</v>
      </c>
      <c r="AG16" s="43">
        <f t="shared" si="61"/>
        <v>11571.038840023948</v>
      </c>
      <c r="AH16" s="43">
        <f t="shared" si="61"/>
        <v>9171.5327569241199</v>
      </c>
      <c r="AI16" s="43">
        <f t="shared" si="61"/>
        <v>9164.921755002757</v>
      </c>
      <c r="AJ16" s="43">
        <f t="shared" si="61"/>
        <v>11551.205761048321</v>
      </c>
      <c r="AK16" s="43">
        <f t="shared" si="61"/>
        <v>9151.6335676852377</v>
      </c>
      <c r="AL16" s="43">
        <f t="shared" si="61"/>
        <v>9144.9562351330787</v>
      </c>
      <c r="AM16" s="43">
        <f t="shared" si="61"/>
        <v>11531.173689445743</v>
      </c>
      <c r="AN16" s="43">
        <f t="shared" si="61"/>
        <v>9131.5347225106543</v>
      </c>
      <c r="AO16" s="43">
        <f t="shared" si="61"/>
        <v>9124.7903938079126</v>
      </c>
      <c r="AP16" s="43">
        <f t="shared" si="61"/>
        <v>11510.940628649494</v>
      </c>
      <c r="AQ16" s="43">
        <f t="shared" si="61"/>
        <v>9111.2342181784152</v>
      </c>
      <c r="AR16" s="43">
        <f t="shared" si="61"/>
        <v>9104.4222211278993</v>
      </c>
      <c r="AS16" s="43">
        <f t="shared" si="61"/>
        <v>11490.504562060549</v>
      </c>
      <c r="AT16" s="43">
        <f t="shared" si="61"/>
        <v>9090.7300313675059</v>
      </c>
      <c r="AU16" s="43">
        <f t="shared" si="61"/>
        <v>9083.8496870276194</v>
      </c>
      <c r="AV16" s="43">
        <f t="shared" si="61"/>
        <v>11469.863452846605</v>
      </c>
      <c r="AW16" s="43">
        <f t="shared" si="61"/>
        <v>9070.0201184561793</v>
      </c>
      <c r="AX16" s="43">
        <f t="shared" si="61"/>
        <v>9063.0707410732575</v>
      </c>
      <c r="AY16" s="43">
        <f t="shared" si="61"/>
        <v>11449.015243739057</v>
      </c>
      <c r="AZ16" s="43">
        <f t="shared" si="61"/>
        <v>9049.1024153182771</v>
      </c>
      <c r="BA16" s="43">
        <f t="shared" si="61"/>
        <v>9042.0833122582262</v>
      </c>
      <c r="BB16" s="43">
        <f t="shared" si="61"/>
        <v>11427.957856827979</v>
      </c>
      <c r="BC16" s="43">
        <f t="shared" si="61"/>
        <v>9027.9748371174919</v>
      </c>
      <c r="BD16" s="43">
        <f t="shared" si="61"/>
        <v>9020.8853087967709</v>
      </c>
      <c r="BE16" s="43">
        <f t="shared" si="61"/>
        <v>11406.689193354985</v>
      </c>
      <c r="BF16" s="43">
        <f t="shared" si="61"/>
        <v>9006.6352780995894</v>
      </c>
      <c r="BG16" s="43">
        <f t="shared" si="61"/>
        <v>8999.4746179154772</v>
      </c>
      <c r="BH16" s="43">
        <f t="shared" si="61"/>
        <v>11385.207133504086</v>
      </c>
      <c r="BI16" s="43">
        <f t="shared" si="61"/>
        <v>8985.0816113825222</v>
      </c>
      <c r="BJ16" s="43">
        <f t="shared" si="61"/>
        <v>8977.8491056426847</v>
      </c>
      <c r="BK16" s="43">
        <f t="shared" si="61"/>
        <v>11363.509536190382</v>
      </c>
      <c r="BL16" s="43">
        <f t="shared" si="61"/>
        <v>8963.311688744443</v>
      </c>
      <c r="BM16" s="43">
        <f t="shared" si="61"/>
        <v>8956.0066165958124</v>
      </c>
      <c r="BN16" s="43">
        <f t="shared" si="61"/>
        <v>11341.594238846686</v>
      </c>
      <c r="BO16" s="43">
        <f t="shared" si="61"/>
        <v>8941.3233404096027</v>
      </c>
      <c r="BP16" s="43">
        <f t="shared" si="61"/>
        <v>8943.3382258678776</v>
      </c>
      <c r="BQ16" s="43">
        <f t="shared" si="61"/>
        <v>11374.091080840499</v>
      </c>
      <c r="BR16" s="43">
        <f t="shared" si="61"/>
        <v>9011.5973940989443</v>
      </c>
      <c r="BS16" s="43">
        <f t="shared" ref="BS16:BY16" si="62">SUM(BS17:BS22)</f>
        <v>9042.1221631903863</v>
      </c>
      <c r="BT16" s="43">
        <f t="shared" si="62"/>
        <v>11465.665726152129</v>
      </c>
      <c r="BU16" s="43">
        <f t="shared" si="62"/>
        <v>9103.4772882282832</v>
      </c>
      <c r="BV16" s="43">
        <f t="shared" si="62"/>
        <v>9134.3083236334896</v>
      </c>
      <c r="BW16" s="43">
        <f t="shared" si="62"/>
        <v>11558.159173796714</v>
      </c>
      <c r="BX16" s="43">
        <f t="shared" si="62"/>
        <v>9196.279047365013</v>
      </c>
      <c r="BY16" s="43">
        <f t="shared" si="62"/>
        <v>9227.4194219673409</v>
      </c>
      <c r="BZ16" s="43">
        <f t="shared" ref="BZ16:DI16" si="63">SUM(BZ17:BZ22)</f>
        <v>11651.580642458342</v>
      </c>
      <c r="CA16" s="43">
        <f t="shared" si="63"/>
        <v>9290.0119209221848</v>
      </c>
      <c r="CB16" s="43">
        <f t="shared" si="63"/>
        <v>9321.4647384363689</v>
      </c>
      <c r="CC16" s="43">
        <f t="shared" si="63"/>
        <v>11745.939443315605</v>
      </c>
      <c r="CD16" s="43">
        <f t="shared" si="63"/>
        <v>9384.6852511156321</v>
      </c>
      <c r="CE16" s="43">
        <f t="shared" si="63"/>
        <v>9416.4536463971326</v>
      </c>
      <c r="CF16" s="43">
        <f t="shared" si="63"/>
        <v>11841.244980969568</v>
      </c>
      <c r="CG16" s="43">
        <f t="shared" si="63"/>
        <v>9480.3084738951129</v>
      </c>
      <c r="CH16" s="43">
        <f t="shared" si="63"/>
        <v>9512.3956132525436</v>
      </c>
      <c r="CI16" s="43">
        <f t="shared" si="63"/>
        <v>11937.506754381162</v>
      </c>
      <c r="CJ16" s="43">
        <f t="shared" si="63"/>
        <v>9576.8911198847418</v>
      </c>
      <c r="CK16" s="43">
        <f t="shared" si="63"/>
        <v>9609.3002013954701</v>
      </c>
      <c r="CL16" s="43">
        <f t="shared" si="63"/>
        <v>12034.734357817901</v>
      </c>
      <c r="CM16" s="43">
        <f t="shared" si="63"/>
        <v>9674.4428153329354</v>
      </c>
      <c r="CN16" s="43">
        <f t="shared" si="63"/>
        <v>9707.1770691618258</v>
      </c>
      <c r="CO16" s="43">
        <f t="shared" si="63"/>
        <v>12132.937481810142</v>
      </c>
      <c r="CP16" s="43">
        <f t="shared" si="63"/>
        <v>9772.9732830718203</v>
      </c>
      <c r="CQ16" s="43">
        <f t="shared" si="63"/>
        <v>9806.0359717931769</v>
      </c>
      <c r="CR16" s="43">
        <f t="shared" si="63"/>
        <v>12232.125914116932</v>
      </c>
      <c r="CS16" s="43">
        <f t="shared" si="63"/>
        <v>9872.4923434862994</v>
      </c>
      <c r="CT16" s="43">
        <f t="shared" si="63"/>
        <v>9905.8867624090308</v>
      </c>
      <c r="CU16" s="43">
        <f t="shared" si="63"/>
        <v>12332.309540701506</v>
      </c>
      <c r="CV16" s="43">
        <f t="shared" si="63"/>
        <v>9973.0099154928248</v>
      </c>
      <c r="CW16" s="43">
        <f t="shared" si="63"/>
        <v>10006.739392988913</v>
      </c>
      <c r="CX16" s="43">
        <f t="shared" si="63"/>
        <v>12433.498346716655</v>
      </c>
      <c r="CY16" s="43">
        <f t="shared" si="63"/>
        <v>10074.536017528024</v>
      </c>
      <c r="CZ16" s="43">
        <f t="shared" si="63"/>
        <v>10108.603915364225</v>
      </c>
      <c r="DA16" s="43">
        <f t="shared" si="63"/>
        <v>12535.702417499888</v>
      </c>
      <c r="DB16" s="43">
        <f t="shared" si="63"/>
        <v>10177.080768547194</v>
      </c>
      <c r="DC16" s="43">
        <f t="shared" si="63"/>
        <v>10211.490482220132</v>
      </c>
      <c r="DD16" s="43">
        <f t="shared" si="63"/>
        <v>12638.931939578646</v>
      </c>
      <c r="DE16" s="43">
        <f t="shared" si="63"/>
        <v>10280.654389032887</v>
      </c>
      <c r="DF16" s="43">
        <f t="shared" si="63"/>
        <v>10315.409348107441</v>
      </c>
      <c r="DG16" s="43">
        <f t="shared" si="63"/>
        <v>12743.197201685576</v>
      </c>
      <c r="DH16" s="43">
        <f t="shared" si="63"/>
        <v>10385.267202013511</v>
      </c>
      <c r="DI16" s="43">
        <f t="shared" si="63"/>
        <v>10420.370870464665</v>
      </c>
    </row>
    <row r="17" spans="2:113" x14ac:dyDescent="0.3">
      <c r="B17" s="6" t="s">
        <v>145</v>
      </c>
      <c r="D17" s="27">
        <f t="shared" si="43"/>
        <v>453683.70089748403</v>
      </c>
      <c r="E17" s="16"/>
      <c r="F17" s="41">
        <f>OperationCostsHistory-LaborCostsHistory-PropertyTaxHistory+VATincome+BS!E22-BS!F22</f>
        <v>8007.2733333333335</v>
      </c>
      <c r="G17" s="41">
        <f>OperationCostsHistory-LaborCostsHistory-PropertyTaxHistory+VATincome+BS!F22-BS!G22</f>
        <v>4628.6509111111118</v>
      </c>
      <c r="H17" s="41">
        <f>OperationCostsHistory-LaborCostsHistory-PropertyTaxHistory+VATincome+BS!G22-BS!H22</f>
        <v>4644.0797474814817</v>
      </c>
      <c r="I17" s="41">
        <f>OperationCostsHistory-LaborCostsHistory-PropertyTaxHistory+VATincome+BS!H22-BS!I22</f>
        <v>4659.5600133064218</v>
      </c>
      <c r="J17" s="41">
        <f>OperationCostsHistory-LaborCostsHistory-PropertyTaxHistory+VATincome+BS!I22-BS!J22</f>
        <v>4675.0918800174459</v>
      </c>
      <c r="K17" s="41">
        <f>OperationCostsHistory-LaborCostsHistory-PropertyTaxHistory+VATincome+BS!J22-BS!K22</f>
        <v>4690.6755196175027</v>
      </c>
      <c r="L17" s="41">
        <f>OperationCostsHistory-LaborCostsHistory-PropertyTaxHistory+VATincome+BS!K22-BS!L22</f>
        <v>4706.3111046828935</v>
      </c>
      <c r="M17" s="41">
        <f>OperationCostsHistory-LaborCostsHistory-PropertyTaxHistory+VATincome+BS!L22-BS!M22</f>
        <v>4721.9988083651724</v>
      </c>
      <c r="N17" s="41">
        <f>OperationCostsHistory-LaborCostsHistory-PropertyTaxHistory+VATincome+BS!M22-BS!N22</f>
        <v>4737.738804393055</v>
      </c>
      <c r="O17" s="41">
        <f>OperationCostsHistory-LaborCostsHistory-PropertyTaxHistory+VATincome+BS!N22-BS!O22</f>
        <v>4753.531267074367</v>
      </c>
      <c r="P17" s="41">
        <f>OperationCostsHistory-LaborCostsHistory-PropertyTaxHistory+VATincome+BS!O22-BS!P22</f>
        <v>4769.3763712979471</v>
      </c>
      <c r="Q17" s="41">
        <f>OperationCostsHistory-LaborCostsHistory-PropertyTaxHistory+VATincome+BS!P22-BS!Q22</f>
        <v>4785.274292535606</v>
      </c>
      <c r="R17" s="41">
        <f>OperationCostsHistory-LaborCostsHistory-PropertyTaxHistory+VATincome+BS!Q22-BS!R22</f>
        <v>3488.3921949433175</v>
      </c>
      <c r="S17" s="41">
        <f>OperationCostsHistory-LaborCostsHistory-PropertyTaxHistory+VATincome+BS!R22-BS!S22</f>
        <v>3500.0201689264622</v>
      </c>
      <c r="T17" s="41">
        <f>OperationCostsHistory-LaborCostsHistory-PropertyTaxHistory+VATincome+BS!S22-BS!T22</f>
        <v>3511.6869028228839</v>
      </c>
      <c r="U17" s="41">
        <f>OperationCostsHistory-LaborCostsHistory-PropertyTaxHistory+VATincome+BS!T22-BS!U22</f>
        <v>3523.3925258322943</v>
      </c>
      <c r="V17" s="41">
        <f>OperationCostsHistory-LaborCostsHistory-PropertyTaxHistory+VATincome+BS!U22-BS!V22</f>
        <v>3535.1371675850701</v>
      </c>
      <c r="W17" s="41">
        <f>OperationCostsHistory-LaborCostsHistory-PropertyTaxHistory+VATincome+BS!V22-BS!W22</f>
        <v>3546.9209581436858</v>
      </c>
      <c r="X17" s="41">
        <f>OperationCostsHistory-LaborCostsHistory-PropertyTaxHistory+VATincome+BS!W22-BS!X22</f>
        <v>3558.7440280041651</v>
      </c>
      <c r="Y17" s="41">
        <f>OperationCostsHistory-LaborCostsHistory-PropertyTaxHistory+VATincome+BS!X22-BS!Y22</f>
        <v>3570.6065080975127</v>
      </c>
      <c r="Z17" s="41">
        <f>OperationCostsHistory-LaborCostsHistory-PropertyTaxHistory+VATincome+BS!Y22-BS!Z22</f>
        <v>3582.508529791171</v>
      </c>
      <c r="AA17" s="41">
        <f>OperationCostsHistory-LaborCostsHistory-PropertyTaxHistory+VATincome+BS!Z22-BS!AA22</f>
        <v>3594.4502248904746</v>
      </c>
      <c r="AB17" s="41">
        <f>OperationCostsHistory-LaborCostsHistory-PropertyTaxHistory+VATincome+BS!AA22-BS!AB22</f>
        <v>3606.4317256401109</v>
      </c>
      <c r="AC17" s="41">
        <f>OperationCostsHistory-LaborCostsHistory-PropertyTaxHistory+VATincome+BS!AB22-BS!AC22</f>
        <v>3618.4531647255781</v>
      </c>
      <c r="AD17" s="41">
        <f>OperationCostsHistory-LaborCostsHistory-PropertyTaxHistory+VATincome+BS!AC22-BS!AD22</f>
        <v>3630.5146752746632</v>
      </c>
      <c r="AE17" s="41">
        <f>OperationCostsHistory-LaborCostsHistory-PropertyTaxHistory+VATincome+BS!AD22-BS!AE22</f>
        <v>3642.6163908589128</v>
      </c>
      <c r="AF17" s="41">
        <f>OperationCostsHistory-LaborCostsHistory-PropertyTaxHistory+VATincome+BS!AE22-BS!AF22</f>
        <v>3654.7584454951084</v>
      </c>
      <c r="AG17" s="41">
        <f>OperationCostsHistory-LaborCostsHistory-PropertyTaxHistory+VATincome+BS!AF22-BS!AG22</f>
        <v>3666.9409736467592</v>
      </c>
      <c r="AH17" s="41">
        <f>OperationCostsHistory-LaborCostsHistory-PropertyTaxHistory+VATincome+BS!AG22-BS!AH22</f>
        <v>3679.164110225583</v>
      </c>
      <c r="AI17" s="41">
        <f>OperationCostsHistory-LaborCostsHistory-PropertyTaxHistory+VATincome+BS!AH22-BS!AI22</f>
        <v>3691.4279905930016</v>
      </c>
      <c r="AJ17" s="41">
        <f>OperationCostsHistory-LaborCostsHistory-PropertyTaxHistory+VATincome+BS!AI22-BS!AJ22</f>
        <v>3703.7327505616458</v>
      </c>
      <c r="AK17" s="41">
        <f>OperationCostsHistory-LaborCostsHistory-PropertyTaxHistory+VATincome+BS!AJ22-BS!AK22</f>
        <v>3716.0785263968514</v>
      </c>
      <c r="AL17" s="41">
        <f>OperationCostsHistory-LaborCostsHistory-PropertyTaxHistory+VATincome+BS!AK22-BS!AL22</f>
        <v>3728.4654548181752</v>
      </c>
      <c r="AM17" s="41">
        <f>OperationCostsHistory-LaborCostsHistory-PropertyTaxHistory+VATincome+BS!AL22-BS!AM22</f>
        <v>3740.8936730009018</v>
      </c>
      <c r="AN17" s="41">
        <f>OperationCostsHistory-LaborCostsHistory-PropertyTaxHistory+VATincome+BS!AM22-BS!AN22</f>
        <v>3753.3633185775716</v>
      </c>
      <c r="AO17" s="41">
        <f>OperationCostsHistory-LaborCostsHistory-PropertyTaxHistory+VATincome+BS!AN22-BS!AO22</f>
        <v>3765.8745296394977</v>
      </c>
      <c r="AP17" s="41">
        <f>OperationCostsHistory-LaborCostsHistory-PropertyTaxHistory+VATincome+BS!AO22-BS!AP22</f>
        <v>3778.4274447382959</v>
      </c>
      <c r="AQ17" s="41">
        <f>OperationCostsHistory-LaborCostsHistory-PropertyTaxHistory+VATincome+BS!AP22-BS!AQ22</f>
        <v>3791.0222028874236</v>
      </c>
      <c r="AR17" s="41">
        <f>OperationCostsHistory-LaborCostsHistory-PropertyTaxHistory+VATincome+BS!AQ22-BS!AR22</f>
        <v>3803.6589435637152</v>
      </c>
      <c r="AS17" s="41">
        <f>OperationCostsHistory-LaborCostsHistory-PropertyTaxHistory+VATincome+BS!AR22-BS!AS22</f>
        <v>3816.3378067089284</v>
      </c>
      <c r="AT17" s="41">
        <f>OperationCostsHistory-LaborCostsHistory-PropertyTaxHistory+VATincome+BS!AS22-BS!AT22</f>
        <v>3829.058932731291</v>
      </c>
      <c r="AU17" s="41">
        <f>OperationCostsHistory-LaborCostsHistory-PropertyTaxHistory+VATincome+BS!AT22-BS!AU22</f>
        <v>3841.8224625070616</v>
      </c>
      <c r="AV17" s="41">
        <f>OperationCostsHistory-LaborCostsHistory-PropertyTaxHistory+VATincome+BS!AU22-BS!AV22</f>
        <v>3854.6285373820879</v>
      </c>
      <c r="AW17" s="41">
        <f>OperationCostsHistory-LaborCostsHistory-PropertyTaxHistory+VATincome+BS!AV22-BS!AW22</f>
        <v>3867.4772991733598</v>
      </c>
      <c r="AX17" s="41">
        <f>OperationCostsHistory-LaborCostsHistory-PropertyTaxHistory+VATincome+BS!AW22-BS!AX22</f>
        <v>3880.3688901706073</v>
      </c>
      <c r="AY17" s="41">
        <f>OperationCostsHistory-LaborCostsHistory-PropertyTaxHistory+VATincome+BS!AX22-BS!AY22</f>
        <v>3893.3034531378407</v>
      </c>
      <c r="AZ17" s="41">
        <f>OperationCostsHistory-LaborCostsHistory-PropertyTaxHistory+VATincome+BS!AY22-BS!AZ22</f>
        <v>3906.2811313149678</v>
      </c>
      <c r="BA17" s="41">
        <f>OperationCostsHistory-LaborCostsHistory-PropertyTaxHistory+VATincome+BS!AZ22-BS!BA22</f>
        <v>3919.3020684193516</v>
      </c>
      <c r="BB17" s="41">
        <f>OperationCostsHistory-LaborCostsHistory-PropertyTaxHistory+VATincome+BS!BA22-BS!BB22</f>
        <v>3932.3664086474159</v>
      </c>
      <c r="BC17" s="41">
        <f>OperationCostsHistory-LaborCostsHistory-PropertyTaxHistory+VATincome+BS!BB22-BS!BC22</f>
        <v>3945.474296676241</v>
      </c>
      <c r="BD17" s="41">
        <f>OperationCostsHistory-LaborCostsHistory-PropertyTaxHistory+VATincome+BS!BC22-BS!BD22</f>
        <v>3958.6258776651603</v>
      </c>
      <c r="BE17" s="41">
        <f>OperationCostsHistory-LaborCostsHistory-PropertyTaxHistory+VATincome+BS!BD22-BS!BE22</f>
        <v>3971.8212972573797</v>
      </c>
      <c r="BF17" s="41">
        <f>OperationCostsHistory-LaborCostsHistory-PropertyTaxHistory+VATincome+BS!BE22-BS!BF22</f>
        <v>3985.0607015815699</v>
      </c>
      <c r="BG17" s="41">
        <f>OperationCostsHistory-LaborCostsHistory-PropertyTaxHistory+VATincome+BS!BF22-BS!BG22</f>
        <v>3998.3442372535083</v>
      </c>
      <c r="BH17" s="41">
        <f>OperationCostsHistory-LaborCostsHistory-PropertyTaxHistory+VATincome+BS!BG22-BS!BH22</f>
        <v>4011.6720513776877</v>
      </c>
      <c r="BI17" s="41">
        <f>OperationCostsHistory-LaborCostsHistory-PropertyTaxHistory+VATincome+BS!BH22-BS!BI22</f>
        <v>4025.0442915489471</v>
      </c>
      <c r="BJ17" s="41">
        <f>OperationCostsHistory-LaborCostsHistory-PropertyTaxHistory+VATincome+BS!BI22-BS!BJ22</f>
        <v>4038.4611058541095</v>
      </c>
      <c r="BK17" s="41">
        <f>OperationCostsHistory-LaborCostsHistory-PropertyTaxHistory+VATincome+BS!BJ22-BS!BK22</f>
        <v>4051.9226428736233</v>
      </c>
      <c r="BL17" s="41">
        <f>OperationCostsHistory-LaborCostsHistory-PropertyTaxHistory+VATincome+BS!BK22-BS!BL22</f>
        <v>4065.4290516832043</v>
      </c>
      <c r="BM17" s="41">
        <f>OperationCostsHistory-LaborCostsHistory-PropertyTaxHistory+VATincome+BS!BL22-BS!BM22</f>
        <v>4078.9804818554812</v>
      </c>
      <c r="BN17" s="41">
        <f>OperationCostsHistory-LaborCostsHistory-PropertyTaxHistory+VATincome+BS!BM22-BS!BN22</f>
        <v>4092.5770834616665</v>
      </c>
      <c r="BO17" s="41">
        <f>OperationCostsHistory-LaborCostsHistory-PropertyTaxHistory+VATincome+BS!BN22-BS!BO22</f>
        <v>4106.2190070732058</v>
      </c>
      <c r="BP17" s="41">
        <f>OperationCostsHistory-LaborCostsHistory-PropertyTaxHistory+VATincome+BS!BO22-BS!BP22</f>
        <v>4119.9064037634525</v>
      </c>
      <c r="BQ17" s="41">
        <f>OperationCostsHistory-LaborCostsHistory-PropertyTaxHistory+VATincome+BS!BP22-BS!BQ22</f>
        <v>4133.6394251093297</v>
      </c>
      <c r="BR17" s="41">
        <f>OperationCostsHistory-LaborCostsHistory-PropertyTaxHistory+VATincome+BS!BQ22-BS!BR22</f>
        <v>4147.4182231930263</v>
      </c>
      <c r="BS17" s="41">
        <f>OperationCostsHistory-LaborCostsHistory-PropertyTaxHistory+VATincome+BS!BR22-BS!BS22</f>
        <v>4161.2429506036715</v>
      </c>
      <c r="BT17" s="41">
        <f>OperationCostsHistory-LaborCostsHistory-PropertyTaxHistory+VATincome+BS!BS22-BS!BT22</f>
        <v>4175.1137604390151</v>
      </c>
      <c r="BU17" s="41">
        <f>OperationCostsHistory-LaborCostsHistory-PropertyTaxHistory+VATincome+BS!BT22-BS!BU22</f>
        <v>4189.030806307147</v>
      </c>
      <c r="BV17" s="41">
        <f>OperationCostsHistory-LaborCostsHistory-PropertyTaxHistory+VATincome+BS!BU22-BS!BV22</f>
        <v>4202.9942423281709</v>
      </c>
      <c r="BW17" s="41">
        <f>OperationCostsHistory-LaborCostsHistory-PropertyTaxHistory+VATincome+BS!BV22-BS!BW22</f>
        <v>4217.0042231359321</v>
      </c>
      <c r="BX17" s="41">
        <f>OperationCostsHistory-LaborCostsHistory-PropertyTaxHistory+VATincome+BS!BW22-BS!BX22</f>
        <v>4231.0609038797193</v>
      </c>
      <c r="BY17" s="41">
        <f>OperationCostsHistory-LaborCostsHistory-PropertyTaxHistory+VATincome+BS!BX22-BS!BY22</f>
        <v>4245.1644402259835</v>
      </c>
      <c r="BZ17" s="41">
        <f>OperationCostsHistory-LaborCostsHistory-PropertyTaxHistory+VATincome+BS!BY22-BS!BZ22</f>
        <v>4259.314988360069</v>
      </c>
      <c r="CA17" s="41">
        <f>OperationCostsHistory-LaborCostsHistory-PropertyTaxHistory+VATincome+BS!BZ22-BS!CA22</f>
        <v>4273.5127049879384</v>
      </c>
      <c r="CB17" s="41">
        <f>OperationCostsHistory-LaborCostsHistory-PropertyTaxHistory+VATincome+BS!CA22-BS!CB22</f>
        <v>4287.7577473378979</v>
      </c>
      <c r="CC17" s="41">
        <f>OperationCostsHistory-LaborCostsHistory-PropertyTaxHistory+VATincome+BS!CB22-BS!CC22</f>
        <v>4302.0502731623583</v>
      </c>
      <c r="CD17" s="41">
        <f>OperationCostsHistory-LaborCostsHistory-PropertyTaxHistory+VATincome+BS!CC22-BS!CD22</f>
        <v>4316.3904407395657</v>
      </c>
      <c r="CE17" s="41">
        <f>OperationCostsHistory-LaborCostsHistory-PropertyTaxHistory+VATincome+BS!CD22-BS!CE22</f>
        <v>4330.7784088753651</v>
      </c>
      <c r="CF17" s="41">
        <f>OperationCostsHistory-LaborCostsHistory-PropertyTaxHistory+VATincome+BS!CE22-BS!CF22</f>
        <v>4345.2143369049518</v>
      </c>
      <c r="CG17" s="41">
        <f>OperationCostsHistory-LaborCostsHistory-PropertyTaxHistory+VATincome+BS!CF22-BS!CG22</f>
        <v>4359.6983846946359</v>
      </c>
      <c r="CH17" s="41">
        <f>OperationCostsHistory-LaborCostsHistory-PropertyTaxHistory+VATincome+BS!CG22-BS!CH22</f>
        <v>4374.2307126436172</v>
      </c>
      <c r="CI17" s="41">
        <f>OperationCostsHistory-LaborCostsHistory-PropertyTaxHistory+VATincome+BS!CH22-BS!CI22</f>
        <v>4388.8114816857624</v>
      </c>
      <c r="CJ17" s="41">
        <f>OperationCostsHistory-LaborCostsHistory-PropertyTaxHistory+VATincome+BS!CI22-BS!CJ22</f>
        <v>4403.4408532913803</v>
      </c>
      <c r="CK17" s="41">
        <f>OperationCostsHistory-LaborCostsHistory-PropertyTaxHistory+VATincome+BS!CJ22-BS!CK22</f>
        <v>4418.1189894690197</v>
      </c>
      <c r="CL17" s="41">
        <f>OperationCostsHistory-LaborCostsHistory-PropertyTaxHistory+VATincome+BS!CK22-BS!CL22</f>
        <v>4432.8460527672496</v>
      </c>
      <c r="CM17" s="41">
        <f>OperationCostsHistory-LaborCostsHistory-PropertyTaxHistory+VATincome+BS!CL22-BS!CM22</f>
        <v>4447.6222062764737</v>
      </c>
      <c r="CN17" s="41">
        <f>OperationCostsHistory-LaborCostsHistory-PropertyTaxHistory+VATincome+BS!CM22-BS!CN22</f>
        <v>4462.4476136307294</v>
      </c>
      <c r="CO17" s="41">
        <f>OperationCostsHistory-LaborCostsHistory-PropertyTaxHistory+VATincome+BS!CN22-BS!CO22</f>
        <v>4477.3224390094983</v>
      </c>
      <c r="CP17" s="41">
        <f>OperationCostsHistory-LaborCostsHistory-PropertyTaxHistory+VATincome+BS!CO22-BS!CP22</f>
        <v>4492.2468471395296</v>
      </c>
      <c r="CQ17" s="41">
        <f>OperationCostsHistory-LaborCostsHistory-PropertyTaxHistory+VATincome+BS!CP22-BS!CQ22</f>
        <v>4507.2210032966641</v>
      </c>
      <c r="CR17" s="41">
        <f>OperationCostsHistory-LaborCostsHistory-PropertyTaxHistory+VATincome+BS!CQ22-BS!CR22</f>
        <v>4522.2450733076539</v>
      </c>
      <c r="CS17" s="41">
        <f>OperationCostsHistory-LaborCostsHistory-PropertyTaxHistory+VATincome+BS!CR22-BS!CS22</f>
        <v>4537.3192235520119</v>
      </c>
      <c r="CT17" s="41">
        <f>OperationCostsHistory-LaborCostsHistory-PropertyTaxHistory+VATincome+BS!CS22-BS!CT22</f>
        <v>4552.4436209638516</v>
      </c>
      <c r="CU17" s="41">
        <f>OperationCostsHistory-LaborCostsHistory-PropertyTaxHistory+VATincome+BS!CT22-BS!CU22</f>
        <v>4567.6184330337328</v>
      </c>
      <c r="CV17" s="41">
        <f>OperationCostsHistory-LaborCostsHistory-PropertyTaxHistory+VATincome+BS!CU22-BS!CV22</f>
        <v>4582.8438278105123</v>
      </c>
      <c r="CW17" s="41">
        <f>OperationCostsHistory-LaborCostsHistory-PropertyTaxHistory+VATincome+BS!CV22-BS!CW22</f>
        <v>4598.1199739032145</v>
      </c>
      <c r="CX17" s="41">
        <f>OperationCostsHistory-LaborCostsHistory-PropertyTaxHistory+VATincome+BS!CW22-BS!CX22</f>
        <v>4613.4470404828926</v>
      </c>
      <c r="CY17" s="41">
        <f>OperationCostsHistory-LaborCostsHistory-PropertyTaxHistory+VATincome+BS!CX22-BS!CY22</f>
        <v>4628.8251972845028</v>
      </c>
      <c r="CZ17" s="41">
        <f>OperationCostsHistory-LaborCostsHistory-PropertyTaxHistory+VATincome+BS!CY22-BS!CZ22</f>
        <v>4644.2546146087825</v>
      </c>
      <c r="DA17" s="41">
        <f>OperationCostsHistory-LaborCostsHistory-PropertyTaxHistory+VATincome+BS!CZ22-BS!DA22</f>
        <v>4659.7354633241475</v>
      </c>
      <c r="DB17" s="41">
        <f>OperationCostsHistory-LaborCostsHistory-PropertyTaxHistory+VATincome+BS!DA22-BS!DB22</f>
        <v>4675.2679148685584</v>
      </c>
      <c r="DC17" s="41">
        <f>OperationCostsHistory-LaborCostsHistory-PropertyTaxHistory+VATincome+BS!DB22-BS!DC22</f>
        <v>4690.8521412514547</v>
      </c>
      <c r="DD17" s="41">
        <f>OperationCostsHistory-LaborCostsHistory-PropertyTaxHistory+VATincome+BS!DC22-BS!DD22</f>
        <v>4706.4883150556288</v>
      </c>
      <c r="DE17" s="41">
        <f>OperationCostsHistory-LaborCostsHistory-PropertyTaxHistory+VATincome+BS!DD22-BS!DE22</f>
        <v>4722.1766094391487</v>
      </c>
      <c r="DF17" s="41">
        <f>OperationCostsHistory-LaborCostsHistory-PropertyTaxHistory+VATincome+BS!DE22-BS!DF22</f>
        <v>4737.9171981372783</v>
      </c>
      <c r="DG17" s="41">
        <f>OperationCostsHistory-LaborCostsHistory-PropertyTaxHistory+VATincome+BS!DF22-BS!DG22</f>
        <v>4753.7102554644025</v>
      </c>
      <c r="DH17" s="41">
        <f>OperationCostsHistory-LaborCostsHistory-PropertyTaxHistory+VATincome+BS!DG22-BS!DH22</f>
        <v>4769.5559563159513</v>
      </c>
      <c r="DI17" s="41">
        <f>OperationCostsHistory-LaborCostsHistory-PropertyTaxHistory+VATincome+BS!DH22-BS!DI22</f>
        <v>4785.4544761703382</v>
      </c>
    </row>
    <row r="18" spans="2:113" x14ac:dyDescent="0.3">
      <c r="B18" s="6" t="s">
        <v>147</v>
      </c>
      <c r="D18" s="27">
        <f t="shared" si="43"/>
        <v>45474.640032896219</v>
      </c>
      <c r="F18" s="41">
        <f>LaborCostsHistory/1.302+BS!E23-BS!F23</f>
        <v>468.31626557433003</v>
      </c>
      <c r="G18" s="41">
        <f>LaborCostsHistory/1.302+BS!F23-BS!G23</f>
        <v>350.75211924674289</v>
      </c>
      <c r="H18" s="41">
        <f>LaborCostsHistory/1.302+BS!G23-BS!H23</f>
        <v>351.92129297756549</v>
      </c>
      <c r="I18" s="41">
        <f>LaborCostsHistory/1.302+BS!H23-BS!I23</f>
        <v>353.09436395415742</v>
      </c>
      <c r="J18" s="41">
        <f>LaborCostsHistory/1.302+BS!I23-BS!J23</f>
        <v>354.27134516733793</v>
      </c>
      <c r="K18" s="41">
        <f>LaborCostsHistory/1.302+BS!J23-BS!K23</f>
        <v>355.45224965122912</v>
      </c>
      <c r="L18" s="41">
        <f>LaborCostsHistory/1.302+BS!K23-BS!L23</f>
        <v>356.63709048339996</v>
      </c>
      <c r="M18" s="41">
        <f>LaborCostsHistory/1.302+BS!L23-BS!M23</f>
        <v>357.82588078501129</v>
      </c>
      <c r="N18" s="41">
        <f>LaborCostsHistory/1.302+BS!M23-BS!N23</f>
        <v>359.01863372096136</v>
      </c>
      <c r="O18" s="41">
        <f>LaborCostsHistory/1.302+BS!N23-BS!O23</f>
        <v>360.21536250003129</v>
      </c>
      <c r="P18" s="41">
        <f>LaborCostsHistory/1.302+BS!O23-BS!P23</f>
        <v>361.41608037503136</v>
      </c>
      <c r="Q18" s="41">
        <f>LaborCostsHistory/1.302+BS!P23-BS!Q23</f>
        <v>362.6208006429481</v>
      </c>
      <c r="R18" s="41">
        <f>LaborCostsHistory/1.302+BS!Q23-BS!R23</f>
        <v>363.82953664509125</v>
      </c>
      <c r="S18" s="41">
        <f>LaborCostsHistory/1.302+BS!R23-BS!S23</f>
        <v>365.04230176724161</v>
      </c>
      <c r="T18" s="41">
        <f>LaborCostsHistory/1.302+BS!S23-BS!T23</f>
        <v>366.25910943979915</v>
      </c>
      <c r="U18" s="41">
        <f>LaborCostsHistory/1.302+BS!T23-BS!U23</f>
        <v>367.47997313793184</v>
      </c>
      <c r="V18" s="41">
        <f>LaborCostsHistory/1.302+BS!U23-BS!V23</f>
        <v>368.70490638172487</v>
      </c>
      <c r="W18" s="41">
        <f>LaborCostsHistory/1.302+BS!V23-BS!W23</f>
        <v>369.93392273633077</v>
      </c>
      <c r="X18" s="41">
        <f>LaborCostsHistory/1.302+BS!W23-BS!X23</f>
        <v>371.16703581211851</v>
      </c>
      <c r="Y18" s="41">
        <f>LaborCostsHistory/1.302+BS!X23-BS!Y23</f>
        <v>372.40425926482561</v>
      </c>
      <c r="Z18" s="41">
        <f>LaborCostsHistory/1.302+BS!Y23-BS!Z23</f>
        <v>373.64560679570832</v>
      </c>
      <c r="AA18" s="41">
        <f>LaborCostsHistory/1.302+BS!Z23-BS!AA23</f>
        <v>374.89109215169412</v>
      </c>
      <c r="AB18" s="41">
        <f>LaborCostsHistory/1.302+BS!AA23-BS!AB23</f>
        <v>376.14072912553308</v>
      </c>
      <c r="AC18" s="41">
        <f>LaborCostsHistory/1.302+BS!AB23-BS!AC23</f>
        <v>377.39453155595163</v>
      </c>
      <c r="AD18" s="41">
        <f>LaborCostsHistory/1.302+BS!AC23-BS!AD23</f>
        <v>378.6525133278048</v>
      </c>
      <c r="AE18" s="41">
        <f>LaborCostsHistory/1.302+BS!AD23-BS!AE23</f>
        <v>379.91468837223078</v>
      </c>
      <c r="AF18" s="41">
        <f>LaborCostsHistory/1.302+BS!AE23-BS!AF23</f>
        <v>381.18107066680489</v>
      </c>
      <c r="AG18" s="41">
        <f>LaborCostsHistory/1.302+BS!AF23-BS!AG23</f>
        <v>382.45167423569433</v>
      </c>
      <c r="AH18" s="41">
        <f>LaborCostsHistory/1.302+BS!AG23-BS!AH23</f>
        <v>383.72651314981329</v>
      </c>
      <c r="AI18" s="41">
        <f>LaborCostsHistory/1.302+BS!AH23-BS!AI23</f>
        <v>385.00560152697938</v>
      </c>
      <c r="AJ18" s="41">
        <f>LaborCostsHistory/1.302+BS!AI23-BS!AJ23</f>
        <v>386.28895353206934</v>
      </c>
      <c r="AK18" s="41">
        <f>LaborCostsHistory/1.302+BS!AJ23-BS!AK23</f>
        <v>387.57658337717629</v>
      </c>
      <c r="AL18" s="41">
        <f>LaborCostsHistory/1.302+BS!AK23-BS!AL23</f>
        <v>388.86850532176692</v>
      </c>
      <c r="AM18" s="41">
        <f>LaborCostsHistory/1.302+BS!AL23-BS!AM23</f>
        <v>390.16473367283953</v>
      </c>
      <c r="AN18" s="41">
        <f>LaborCostsHistory/1.302+BS!AM23-BS!AN23</f>
        <v>391.46528278508237</v>
      </c>
      <c r="AO18" s="41">
        <f>LaborCostsHistory/1.302+BS!AN23-BS!AO23</f>
        <v>392.77016706103268</v>
      </c>
      <c r="AP18" s="41">
        <f>LaborCostsHistory/1.302+BS!AO23-BS!AP23</f>
        <v>394.07940095123621</v>
      </c>
      <c r="AQ18" s="41">
        <f>LaborCostsHistory/1.302+BS!AP23-BS!AQ23</f>
        <v>395.39299895440706</v>
      </c>
      <c r="AR18" s="41">
        <f>LaborCostsHistory/1.302+BS!AQ23-BS!AR23</f>
        <v>396.71097561758825</v>
      </c>
      <c r="AS18" s="41">
        <f>LaborCostsHistory/1.302+BS!AR23-BS!AS23</f>
        <v>398.03334553631362</v>
      </c>
      <c r="AT18" s="41">
        <f>LaborCostsHistory/1.302+BS!AS23-BS!AT23</f>
        <v>399.36012335476801</v>
      </c>
      <c r="AU18" s="41">
        <f>LaborCostsHistory/1.302+BS!AT23-BS!AU23</f>
        <v>400.69132376595064</v>
      </c>
      <c r="AV18" s="41">
        <f>LaborCostsHistory/1.302+BS!AU23-BS!AV23</f>
        <v>402.02696151183727</v>
      </c>
      <c r="AW18" s="41">
        <f>LaborCostsHistory/1.302+BS!AV23-BS!AW23</f>
        <v>403.3670513835433</v>
      </c>
      <c r="AX18" s="41">
        <f>LaborCostsHistory/1.302+BS!AW23-BS!AX23</f>
        <v>404.71160822148852</v>
      </c>
      <c r="AY18" s="41">
        <f>LaborCostsHistory/1.302+BS!AX23-BS!AY23</f>
        <v>406.06064691556014</v>
      </c>
      <c r="AZ18" s="41">
        <f>LaborCostsHistory/1.302+BS!AY23-BS!AZ23</f>
        <v>407.41418240527872</v>
      </c>
      <c r="BA18" s="41">
        <f>LaborCostsHistory/1.302+BS!AZ23-BS!BA23</f>
        <v>408.77222967996295</v>
      </c>
      <c r="BB18" s="41">
        <f>LaborCostsHistory/1.302+BS!BA23-BS!BB23</f>
        <v>410.13480377889624</v>
      </c>
      <c r="BC18" s="41">
        <f>LaborCostsHistory/1.302+BS!BB23-BS!BC23</f>
        <v>411.50191979149247</v>
      </c>
      <c r="BD18" s="41">
        <f>LaborCostsHistory/1.302+BS!BC23-BS!BD23</f>
        <v>412.87359285746425</v>
      </c>
      <c r="BE18" s="41">
        <f>LaborCostsHistory/1.302+BS!BD23-BS!BE23</f>
        <v>414.24983816698909</v>
      </c>
      <c r="BF18" s="41">
        <f>LaborCostsHistory/1.302+BS!BE23-BS!BF23</f>
        <v>415.63067096087912</v>
      </c>
      <c r="BG18" s="41">
        <f>LaborCostsHistory/1.302+BS!BF23-BS!BG23</f>
        <v>417.01610653074874</v>
      </c>
      <c r="BH18" s="41">
        <f>LaborCostsHistory/1.302+BS!BG23-BS!BH23</f>
        <v>418.40616021918459</v>
      </c>
      <c r="BI18" s="41">
        <f>LaborCostsHistory/1.302+BS!BH23-BS!BI23</f>
        <v>419.80084741991516</v>
      </c>
      <c r="BJ18" s="41">
        <f>LaborCostsHistory/1.302+BS!BI23-BS!BJ23</f>
        <v>421.20018357798165</v>
      </c>
      <c r="BK18" s="41">
        <f>LaborCostsHistory/1.302+BS!BJ23-BS!BK23</f>
        <v>422.60418418990827</v>
      </c>
      <c r="BL18" s="41">
        <f>LaborCostsHistory/1.302+BS!BK23-BS!BL23</f>
        <v>424.01286480387455</v>
      </c>
      <c r="BM18" s="41">
        <f>LaborCostsHistory/1.302+BS!BL23-BS!BM23</f>
        <v>425.42624101988758</v>
      </c>
      <c r="BN18" s="41">
        <f>LaborCostsHistory/1.302+BS!BM23-BS!BN23</f>
        <v>426.84432848995402</v>
      </c>
      <c r="BO18" s="41">
        <f>LaborCostsHistory/1.302+BS!BN23-BS!BO23</f>
        <v>428.2671429182538</v>
      </c>
      <c r="BP18" s="41">
        <f>LaborCostsHistory/1.302+BS!BO23-BS!BP23</f>
        <v>429.69470006131473</v>
      </c>
      <c r="BQ18" s="41">
        <f>LaborCostsHistory/1.302+BS!BP23-BS!BQ23</f>
        <v>431.12701572818582</v>
      </c>
      <c r="BR18" s="41">
        <f>LaborCostsHistory/1.302+BS!BQ23-BS!BR23</f>
        <v>432.5641057806132</v>
      </c>
      <c r="BS18" s="41">
        <f>LaborCostsHistory/1.302+BS!BR23-BS!BS23</f>
        <v>434.00598613321517</v>
      </c>
      <c r="BT18" s="41">
        <f>LaborCostsHistory/1.302+BS!BS23-BS!BT23</f>
        <v>435.45267275365921</v>
      </c>
      <c r="BU18" s="41">
        <f>LaborCostsHistory/1.302+BS!BT23-BS!BU23</f>
        <v>436.9041816628382</v>
      </c>
      <c r="BV18" s="41">
        <f>LaborCostsHistory/1.302+BS!BU23-BS!BV23</f>
        <v>438.36052893504768</v>
      </c>
      <c r="BW18" s="41">
        <f>LaborCostsHistory/1.302+BS!BV23-BS!BW23</f>
        <v>439.8217306981644</v>
      </c>
      <c r="BX18" s="41">
        <f>LaborCostsHistory/1.302+BS!BW23-BS!BX23</f>
        <v>441.28780313382504</v>
      </c>
      <c r="BY18" s="41">
        <f>LaborCostsHistory/1.302+BS!BX23-BS!BY23</f>
        <v>442.75876247760448</v>
      </c>
      <c r="BZ18" s="41">
        <f>LaborCostsHistory/1.302+BS!BY23-BS!BZ23</f>
        <v>444.23462501919659</v>
      </c>
      <c r="CA18" s="41">
        <f>LaborCostsHistory/1.302+BS!BZ23-BS!CA23</f>
        <v>445.71540710259399</v>
      </c>
      <c r="CB18" s="41">
        <f>LaborCostsHistory/1.302+BS!CA23-BS!CB23</f>
        <v>447.20112512626929</v>
      </c>
      <c r="CC18" s="41">
        <f>LaborCostsHistory/1.302+BS!CB23-BS!CC23</f>
        <v>448.69179554335687</v>
      </c>
      <c r="CD18" s="41">
        <f>LaborCostsHistory/1.302+BS!CC23-BS!CD23</f>
        <v>450.18743486183484</v>
      </c>
      <c r="CE18" s="41">
        <f>LaborCostsHistory/1.302+BS!CD23-BS!CE23</f>
        <v>451.68805964470755</v>
      </c>
      <c r="CF18" s="41">
        <f>LaborCostsHistory/1.302+BS!CE23-BS!CF23</f>
        <v>453.19368651018999</v>
      </c>
      <c r="CG18" s="41">
        <f>LaborCostsHistory/1.302+BS!CF23-BS!CG23</f>
        <v>454.70433213189068</v>
      </c>
      <c r="CH18" s="41">
        <f>LaborCostsHistory/1.302+BS!CG23-BS!CH23</f>
        <v>456.22001323899713</v>
      </c>
      <c r="CI18" s="41">
        <f>LaborCostsHistory/1.302+BS!CH23-BS!CI23</f>
        <v>457.74074661646029</v>
      </c>
      <c r="CJ18" s="41">
        <f>LaborCostsHistory/1.302+BS!CI23-BS!CJ23</f>
        <v>459.26654910518192</v>
      </c>
      <c r="CK18" s="41">
        <f>LaborCostsHistory/1.302+BS!CJ23-BS!CK23</f>
        <v>460.79743760219918</v>
      </c>
      <c r="CL18" s="41">
        <f>LaborCostsHistory/1.302+BS!CK23-BS!CL23</f>
        <v>462.33342906087319</v>
      </c>
      <c r="CM18" s="41">
        <f>LaborCostsHistory/1.302+BS!CL23-BS!CM23</f>
        <v>463.87454049107606</v>
      </c>
      <c r="CN18" s="41">
        <f>LaborCostsHistory/1.302+BS!CM23-BS!CN23</f>
        <v>465.42078895937971</v>
      </c>
      <c r="CO18" s="41">
        <f>LaborCostsHistory/1.302+BS!CN23-BS!CO23</f>
        <v>466.9721915892444</v>
      </c>
      <c r="CP18" s="41">
        <f>LaborCostsHistory/1.302+BS!CO23-BS!CP23</f>
        <v>468.5287655612085</v>
      </c>
      <c r="CQ18" s="41">
        <f>LaborCostsHistory/1.302+BS!CP23-BS!CQ23</f>
        <v>470.0905281130793</v>
      </c>
      <c r="CR18" s="41">
        <f>LaborCostsHistory/1.302+BS!CQ23-BS!CR23</f>
        <v>471.65749654012308</v>
      </c>
      <c r="CS18" s="41">
        <f>LaborCostsHistory/1.302+BS!CR23-BS!CS23</f>
        <v>473.22968819525681</v>
      </c>
      <c r="CT18" s="41">
        <f>LaborCostsHistory/1.302+BS!CS23-BS!CT23</f>
        <v>474.80712048924102</v>
      </c>
      <c r="CU18" s="41">
        <f>LaborCostsHistory/1.302+BS!CT23-BS!CU23</f>
        <v>476.38981089087179</v>
      </c>
      <c r="CV18" s="41">
        <f>LaborCostsHistory/1.302+BS!CU23-BS!CV23</f>
        <v>477.97777692717483</v>
      </c>
      <c r="CW18" s="41">
        <f>LaborCostsHistory/1.302+BS!CV23-BS!CW23</f>
        <v>479.57103618359872</v>
      </c>
      <c r="CX18" s="41">
        <f>LaborCostsHistory/1.302+BS!CW23-BS!CX23</f>
        <v>481.16960630421079</v>
      </c>
      <c r="CY18" s="41">
        <f>LaborCostsHistory/1.302+BS!CX23-BS!CY23</f>
        <v>482.77350499189157</v>
      </c>
      <c r="CZ18" s="41">
        <f>LaborCostsHistory/1.302+BS!CY23-BS!CZ23</f>
        <v>484.38275000853127</v>
      </c>
      <c r="DA18" s="41">
        <f>LaborCostsHistory/1.302+BS!CZ23-BS!DA23</f>
        <v>485.99735917522639</v>
      </c>
      <c r="DB18" s="41">
        <f>LaborCostsHistory/1.302+BS!DA23-BS!DB23</f>
        <v>487.61735037247706</v>
      </c>
      <c r="DC18" s="41">
        <f>LaborCostsHistory/1.302+BS!DB23-BS!DC23</f>
        <v>489.24274154038545</v>
      </c>
      <c r="DD18" s="41">
        <f>LaborCostsHistory/1.302+BS!DC23-BS!DD23</f>
        <v>490.87355067885352</v>
      </c>
      <c r="DE18" s="41">
        <f>LaborCostsHistory/1.302+BS!DD23-BS!DE23</f>
        <v>492.50979584778298</v>
      </c>
      <c r="DF18" s="41">
        <f>LaborCostsHistory/1.302+BS!DE23-BS!DF23</f>
        <v>494.15149516727558</v>
      </c>
      <c r="DG18" s="41">
        <f>LaborCostsHistory/1.302+BS!DF23-BS!DG23</f>
        <v>495.79866681783324</v>
      </c>
      <c r="DH18" s="41">
        <f>LaborCostsHistory/1.302+BS!DG23-BS!DH23</f>
        <v>497.4513290405593</v>
      </c>
      <c r="DI18" s="41">
        <f>LaborCostsHistory/1.302+BS!DH23-BS!DI23</f>
        <v>499.10950013736129</v>
      </c>
    </row>
    <row r="19" spans="2:113" x14ac:dyDescent="0.3">
      <c r="B19" s="6" t="s">
        <v>150</v>
      </c>
      <c r="D19" s="27">
        <f t="shared" si="43"/>
        <v>13561.772505496767</v>
      </c>
      <c r="F19" s="41">
        <f>LaborCostsHistory/1.302*0.302+BS!E24-BS!F24</f>
        <v>0</v>
      </c>
      <c r="G19" s="41">
        <f>LaborCostsHistory/1.302*0.302+BS!F24-BS!G24</f>
        <v>105.69226830517152</v>
      </c>
      <c r="H19" s="41">
        <f>LaborCostsHistory/1.302*0.302+BS!G24-BS!H24</f>
        <v>106.04457586618878</v>
      </c>
      <c r="I19" s="41">
        <f>LaborCostsHistory/1.302*0.302+BS!H24-BS!I24</f>
        <v>106.39805778574275</v>
      </c>
      <c r="J19" s="41">
        <f>LaborCostsHistory/1.302*0.302+BS!I24-BS!J24</f>
        <v>106.7527179783619</v>
      </c>
      <c r="K19" s="41">
        <f>LaborCostsHistory/1.302*0.302+BS!J24-BS!K24</f>
        <v>107.10856037162316</v>
      </c>
      <c r="L19" s="41">
        <f>LaborCostsHistory/1.302*0.302+BS!K24-BS!L24</f>
        <v>107.46558890619524</v>
      </c>
      <c r="M19" s="41">
        <f>LaborCostsHistory/1.302*0.302+BS!L24-BS!M24</f>
        <v>107.82380753588255</v>
      </c>
      <c r="N19" s="41">
        <f>LaborCostsHistory/1.302*0.302+BS!M24-BS!N24</f>
        <v>108.18322022766884</v>
      </c>
      <c r="O19" s="41">
        <f>LaborCostsHistory/1.302*0.302+BS!N24-BS!O24</f>
        <v>108.54383096176106</v>
      </c>
      <c r="P19" s="41">
        <f>LaborCostsHistory/1.302*0.302+BS!O24-BS!P24</f>
        <v>108.9056437316336</v>
      </c>
      <c r="Q19" s="41">
        <f>LaborCostsHistory/1.302*0.302+BS!P24-BS!Q24</f>
        <v>109.2686625440724</v>
      </c>
      <c r="R19" s="41">
        <f>LaborCostsHistory/1.302*0.302+BS!Q24-BS!R24</f>
        <v>109.63289141921929</v>
      </c>
      <c r="S19" s="41">
        <f>LaborCostsHistory/1.302*0.302+BS!R24-BS!S24</f>
        <v>109.99833439061669</v>
      </c>
      <c r="T19" s="41">
        <f>LaborCostsHistory/1.302*0.302+BS!S24-BS!T24</f>
        <v>110.3649955052521</v>
      </c>
      <c r="U19" s="41">
        <f>LaborCostsHistory/1.302*0.302+BS!T24-BS!U24</f>
        <v>110.73287882360295</v>
      </c>
      <c r="V19" s="41">
        <f>LaborCostsHistory/1.302*0.302+BS!U24-BS!V24</f>
        <v>111.10198841968162</v>
      </c>
      <c r="W19" s="41">
        <f>LaborCostsHistory/1.302*0.302+BS!V24-BS!W24</f>
        <v>111.47232838108057</v>
      </c>
      <c r="X19" s="41">
        <f>LaborCostsHistory/1.302*0.302+BS!W24-BS!X24</f>
        <v>111.84390280901755</v>
      </c>
      <c r="Y19" s="41">
        <f>LaborCostsHistory/1.302*0.302+BS!X24-BS!Y24</f>
        <v>112.21671581838093</v>
      </c>
      <c r="Z19" s="41">
        <f>LaborCostsHistory/1.302*0.302+BS!Y24-BS!Z24</f>
        <v>112.59077153777552</v>
      </c>
      <c r="AA19" s="41">
        <f>LaborCostsHistory/1.302*0.302+BS!Z24-BS!AA24</f>
        <v>112.96607410956813</v>
      </c>
      <c r="AB19" s="41">
        <f>LaborCostsHistory/1.302*0.302+BS!AA24-BS!AB24</f>
        <v>113.34262768993335</v>
      </c>
      <c r="AC19" s="41">
        <f>LaborCostsHistory/1.302*0.302+BS!AB24-BS!AC24</f>
        <v>113.72043644889982</v>
      </c>
      <c r="AD19" s="41">
        <f>LaborCostsHistory/1.302*0.302+BS!AC24-BS!AD24</f>
        <v>114.09950457039616</v>
      </c>
      <c r="AE19" s="41">
        <f>LaborCostsHistory/1.302*0.302+BS!AD24-BS!AE24</f>
        <v>114.47983625229747</v>
      </c>
      <c r="AF19" s="41">
        <f>LaborCostsHistory/1.302*0.302+BS!AE24-BS!AF24</f>
        <v>114.8614357064718</v>
      </c>
      <c r="AG19" s="41">
        <f>LaborCostsHistory/1.302*0.302+BS!AF24-BS!AG24</f>
        <v>115.24430715882671</v>
      </c>
      <c r="AH19" s="41">
        <f>LaborCostsHistory/1.302*0.302+BS!AG24-BS!AH24</f>
        <v>115.62845484935615</v>
      </c>
      <c r="AI19" s="41">
        <f>LaborCostsHistory/1.302*0.302+BS!AH24-BS!AI24</f>
        <v>116.01388303218735</v>
      </c>
      <c r="AJ19" s="41">
        <f>LaborCostsHistory/1.302*0.302+BS!AI24-BS!AJ24</f>
        <v>116.40059597562795</v>
      </c>
      <c r="AK19" s="41">
        <f>LaborCostsHistory/1.302*0.302+BS!AJ24-BS!AK24</f>
        <v>116.78859796221343</v>
      </c>
      <c r="AL19" s="41">
        <f>LaborCostsHistory/1.302*0.302+BS!AK24-BS!AL24</f>
        <v>117.17789328875415</v>
      </c>
      <c r="AM19" s="41">
        <f>LaborCostsHistory/1.302*0.302+BS!AL24-BS!AM24</f>
        <v>117.56848626638333</v>
      </c>
      <c r="AN19" s="41">
        <f>LaborCostsHistory/1.302*0.302+BS!AM24-BS!AN24</f>
        <v>117.96038122060462</v>
      </c>
      <c r="AO19" s="41">
        <f>LaborCostsHistory/1.302*0.302+BS!AN24-BS!AO24</f>
        <v>118.35358249134001</v>
      </c>
      <c r="AP19" s="41">
        <f>LaborCostsHistory/1.302*0.302+BS!AO24-BS!AP24</f>
        <v>118.74809443297782</v>
      </c>
      <c r="AQ19" s="41">
        <f>LaborCostsHistory/1.302*0.302+BS!AP24-BS!AQ24</f>
        <v>119.14392141442107</v>
      </c>
      <c r="AR19" s="41">
        <f>LaborCostsHistory/1.302*0.302+BS!AQ24-BS!AR24</f>
        <v>119.54106781913582</v>
      </c>
      <c r="AS19" s="41">
        <f>LaborCostsHistory/1.302*0.302+BS!AR24-BS!AS24</f>
        <v>119.93953804519958</v>
      </c>
      <c r="AT19" s="41">
        <f>LaborCostsHistory/1.302*0.302+BS!AS24-BS!AT24</f>
        <v>120.33933650535026</v>
      </c>
      <c r="AU19" s="41">
        <f>LaborCostsHistory/1.302*0.302+BS!AT24-BS!AU24</f>
        <v>120.7404676270348</v>
      </c>
      <c r="AV19" s="41">
        <f>LaborCostsHistory/1.302*0.302+BS!AU24-BS!AV24</f>
        <v>121.14293585245824</v>
      </c>
      <c r="AW19" s="41">
        <f>LaborCostsHistory/1.302*0.302+BS!AV24-BS!AW24</f>
        <v>121.54674563863311</v>
      </c>
      <c r="AX19" s="41">
        <f>LaborCostsHistory/1.302*0.302+BS!AW24-BS!AX24</f>
        <v>121.95190145742858</v>
      </c>
      <c r="AY19" s="41">
        <f>LaborCostsHistory/1.302*0.302+BS!AX24-BS!AY24</f>
        <v>122.35840779562001</v>
      </c>
      <c r="AZ19" s="41">
        <f>LaborCostsHistory/1.302*0.302+BS!AY24-BS!AZ24</f>
        <v>122.76626915493875</v>
      </c>
      <c r="BA19" s="41">
        <f>LaborCostsHistory/1.302*0.302+BS!AZ24-BS!BA24</f>
        <v>123.17549005212184</v>
      </c>
      <c r="BB19" s="41">
        <f>LaborCostsHistory/1.302*0.302+BS!BA24-BS!BB24</f>
        <v>123.58607501896228</v>
      </c>
      <c r="BC19" s="41">
        <f>LaborCostsHistory/1.302*0.302+BS!BB24-BS!BC24</f>
        <v>123.99802860235883</v>
      </c>
      <c r="BD19" s="41">
        <f>LaborCostsHistory/1.302*0.302+BS!BC24-BS!BD24</f>
        <v>124.41135536436671</v>
      </c>
      <c r="BE19" s="41">
        <f>LaborCostsHistory/1.302*0.302+BS!BD24-BS!BE24</f>
        <v>124.82605988224793</v>
      </c>
      <c r="BF19" s="41">
        <f>LaborCostsHistory/1.302*0.302+BS!BE24-BS!BF24</f>
        <v>125.24214674852207</v>
      </c>
      <c r="BG19" s="41">
        <f>LaborCostsHistory/1.302*0.302+BS!BF24-BS!BG24</f>
        <v>125.65962057101719</v>
      </c>
      <c r="BH19" s="41">
        <f>LaborCostsHistory/1.302*0.302+BS!BG24-BS!BH24</f>
        <v>126.07848597292056</v>
      </c>
      <c r="BI19" s="41">
        <f>LaborCostsHistory/1.302*0.302+BS!BH24-BS!BI24</f>
        <v>126.49874759283033</v>
      </c>
      <c r="BJ19" s="41">
        <f>LaborCostsHistory/1.302*0.302+BS!BI24-BS!BJ24</f>
        <v>126.92041008480642</v>
      </c>
      <c r="BK19" s="41">
        <f>LaborCostsHistory/1.302*0.302+BS!BJ24-BS!BK24</f>
        <v>127.34347811842245</v>
      </c>
      <c r="BL19" s="41">
        <f>LaborCostsHistory/1.302*0.302+BS!BK24-BS!BL24</f>
        <v>127.76795637881722</v>
      </c>
      <c r="BM19" s="41">
        <f>LaborCostsHistory/1.302*0.302+BS!BL24-BS!BM24</f>
        <v>128.19384956674659</v>
      </c>
      <c r="BN19" s="41">
        <f>LaborCostsHistory/1.302*0.302+BS!BM24-BS!BN24</f>
        <v>128.62116239863576</v>
      </c>
      <c r="BO19" s="41">
        <f>LaborCostsHistory/1.302*0.302+BS!BN24-BS!BO24</f>
        <v>129.04989960663124</v>
      </c>
      <c r="BP19" s="41">
        <f>LaborCostsHistory/1.302*0.302+BS!BO24-BS!BP24</f>
        <v>129.48006593865335</v>
      </c>
      <c r="BQ19" s="41">
        <f>LaborCostsHistory/1.302*0.302+BS!BP24-BS!BQ24</f>
        <v>129.9116661584489</v>
      </c>
      <c r="BR19" s="41">
        <f>LaborCostsHistory/1.302*0.302+BS!BQ24-BS!BR24</f>
        <v>130.34470504564371</v>
      </c>
      <c r="BS19" s="41">
        <f>LaborCostsHistory/1.302*0.302+BS!BR24-BS!BS24</f>
        <v>130.77918739579587</v>
      </c>
      <c r="BT19" s="41">
        <f>LaborCostsHistory/1.302*0.302+BS!BS24-BS!BT24</f>
        <v>131.21511802044856</v>
      </c>
      <c r="BU19" s="41">
        <f>LaborCostsHistory/1.302*0.302+BS!BT24-BS!BU24</f>
        <v>131.65250174718335</v>
      </c>
      <c r="BV19" s="41">
        <f>LaborCostsHistory/1.302*0.302+BS!BU24-BS!BV24</f>
        <v>132.09134341967399</v>
      </c>
      <c r="BW19" s="41">
        <f>LaborCostsHistory/1.302*0.302+BS!BV24-BS!BW24</f>
        <v>132.53164789773956</v>
      </c>
      <c r="BX19" s="41">
        <f>LaborCostsHistory/1.302*0.302+BS!BW24-BS!BX24</f>
        <v>132.9734200573987</v>
      </c>
      <c r="BY19" s="41">
        <f>LaborCostsHistory/1.302*0.302+BS!BX24-BS!BY24</f>
        <v>133.41666479092339</v>
      </c>
      <c r="BZ19" s="41">
        <f>LaborCostsHistory/1.302*0.302+BS!BY24-BS!BZ24</f>
        <v>133.86138700689315</v>
      </c>
      <c r="CA19" s="41">
        <f>LaborCostsHistory/1.302*0.302+BS!BZ24-BS!CA24</f>
        <v>134.30759163024948</v>
      </c>
      <c r="CB19" s="41">
        <f>LaborCostsHistory/1.302*0.302+BS!CA24-BS!CB24</f>
        <v>134.75528360235029</v>
      </c>
      <c r="CC19" s="41">
        <f>LaborCostsHistory/1.302*0.302+BS!CB24-BS!CC24</f>
        <v>135.20446788102484</v>
      </c>
      <c r="CD19" s="41">
        <f>LaborCostsHistory/1.302*0.302+BS!CC24-BS!CD24</f>
        <v>135.65514944062824</v>
      </c>
      <c r="CE19" s="41">
        <f>LaborCostsHistory/1.302*0.302+BS!CD24-BS!CE24</f>
        <v>136.10733327209707</v>
      </c>
      <c r="CF19" s="41">
        <f>LaborCostsHistory/1.302*0.302+BS!CE24-BS!CF24</f>
        <v>136.56102438300402</v>
      </c>
      <c r="CG19" s="41">
        <f>LaborCostsHistory/1.302*0.302+BS!CF24-BS!CG24</f>
        <v>137.01622779761402</v>
      </c>
      <c r="CH19" s="41">
        <f>LaborCostsHistory/1.302*0.302+BS!CG24-BS!CH24</f>
        <v>137.47294855693943</v>
      </c>
      <c r="CI19" s="41">
        <f>LaborCostsHistory/1.302*0.302+BS!CH24-BS!CI24</f>
        <v>137.93119171879593</v>
      </c>
      <c r="CJ19" s="41">
        <f>LaborCostsHistory/1.302*0.302+BS!CI24-BS!CJ24</f>
        <v>138.39096235785857</v>
      </c>
      <c r="CK19" s="41">
        <f>LaborCostsHistory/1.302*0.302+BS!CJ24-BS!CK24</f>
        <v>138.85226556571811</v>
      </c>
      <c r="CL19" s="41">
        <f>LaborCostsHistory/1.302*0.302+BS!CK24-BS!CL24</f>
        <v>139.31510645093718</v>
      </c>
      <c r="CM19" s="41">
        <f>LaborCostsHistory/1.302*0.302+BS!CL24-BS!CM24</f>
        <v>139.77949013910697</v>
      </c>
      <c r="CN19" s="41">
        <f>LaborCostsHistory/1.302*0.302+BS!CM24-BS!CN24</f>
        <v>140.24542177290402</v>
      </c>
      <c r="CO19" s="41">
        <f>LaborCostsHistory/1.302*0.302+BS!CN24-BS!CO24</f>
        <v>140.71290651214701</v>
      </c>
      <c r="CP19" s="41">
        <f>LaborCostsHistory/1.302*0.302+BS!CO24-BS!CP24</f>
        <v>141.18194953385421</v>
      </c>
      <c r="CQ19" s="41">
        <f>LaborCostsHistory/1.302*0.302+BS!CP24-BS!CQ24</f>
        <v>141.6525560323004</v>
      </c>
      <c r="CR19" s="41">
        <f>LaborCostsHistory/1.302*0.302+BS!CQ24-BS!CR24</f>
        <v>142.12473121907479</v>
      </c>
      <c r="CS19" s="41">
        <f>LaborCostsHistory/1.302*0.302+BS!CR24-BS!CS24</f>
        <v>142.59848032313829</v>
      </c>
      <c r="CT19" s="41">
        <f>LaborCostsHistory/1.302*0.302+BS!CS24-BS!CT24</f>
        <v>143.07380859088212</v>
      </c>
      <c r="CU19" s="41">
        <f>LaborCostsHistory/1.302*0.302+BS!CT24-BS!CU24</f>
        <v>143.55072128618511</v>
      </c>
      <c r="CV19" s="41">
        <f>LaborCostsHistory/1.302*0.302+BS!CU24-BS!CV24</f>
        <v>144.02922369047241</v>
      </c>
      <c r="CW19" s="41">
        <f>LaborCostsHistory/1.302*0.302+BS!CV24-BS!CW24</f>
        <v>144.50932110277401</v>
      </c>
      <c r="CX19" s="41">
        <f>LaborCostsHistory/1.302*0.302+BS!CW24-BS!CX24</f>
        <v>144.99101883978318</v>
      </c>
      <c r="CY19" s="41">
        <f>LaborCostsHistory/1.302*0.302+BS!CX24-BS!CY24</f>
        <v>145.47432223591585</v>
      </c>
      <c r="CZ19" s="41">
        <f>LaborCostsHistory/1.302*0.302+BS!CY24-BS!CZ24</f>
        <v>145.95923664336891</v>
      </c>
      <c r="DA19" s="41">
        <f>LaborCostsHistory/1.302*0.302+BS!CZ24-BS!DA24</f>
        <v>146.44576743218016</v>
      </c>
      <c r="DB19" s="41">
        <f>LaborCostsHistory/1.302*0.302+BS!DA24-BS!DB24</f>
        <v>146.93391999028742</v>
      </c>
      <c r="DC19" s="41">
        <f>LaborCostsHistory/1.302*0.302+BS!DB24-BS!DC24</f>
        <v>147.42369972358841</v>
      </c>
      <c r="DD19" s="41">
        <f>LaborCostsHistory/1.302*0.302+BS!DC24-BS!DD24</f>
        <v>147.9151120560004</v>
      </c>
      <c r="DE19" s="41">
        <f>LaborCostsHistory/1.302*0.302+BS!DD24-BS!DE24</f>
        <v>148.40816242952044</v>
      </c>
      <c r="DF19" s="41">
        <f>LaborCostsHistory/1.302*0.302+BS!DE24-BS!DF24</f>
        <v>148.90285630428548</v>
      </c>
      <c r="DG19" s="41">
        <f>LaborCostsHistory/1.302*0.302+BS!DF24-BS!DG24</f>
        <v>149.39919915863311</v>
      </c>
      <c r="DH19" s="41">
        <f>LaborCostsHistory/1.302*0.302+BS!DG24-BS!DH24</f>
        <v>149.8971964891619</v>
      </c>
      <c r="DI19" s="41">
        <f>LaborCostsHistory/1.302*0.302+BS!DH24-BS!DI24</f>
        <v>150.39685381079244</v>
      </c>
    </row>
    <row r="20" spans="2:113" x14ac:dyDescent="0.3">
      <c r="B20" s="6" t="s">
        <v>39</v>
      </c>
      <c r="D20" s="27">
        <f t="shared" si="43"/>
        <v>270777.39018806291</v>
      </c>
      <c r="E20" s="16"/>
      <c r="F20" s="41">
        <f>IF(F8=Start,IF((VATrevenue-VATincome)&gt;0,VATrevenue-VATincome+TaxDebt-BS!F26-IncomeVAT,IF((VATrevenue-VATincome)&gt;0,VATrevenue-VATincome+BS!E26-BS!F26,0)))</f>
        <v>5813</v>
      </c>
      <c r="G20" s="41">
        <f>IF((VATrevenue-VATincome)&gt;0,VATrevenue-VATincome,0)+BS!F26-BS!G26</f>
        <v>706.11986666666678</v>
      </c>
      <c r="H20" s="41">
        <f>IF((VATrevenue-VATincome)&gt;0,VATrevenue-VATincome,0)+BS!G26-BS!H26</f>
        <v>806.10737949590964</v>
      </c>
      <c r="I20" s="41">
        <f>IF((VATrevenue-VATincome)&gt;0,VATrevenue-VATincome,0)+BS!H26-BS!I26</f>
        <v>914.80705218994035</v>
      </c>
      <c r="J20" s="41">
        <f>IF((VATrevenue-VATincome)&gt;0,VATrevenue-VATincome,0)+BS!I26-BS!J26</f>
        <v>1020.7912705686667</v>
      </c>
      <c r="K20" s="41">
        <f>IF((VATrevenue-VATincome)&gt;0,VATrevenue-VATincome,0)+BS!J26-BS!K26</f>
        <v>1130.9144851385568</v>
      </c>
      <c r="L20" s="41">
        <f>IF((VATrevenue-VATincome)&gt;0,VATrevenue-VATincome,0)+BS!K26-BS!L26</f>
        <v>1238.3064377580499</v>
      </c>
      <c r="M20" s="41">
        <f>IF((VATrevenue-VATincome)&gt;0,VATrevenue-VATincome,0)+BS!L26-BS!M26</f>
        <v>1349.8673591827687</v>
      </c>
      <c r="N20" s="41">
        <f>IF((VATrevenue-VATincome)&gt;0,VATrevenue-VATincome,0)+BS!M26-BS!N26</f>
        <v>1462.1582611232334</v>
      </c>
      <c r="O20" s="41">
        <f>IF((VATrevenue-VATincome)&gt;0,VATrevenue-VATincome,0)+BS!N26-BS!O26</f>
        <v>1564.7165787546041</v>
      </c>
      <c r="P20" s="41">
        <f>IF((VATrevenue-VATincome)&gt;0,VATrevenue-VATincome,0)+BS!O26-BS!P26</f>
        <v>1678.4434514024183</v>
      </c>
      <c r="Q20" s="41">
        <f>IF((VATrevenue-VATincome)&gt;0,VATrevenue-VATincome,0)+BS!P26-BS!Q26</f>
        <v>1789.3990898951852</v>
      </c>
      <c r="R20" s="41">
        <f>IF((VATrevenue-VATincome)&gt;0,VATrevenue-VATincome,0)+BS!Q26-BS!R26</f>
        <v>1904.5995175977109</v>
      </c>
      <c r="S20" s="41">
        <f>IF((VATrevenue-VATincome)&gt;0,VATrevenue-VATincome,0)+BS!R26-BS!S26</f>
        <v>2235.8180878170278</v>
      </c>
      <c r="T20" s="41">
        <f>IF((VATrevenue-VATincome)&gt;0,VATrevenue-VATincome,0)+BS!S26-BS!T26</f>
        <v>2243.2708147764192</v>
      </c>
      <c r="U20" s="41">
        <f>IF((VATrevenue-VATincome)&gt;0,VATrevenue-VATincome,0)+BS!T26-BS!U26</f>
        <v>2250.7483841590065</v>
      </c>
      <c r="V20" s="41">
        <f>IF((VATrevenue-VATincome)&gt;0,VATrevenue-VATincome,0)+BS!U26-BS!V26</f>
        <v>2258.2508787728698</v>
      </c>
      <c r="W20" s="41">
        <f>IF((VATrevenue-VATincome)&gt;0,VATrevenue-VATincome,0)+BS!V26-BS!W26</f>
        <v>2265.7783817021132</v>
      </c>
      <c r="X20" s="41">
        <f>IF((VATrevenue-VATincome)&gt;0,VATrevenue-VATincome,0)+BS!W26-BS!X26</f>
        <v>2273.3309763077873</v>
      </c>
      <c r="Y20" s="41">
        <f>IF((VATrevenue-VATincome)&gt;0,VATrevenue-VATincome,0)+BS!X26-BS!Y26</f>
        <v>2280.908746228813</v>
      </c>
      <c r="Z20" s="41">
        <f>IF((VATrevenue-VATincome)&gt;0,VATrevenue-VATincome,0)+BS!Y26-BS!Z26</f>
        <v>2288.5117753829099</v>
      </c>
      <c r="AA20" s="41">
        <f>IF((VATrevenue-VATincome)&gt;0,VATrevenue-VATincome,0)+BS!Z26-BS!AA26</f>
        <v>2296.1401479675201</v>
      </c>
      <c r="AB20" s="41">
        <f>IF((VATrevenue-VATincome)&gt;0,VATrevenue-VATincome,0)+BS!AA26-BS!AB26</f>
        <v>2303.7939484607446</v>
      </c>
      <c r="AC20" s="41">
        <f>IF((VATrevenue-VATincome)&gt;0,VATrevenue-VATincome,0)+BS!AB26-BS!AC26</f>
        <v>2311.47326162228</v>
      </c>
      <c r="AD20" s="41">
        <f>IF((VATrevenue-VATincome)&gt;0,VATrevenue-VATincome,0)+BS!AC26-BS!AD26</f>
        <v>2319.1781724943544</v>
      </c>
      <c r="AE20" s="41">
        <f>IF((VATrevenue-VATincome)&gt;0,VATrevenue-VATincome,0)+BS!AD26-BS!AE26</f>
        <v>2326.9087664026697</v>
      </c>
      <c r="AF20" s="41">
        <f>IF((VATrevenue-VATincome)&gt;0,VATrevenue-VATincome,0)+BS!AE26-BS!AF26</f>
        <v>2334.6651289573456</v>
      </c>
      <c r="AG20" s="41">
        <f>IF((VATrevenue-VATincome)&gt;0,VATrevenue-VATincome,0)+BS!AF26-BS!AG26</f>
        <v>2342.4473460538707</v>
      </c>
      <c r="AH20" s="41">
        <f>IF((VATrevenue-VATincome)&gt;0,VATrevenue-VATincome,0)+BS!AG26-BS!AH26</f>
        <v>2350.2555038740497</v>
      </c>
      <c r="AI20" s="41">
        <f>IF((VATrevenue-VATincome)&gt;0,VATrevenue-VATincome,0)+BS!AH26-BS!AI26</f>
        <v>2358.0896888869638</v>
      </c>
      <c r="AJ20" s="41">
        <f>IF((VATrevenue-VATincome)&gt;0,VATrevenue-VATincome,0)+BS!AI26-BS!AJ26</f>
        <v>2365.94998784992</v>
      </c>
      <c r="AK20" s="41">
        <f>IF((VATrevenue-VATincome)&gt;0,VATrevenue-VATincome,0)+BS!AJ26-BS!AK26</f>
        <v>2373.8364878094199</v>
      </c>
      <c r="AL20" s="41">
        <f>IF((VATrevenue-VATincome)&gt;0,VATrevenue-VATincome,0)+BS!AK26-BS!AL26</f>
        <v>2381.7492761021185</v>
      </c>
      <c r="AM20" s="41">
        <f>IF((VATrevenue-VATincome)&gt;0,VATrevenue-VATincome,0)+BS!AL26-BS!AM26</f>
        <v>2389.688440355792</v>
      </c>
      <c r="AN20" s="41">
        <f>IF((VATrevenue-VATincome)&gt;0,VATrevenue-VATincome,0)+BS!AM26-BS!AN26</f>
        <v>2397.654068490313</v>
      </c>
      <c r="AO20" s="41">
        <f>IF((VATrevenue-VATincome)&gt;0,VATrevenue-VATincome,0)+BS!AN26-BS!AO26</f>
        <v>2405.6462487186132</v>
      </c>
      <c r="AP20" s="41">
        <f>IF((VATrevenue-VATincome)&gt;0,VATrevenue-VATincome,0)+BS!AO26-BS!AP26</f>
        <v>2413.6650695476756</v>
      </c>
      <c r="AQ20" s="41">
        <f>IF((VATrevenue-VATincome)&gt;0,VATrevenue-VATincome,0)+BS!AP26-BS!AQ26</f>
        <v>2421.710619779501</v>
      </c>
      <c r="AR20" s="41">
        <f>IF((VATrevenue-VATincome)&gt;0,VATrevenue-VATincome,0)+BS!AQ26-BS!AR26</f>
        <v>2429.7829885121005</v>
      </c>
      <c r="AS20" s="41">
        <f>IF((VATrevenue-VATincome)&gt;0,VATrevenue-VATincome,0)+BS!AR26-BS!AS26</f>
        <v>2437.882265140473</v>
      </c>
      <c r="AT20" s="41">
        <f>IF((VATrevenue-VATincome)&gt;0,VATrevenue-VATincome,0)+BS!AS26-BS!AT26</f>
        <v>2446.0085393576092</v>
      </c>
      <c r="AU20" s="41">
        <f>IF((VATrevenue-VATincome)&gt;0,VATrevenue-VATincome,0)+BS!AT26-BS!AU26</f>
        <v>2454.1619011554676</v>
      </c>
      <c r="AV20" s="41">
        <f>IF((VATrevenue-VATincome)&gt;0,VATrevenue-VATincome,0)+BS!AU26-BS!AV26</f>
        <v>2462.3424408259866</v>
      </c>
      <c r="AW20" s="41">
        <f>IF((VATrevenue-VATincome)&gt;0,VATrevenue-VATincome,0)+BS!AV26-BS!AW26</f>
        <v>2470.5502489620726</v>
      </c>
      <c r="AX20" s="41">
        <f>IF((VATrevenue-VATincome)&gt;0,VATrevenue-VATincome,0)+BS!AW26-BS!AX26</f>
        <v>2478.7854164586124</v>
      </c>
      <c r="AY20" s="41">
        <f>IF((VATrevenue-VATincome)&gt;0,VATrevenue-VATincome,0)+BS!AX26-BS!AY26</f>
        <v>2487.0480345134756</v>
      </c>
      <c r="AZ20" s="41">
        <f>IF((VATrevenue-VATincome)&gt;0,VATrevenue-VATincome,0)+BS!AY26-BS!AZ26</f>
        <v>2495.3381946285203</v>
      </c>
      <c r="BA20" s="41">
        <f>IF((VATrevenue-VATincome)&gt;0,VATrevenue-VATincome,0)+BS!AZ26-BS!BA26</f>
        <v>2503.6559886106161</v>
      </c>
      <c r="BB20" s="41">
        <f>IF((VATrevenue-VATincome)&gt;0,VATrevenue-VATincome,0)+BS!BA26-BS!BB26</f>
        <v>2512.0015085726513</v>
      </c>
      <c r="BC20" s="41">
        <f>IF((VATrevenue-VATincome)&gt;0,VATrevenue-VATincome,0)+BS!BB26-BS!BC26</f>
        <v>2520.3748469345601</v>
      </c>
      <c r="BD20" s="41">
        <f>IF((VATrevenue-VATincome)&gt;0,VATrevenue-VATincome,0)+BS!BC26-BS!BD26</f>
        <v>2528.7760964243421</v>
      </c>
      <c r="BE20" s="41">
        <f>IF((VATrevenue-VATincome)&gt;0,VATrevenue-VATincome,0)+BS!BD26-BS!BE26</f>
        <v>2537.2053500790907</v>
      </c>
      <c r="BF20" s="41">
        <f>IF((VATrevenue-VATincome)&gt;0,VATrevenue-VATincome,0)+BS!BE26-BS!BF26</f>
        <v>2545.6627012460203</v>
      </c>
      <c r="BG20" s="41">
        <f>IF((VATrevenue-VATincome)&gt;0,VATrevenue-VATincome,0)+BS!BF26-BS!BG26</f>
        <v>2554.1482435835078</v>
      </c>
      <c r="BH20" s="41">
        <f>IF((VATrevenue-VATincome)&gt;0,VATrevenue-VATincome,0)+BS!BG26-BS!BH26</f>
        <v>2562.6620710621191</v>
      </c>
      <c r="BI20" s="41">
        <f>IF((VATrevenue-VATincome)&gt;0,VATrevenue-VATincome,0)+BS!BH26-BS!BI26</f>
        <v>2571.204277965659</v>
      </c>
      <c r="BJ20" s="41">
        <f>IF((VATrevenue-VATincome)&gt;0,VATrevenue-VATincome,0)+BS!BI26-BS!BJ26</f>
        <v>2579.7749588922115</v>
      </c>
      <c r="BK20" s="41">
        <f>IF((VATrevenue-VATincome)&gt;0,VATrevenue-VATincome,0)+BS!BJ26-BS!BK26</f>
        <v>2588.3742087551864</v>
      </c>
      <c r="BL20" s="41">
        <f>IF((VATrevenue-VATincome)&gt;0,VATrevenue-VATincome,0)+BS!BK26-BS!BL26</f>
        <v>2597.0021227843695</v>
      </c>
      <c r="BM20" s="41">
        <f>IF((VATrevenue-VATincome)&gt;0,VATrevenue-VATincome,0)+BS!BL26-BS!BM26</f>
        <v>2605.658796526985</v>
      </c>
      <c r="BN20" s="41">
        <f>IF((VATrevenue-VATincome)&gt;0,VATrevenue-VATincome,0)+BS!BM26-BS!BN26</f>
        <v>2614.3443258487423</v>
      </c>
      <c r="BO20" s="41">
        <f>IF((VATrevenue-VATincome)&gt;0,VATrevenue-VATincome,0)+BS!BN26-BS!BO26</f>
        <v>2623.0588069349046</v>
      </c>
      <c r="BP20" s="41">
        <f>IF((VATrevenue-VATincome)&gt;0,VATrevenue-VATincome,0)+BS!BO26-BS!BP26</f>
        <v>2631.8023362913559</v>
      </c>
      <c r="BQ20" s="41">
        <f>IF((VATrevenue-VATincome)&gt;0,VATrevenue-VATincome,0)+BS!BP26-BS!BQ26</f>
        <v>2640.5750107456593</v>
      </c>
      <c r="BR20" s="41">
        <f>IF((VATrevenue-VATincome)&gt;0,VATrevenue-VATincome,0)+BS!BQ26-BS!BR26</f>
        <v>2649.3769274481456</v>
      </c>
      <c r="BS20" s="41">
        <f>IF((VATrevenue-VATincome)&gt;0,VATrevenue-VATincome,0)+BS!BR26-BS!BS26</f>
        <v>2658.2081838729723</v>
      </c>
      <c r="BT20" s="41">
        <f>IF((VATrevenue-VATincome)&gt;0,VATrevenue-VATincome,0)+BS!BS26-BS!BT26</f>
        <v>2667.0688778192157</v>
      </c>
      <c r="BU20" s="41">
        <f>IF((VATrevenue-VATincome)&gt;0,VATrevenue-VATincome,0)+BS!BT26-BS!BU26</f>
        <v>2675.9591074119467</v>
      </c>
      <c r="BV20" s="41">
        <f>IF((VATrevenue-VATincome)&gt;0,VATrevenue-VATincome,0)+BS!BU26-BS!BV26</f>
        <v>2684.8789711033205</v>
      </c>
      <c r="BW20" s="41">
        <f>IF((VATrevenue-VATincome)&gt;0,VATrevenue-VATincome,0)+BS!BV26-BS!BW26</f>
        <v>2693.8285676736655</v>
      </c>
      <c r="BX20" s="41">
        <f>IF((VATrevenue-VATincome)&gt;0,VATrevenue-VATincome,0)+BS!BW26-BS!BX26</f>
        <v>2702.8079962325769</v>
      </c>
      <c r="BY20" s="41">
        <f>IF((VATrevenue-VATincome)&gt;0,VATrevenue-VATincome,0)+BS!BX26-BS!BY26</f>
        <v>2711.8173562200186</v>
      </c>
      <c r="BZ20" s="41">
        <f>IF((VATrevenue-VATincome)&gt;0,VATrevenue-VATincome,0)+BS!BY26-BS!BZ26</f>
        <v>2720.8567474074198</v>
      </c>
      <c r="CA20" s="41">
        <f>IF((VATrevenue-VATincome)&gt;0,VATrevenue-VATincome,0)+BS!BZ26-BS!CA26</f>
        <v>2729.9262698987777</v>
      </c>
      <c r="CB20" s="41">
        <f>IF((VATrevenue-VATincome)&gt;0,VATrevenue-VATincome,0)+BS!CA26-BS!CB26</f>
        <v>2739.0260241317737</v>
      </c>
      <c r="CC20" s="41">
        <f>IF((VATrevenue-VATincome)&gt;0,VATrevenue-VATincome,0)+BS!CB26-BS!CC26</f>
        <v>2748.1561108788806</v>
      </c>
      <c r="CD20" s="41">
        <f>IF((VATrevenue-VATincome)&gt;0,VATrevenue-VATincome,0)+BS!CC26-BS!CD26</f>
        <v>2757.3166312484759</v>
      </c>
      <c r="CE20" s="41">
        <f>IF((VATrevenue-VATincome)&gt;0,VATrevenue-VATincome,0)+BS!CD26-BS!CE26</f>
        <v>2766.5076866859727</v>
      </c>
      <c r="CF20" s="41">
        <f>IF((VATrevenue-VATincome)&gt;0,VATrevenue-VATincome,0)+BS!CE26-BS!CF26</f>
        <v>2775.7293789749256</v>
      </c>
      <c r="CG20" s="41">
        <f>IF((VATrevenue-VATincome)&gt;0,VATrevenue-VATincome,0)+BS!CF26-BS!CG26</f>
        <v>2784.9818102381755</v>
      </c>
      <c r="CH20" s="41">
        <f>IF((VATrevenue-VATincome)&gt;0,VATrevenue-VATincome,0)+BS!CG26-BS!CH26</f>
        <v>2794.26508293897</v>
      </c>
      <c r="CI20" s="41">
        <f>IF((VATrevenue-VATincome)&gt;0,VATrevenue-VATincome,0)+BS!CH26-BS!CI26</f>
        <v>2803.5792998820998</v>
      </c>
      <c r="CJ20" s="41">
        <f>IF((VATrevenue-VATincome)&gt;0,VATrevenue-VATincome,0)+BS!CI26-BS!CJ26</f>
        <v>2812.9245642150399</v>
      </c>
      <c r="CK20" s="41">
        <f>IF((VATrevenue-VATincome)&gt;0,VATrevenue-VATincome,0)+BS!CJ26-BS!CK26</f>
        <v>2822.3009794290897</v>
      </c>
      <c r="CL20" s="41">
        <f>IF((VATrevenue-VATincome)&gt;0,VATrevenue-VATincome,0)+BS!CK26-BS!CL26</f>
        <v>2831.7086493605207</v>
      </c>
      <c r="CM20" s="41">
        <f>IF((VATrevenue-VATincome)&gt;0,VATrevenue-VATincome,0)+BS!CL26-BS!CM26</f>
        <v>2841.1476781917218</v>
      </c>
      <c r="CN20" s="41">
        <f>IF((VATrevenue-VATincome)&gt;0,VATrevenue-VATincome,0)+BS!CM26-BS!CN26</f>
        <v>2850.6181704523615</v>
      </c>
      <c r="CO20" s="41">
        <f>IF((VATrevenue-VATincome)&gt;0,VATrevenue-VATincome,0)+BS!CN26-BS!CO26</f>
        <v>2860.1202310205363</v>
      </c>
      <c r="CP20" s="41">
        <f>IF((VATrevenue-VATincome)&gt;0,VATrevenue-VATincome,0)+BS!CO26-BS!CP26</f>
        <v>2869.6539651239382</v>
      </c>
      <c r="CQ20" s="41">
        <f>IF((VATrevenue-VATincome)&gt;0,VATrevenue-VATincome,0)+BS!CP26-BS!CQ26</f>
        <v>2879.2194783410191</v>
      </c>
      <c r="CR20" s="41">
        <f>IF((VATrevenue-VATincome)&gt;0,VATrevenue-VATincome,0)+BS!CQ26-BS!CR26</f>
        <v>2888.8168766021558</v>
      </c>
      <c r="CS20" s="41">
        <f>IF((VATrevenue-VATincome)&gt;0,VATrevenue-VATincome,0)+BS!CR26-BS!CS26</f>
        <v>2898.4462661908301</v>
      </c>
      <c r="CT20" s="41">
        <f>IF((VATrevenue-VATincome)&gt;0,VATrevenue-VATincome,0)+BS!CS26-BS!CT26</f>
        <v>2908.1077537447991</v>
      </c>
      <c r="CU20" s="41">
        <f>IF((VATrevenue-VATincome)&gt;0,VATrevenue-VATincome,0)+BS!CT26-BS!CU26</f>
        <v>2917.8014462572819</v>
      </c>
      <c r="CV20" s="41">
        <f>IF((VATrevenue-VATincome)&gt;0,VATrevenue-VATincome,0)+BS!CU26-BS!CV26</f>
        <v>2927.5274510781405</v>
      </c>
      <c r="CW20" s="41">
        <f>IF((VATrevenue-VATincome)&gt;0,VATrevenue-VATincome,0)+BS!CV26-BS!CW26</f>
        <v>2937.2858759150677</v>
      </c>
      <c r="CX20" s="41">
        <f>IF((VATrevenue-VATincome)&gt;0,VATrevenue-VATincome,0)+BS!CW26-BS!CX26</f>
        <v>2947.0768288347845</v>
      </c>
      <c r="CY20" s="41">
        <f>IF((VATrevenue-VATincome)&gt;0,VATrevenue-VATincome,0)+BS!CX26-BS!CY26</f>
        <v>2956.9004182642343</v>
      </c>
      <c r="CZ20" s="41">
        <f>IF((VATrevenue-VATincome)&gt;0,VATrevenue-VATincome,0)+BS!CY26-BS!CZ26</f>
        <v>2966.7567529917815</v>
      </c>
      <c r="DA20" s="41">
        <f>IF((VATrevenue-VATincome)&gt;0,VATrevenue-VATincome,0)+BS!CZ26-BS!DA26</f>
        <v>2976.6459421684212</v>
      </c>
      <c r="DB20" s="41">
        <f>IF((VATrevenue-VATincome)&gt;0,VATrevenue-VATincome,0)+BS!DA26-BS!DB26</f>
        <v>2986.5680953089832</v>
      </c>
      <c r="DC20" s="41">
        <f>IF((VATrevenue-VATincome)&gt;0,VATrevenue-VATincome,0)+BS!DB26-BS!DC26</f>
        <v>2996.5233222933457</v>
      </c>
      <c r="DD20" s="41">
        <f>IF((VATrevenue-VATincome)&gt;0,VATrevenue-VATincome,0)+BS!DC26-BS!DD26</f>
        <v>3006.5117333676576</v>
      </c>
      <c r="DE20" s="41">
        <f>IF((VATrevenue-VATincome)&gt;0,VATrevenue-VATincome,0)+BS!DD26-BS!DE26</f>
        <v>3016.5334391455503</v>
      </c>
      <c r="DF20" s="41">
        <f>IF((VATrevenue-VATincome)&gt;0,VATrevenue-VATincome,0)+BS!DE26-BS!DF26</f>
        <v>3026.5885506093691</v>
      </c>
      <c r="DG20" s="41">
        <f>IF((VATrevenue-VATincome)&gt;0,VATrevenue-VATincome,0)+BS!DF26-BS!DG26</f>
        <v>3036.6771791114006</v>
      </c>
      <c r="DH20" s="41">
        <f>IF((VATrevenue-VATincome)&gt;0,VATrevenue-VATincome,0)+BS!DG26-BS!DH26</f>
        <v>3046.7994363751063</v>
      </c>
      <c r="DI20" s="41">
        <f>IF((VATrevenue-VATincome)&gt;0,VATrevenue-VATincome,0)+BS!DH26-BS!DI26</f>
        <v>3056.9554344963553</v>
      </c>
    </row>
    <row r="21" spans="2:113" x14ac:dyDescent="0.3">
      <c r="B21" s="6" t="s">
        <v>151</v>
      </c>
      <c r="D21" s="27">
        <f t="shared" si="43"/>
        <v>230393.48747816595</v>
      </c>
      <c r="F21" s="41">
        <f>PropertyTaxHistory+BS!E27-BS!F27+TaxOnProfitHistory+BS!E28-BS!F28</f>
        <v>0</v>
      </c>
      <c r="G21" s="41">
        <f>PropertyTaxHistory+BS!F27-BS!G27+TaxOnProfitHistory+BS!F28-BS!G28</f>
        <v>0</v>
      </c>
      <c r="H21" s="41">
        <f>PropertyTaxHistory+BS!G27-BS!H27+TaxOnProfitHistory+BS!G28-BS!H28</f>
        <v>0</v>
      </c>
      <c r="I21" s="41">
        <f>PropertyTaxHistory+BS!H27-BS!I27+TaxOnProfitHistory+BS!H28-BS!I28</f>
        <v>2991.1463057999999</v>
      </c>
      <c r="J21" s="41">
        <f>PropertyTaxHistory+BS!I27-BS!J27+TaxOnProfitHistory+BS!I28-BS!J28</f>
        <v>0</v>
      </c>
      <c r="K21" s="41">
        <f>PropertyTaxHistory+BS!J27-BS!K27+TaxOnProfitHistory+BS!J28-BS!K28</f>
        <v>0</v>
      </c>
      <c r="L21" s="41">
        <f>PropertyTaxHistory+BS!K27-BS!L27+TaxOnProfitHistory+BS!K28-BS!L28</f>
        <v>2991.1463057999999</v>
      </c>
      <c r="M21" s="41">
        <f>PropertyTaxHistory+BS!L27-BS!M27+TaxOnProfitHistory+BS!L28-BS!M28</f>
        <v>79.537582890349938</v>
      </c>
      <c r="N21" s="41">
        <f>PropertyTaxHistory+BS!M27-BS!N27+TaxOnProfitHistory+BS!M28-BS!N28</f>
        <v>176.16133898342343</v>
      </c>
      <c r="O21" s="41">
        <f>PropertyTaxHistory+BS!N27-BS!O27+TaxOnProfitHistory+BS!N28-BS!O28</f>
        <v>2991.1463057999999</v>
      </c>
      <c r="P21" s="41">
        <f>PropertyTaxHistory+BS!O27-BS!P27+TaxOnProfitHistory+BS!O28-BS!P28</f>
        <v>362.83954608952348</v>
      </c>
      <c r="Q21" s="41">
        <f>PropertyTaxHistory+BS!P27-BS!Q27+TaxOnProfitHistory+BS!P28-BS!Q28</f>
        <v>458.46322838918451</v>
      </c>
      <c r="R21" s="41">
        <f>PropertyTaxHistory+BS!Q27-BS!R27+TaxOnProfitHistory+BS!Q28-BS!R28</f>
        <v>2991.1463057999999</v>
      </c>
      <c r="S21" s="41">
        <f>PropertyTaxHistory+BS!R27-BS!S27+TaxOnProfitHistory+BS!R28-BS!S28</f>
        <v>469.90660236449179</v>
      </c>
      <c r="T21" s="41">
        <f>PropertyTaxHistory+BS!S27-BS!T27+TaxOnProfitHistory+BS!S28-BS!T28</f>
        <v>476.4246243723735</v>
      </c>
      <c r="U21" s="41">
        <f>PropertyTaxHistory+BS!T27-BS!U27+TaxOnProfitHistory+BS!T28-BS!U28</f>
        <v>3358.8457908805635</v>
      </c>
      <c r="V21" s="41">
        <f>PropertyTaxHistory+BS!U27-BS!V27+TaxOnProfitHistory+BS!U28-BS!V28</f>
        <v>979.05184206136494</v>
      </c>
      <c r="W21" s="41">
        <f>PropertyTaxHistory+BS!V27-BS!W27+TaxOnProfitHistory+BS!V28-BS!W28</f>
        <v>992.21868153490232</v>
      </c>
      <c r="X21" s="41">
        <f>PropertyTaxHistory+BS!W27-BS!X27+TaxOnProfitHistory+BS!W28-BS!X28</f>
        <v>3398.3464551133534</v>
      </c>
      <c r="Y21" s="41">
        <f>PropertyTaxHistory+BS!X27-BS!Y27+TaxOnProfitHistory+BS!X28-BS!Y28</f>
        <v>1018.6841751749303</v>
      </c>
      <c r="Z21" s="41">
        <f>PropertyTaxHistory+BS!Y27-BS!Z27+TaxOnProfitHistory+BS!Y28-BS!Z28</f>
        <v>1031.9831224255136</v>
      </c>
      <c r="AA21" s="41">
        <f>PropertyTaxHistory+BS!Z27-BS!AA27+TaxOnProfitHistory+BS!Z28-BS!AA28</f>
        <v>3438.2434441402656</v>
      </c>
      <c r="AB21" s="41">
        <f>PropertyTaxHistory+BS!AA27-BS!AB27+TaxOnProfitHistory+BS!AA28-BS!AB28</f>
        <v>1058.714154165267</v>
      </c>
      <c r="AC21" s="41">
        <f>PropertyTaxHistory+BS!AB27-BS!AC27+TaxOnProfitHistory+BS!AB28-BS!AC28</f>
        <v>1072.146534679151</v>
      </c>
      <c r="AD21" s="41">
        <f>PropertyTaxHistory+BS!AC27-BS!AD27+TaxOnProfitHistory+BS!AC28-BS!AD28</f>
        <v>3478.5407344347486</v>
      </c>
      <c r="AE21" s="41">
        <f>PropertyTaxHistory+BS!AD27-BS!AE27+TaxOnProfitHistory+BS!AD28-BS!AE28</f>
        <v>1099.1457687607308</v>
      </c>
      <c r="AF21" s="41">
        <f>PropertyTaxHistory+BS!AE27-BS!AF27+TaxOnProfitHistory+BS!AE28-BS!AF28</f>
        <v>1112.7129213232665</v>
      </c>
      <c r="AG21" s="41">
        <f>PropertyTaxHistory+BS!AF27-BS!AG27+TaxOnProfitHistory+BS!AF28-BS!AG28</f>
        <v>3519.2423423676773</v>
      </c>
      <c r="AH21" s="41">
        <f>PropertyTaxHistory+BS!AG27-BS!AH27+TaxOnProfitHistory+BS!AG28-BS!AH28</f>
        <v>1139.9830487201032</v>
      </c>
      <c r="AI21" s="41">
        <f>PropertyTaxHistory+BS!AH27-BS!AI27+TaxOnProfitHistory+BS!AH28-BS!AI28</f>
        <v>1153.6863255491705</v>
      </c>
      <c r="AJ21" s="41">
        <f>PropertyTaxHistory+BS!AI27-BS!AJ27+TaxOnProfitHistory+BS!AI28-BS!AJ28</f>
        <v>3560.3523246076675</v>
      </c>
      <c r="AK21" s="41">
        <f>PropertyTaxHistory+BS!AJ27-BS!AK27+TaxOnProfitHistory+BS!AJ28-BS!AK28</f>
        <v>1181.2300642342268</v>
      </c>
      <c r="AL21" s="41">
        <f>PropertyTaxHistory+BS!AK27-BS!AL27+TaxOnProfitHistory+BS!AK28-BS!AL28</f>
        <v>1195.0708311150081</v>
      </c>
      <c r="AM21" s="41">
        <f>PropertyTaxHistory+BS!AL27-BS!AM27+TaxOnProfitHistory+BS!AL28-BS!AM28</f>
        <v>3601.8747785253918</v>
      </c>
      <c r="AN21" s="41">
        <f>PropertyTaxHistory+BS!AM27-BS!AN27+TaxOnProfitHistory+BS!AM28-BS!AN28</f>
        <v>1222.8909263316773</v>
      </c>
      <c r="AO21" s="41">
        <f>PropertyTaxHistory+BS!AN27-BS!AO27+TaxOnProfitHistory+BS!AN28-BS!AO28</f>
        <v>1236.8705627527825</v>
      </c>
      <c r="AP21" s="41">
        <f>PropertyTaxHistory+BS!AO27-BS!AP27+TaxOnProfitHistory+BS!AO28-BS!AP28</f>
        <v>3643.8138426019586</v>
      </c>
      <c r="AQ21" s="41">
        <f>PropertyTaxHistory+BS!AP27-BS!AQ27+TaxOnProfitHistory+BS!AP28-BS!AQ28</f>
        <v>1264.9697872884981</v>
      </c>
      <c r="AR21" s="41">
        <f>PropertyTaxHistory+BS!AQ27-BS!AR27+TaxOnProfitHistory+BS!AQ28-BS!AR28</f>
        <v>1279.0896865794602</v>
      </c>
      <c r="AS21" s="41">
        <f>PropertyTaxHistory+BS!AR27-BS!AS27+TaxOnProfitHistory+BS!AR28-BS!AS28</f>
        <v>3686.1736968413916</v>
      </c>
      <c r="AT21" s="41">
        <f>PropertyTaxHistory+BS!AS27-BS!AT27+TaxOnProfitHistory+BS!AS28-BS!AT28</f>
        <v>1307.4708410420633</v>
      </c>
      <c r="AU21" s="41">
        <f>PropertyTaxHistory+BS!AT27-BS!AU27+TaxOnProfitHistory+BS!AT28-BS!AU28</f>
        <v>1321.7324105122034</v>
      </c>
      <c r="AV21" s="41">
        <f>PropertyTaxHistory+BS!AU27-BS!AV27+TaxOnProfitHistory+BS!AU28-BS!AV28</f>
        <v>3728.9585631872451</v>
      </c>
      <c r="AW21" s="41">
        <f>PropertyTaxHistory+BS!AV27-BS!AW27+TaxOnProfitHistory+BS!AV28-BS!AW28</f>
        <v>1350.3983236090687</v>
      </c>
      <c r="AX21" s="41">
        <f>PropertyTaxHistory+BS!AW27-BS!AX27+TaxOnProfitHistory+BS!AW28-BS!AX28</f>
        <v>1364.8029846877657</v>
      </c>
      <c r="AY21" s="41">
        <f>PropertyTaxHistory+BS!AX27-BS!AY27+TaxOnProfitHistory+BS!AX28-BS!AY28</f>
        <v>3772.1727059433915</v>
      </c>
      <c r="AZ21" s="41">
        <f>PropertyTaxHistory+BS!AY27-BS!AZ27+TaxOnProfitHistory+BS!AY28-BS!AZ28</f>
        <v>1393.7565135077366</v>
      </c>
      <c r="BA21" s="41">
        <f>PropertyTaxHistory+BS!AZ27-BS!BA27+TaxOnProfitHistory+BS!AZ28-BS!BA28</f>
        <v>1408.3057018860954</v>
      </c>
      <c r="BB21" s="41">
        <f>PropertyTaxHistory+BS!BA27-BS!BB27+TaxOnProfitHistory+BS!BA28-BS!BB28</f>
        <v>3815.8204321990497</v>
      </c>
      <c r="BC21" s="41">
        <f>PropertyTaxHistory+BS!BB27-BS!BC27+TaxOnProfitHistory+BS!BB28-BS!BC28</f>
        <v>1437.5497321842467</v>
      </c>
      <c r="BD21" s="41">
        <f>PropertyTaxHistory+BS!BC27-BS!BD27+TaxOnProfitHistory+BS!BC28-BS!BD28</f>
        <v>1452.2448979581939</v>
      </c>
      <c r="BE21" s="41">
        <f>PropertyTaxHistory+BS!BD27-BS!BE27+TaxOnProfitHistory+BS!BD28-BS!BE28</f>
        <v>3859.9060922580547</v>
      </c>
      <c r="BF21" s="41">
        <f>PropertyTaxHistory+BS!BE27-BS!BF27+TaxOnProfitHistory+BS!BE28-BS!BF28</f>
        <v>1481.7823444434487</v>
      </c>
      <c r="BG21" s="41">
        <f>PropertyTaxHistory+BS!BF27-BS!BG27+TaxOnProfitHistory+BS!BF28-BS!BG28</f>
        <v>1496.6249522582602</v>
      </c>
      <c r="BH21" s="41">
        <f>PropertyTaxHistory+BS!BG27-BS!BH27+TaxOnProfitHistory+BS!BG28-BS!BH28</f>
        <v>3904.4340800724544</v>
      </c>
      <c r="BI21" s="41">
        <f>PropertyTaxHistory+BS!BH27-BS!BI27+TaxOnProfitHistory+BS!BH28-BS!BI28</f>
        <v>1526.4587588838961</v>
      </c>
      <c r="BJ21" s="41">
        <f>PropertyTaxHistory+BS!BI27-BS!BJ27+TaxOnProfitHistory+BS!BI28-BS!BJ28</f>
        <v>1541.4502880801756</v>
      </c>
      <c r="BK21" s="41">
        <f>PropertyTaxHistory+BS!BJ27-BS!BK27+TaxOnProfitHistory+BS!BJ28-BS!BK28</f>
        <v>3949.4088336804434</v>
      </c>
      <c r="BL21" s="41">
        <f>PropertyTaxHistory+BS!BK27-BS!BL27+TaxOnProfitHistory+BS!BK28-BS!BL28</f>
        <v>1571.5834283372451</v>
      </c>
      <c r="BM21" s="41">
        <f>PropertyTaxHistory+BS!BL27-BS!BM27+TaxOnProfitHistory+BS!BL28-BS!BM28</f>
        <v>1586.7253730983691</v>
      </c>
      <c r="BN21" s="41">
        <f>PropertyTaxHistory+BS!BM27-BS!BN27+TaxOnProfitHistory+BS!BM28-BS!BN28</f>
        <v>3994.8348356486963</v>
      </c>
      <c r="BO21" s="41">
        <f>PropertyTaxHistory+BS!BN27-BS!BO27+TaxOnProfitHistory+BS!BN28-BS!BO28</f>
        <v>1617.1608503120603</v>
      </c>
      <c r="BP21" s="41">
        <f>PropertyTaxHistory+BS!BO27-BS!BP27+TaxOnProfitHistory+BS!BO28-BS!BP28</f>
        <v>1632.4547198131006</v>
      </c>
      <c r="BQ21" s="41">
        <f>PropertyTaxHistory+BS!BP27-BS!BQ27+TaxOnProfitHistory+BS!BP28-BS!BQ28</f>
        <v>4038.8379630988738</v>
      </c>
      <c r="BR21" s="41">
        <f>PropertyTaxHistory+BS!BQ27-BS!BR27+TaxOnProfitHistory+BS!BQ28-BS!BR28</f>
        <v>1651.893432631515</v>
      </c>
      <c r="BS21" s="41">
        <f>PropertyTaxHistory+BS!BR27-BS!BS27+TaxOnProfitHistory+BS!BR28-BS!BS28</f>
        <v>1657.8858551847311</v>
      </c>
      <c r="BT21" s="41">
        <f>PropertyTaxHistory+BS!BS27-BS!BT27+TaxOnProfitHistory+BS!BS28-BS!BT28</f>
        <v>4056.8152971197906</v>
      </c>
      <c r="BU21" s="41">
        <f>PropertyTaxHistory+BS!BT27-BS!BU27+TaxOnProfitHistory+BS!BT28-BS!BU28</f>
        <v>1669.9306910991693</v>
      </c>
      <c r="BV21" s="41">
        <f>PropertyTaxHistory+BS!BU27-BS!BV27+TaxOnProfitHistory+BS!BU28-BS!BV28</f>
        <v>1675.9832378472763</v>
      </c>
      <c r="BW21" s="41">
        <f>PropertyTaxHistory+BS!BV27-BS!BW27+TaxOnProfitHistory+BS!BV28-BS!BW28</f>
        <v>4074.9730043912127</v>
      </c>
      <c r="BX21" s="41">
        <f>PropertyTaxHistory+BS!BW27-BS!BX27+TaxOnProfitHistory+BS!BW28-BS!BX28</f>
        <v>1688.1489240614942</v>
      </c>
      <c r="BY21" s="41">
        <f>PropertyTaxHistory+BS!BX27-BS!BY27+TaxOnProfitHistory+BS!BX28-BS!BY28</f>
        <v>1694.2621982528099</v>
      </c>
      <c r="BZ21" s="41">
        <f>PropertyTaxHistory+BS!BY27-BS!BZ27+TaxOnProfitHistory+BS!BY28-BS!BZ28</f>
        <v>4093.3128946647644</v>
      </c>
      <c r="CA21" s="41">
        <f>PropertyTaxHistory+BS!BZ27-BS!CA27+TaxOnProfitHistory+BS!BZ28-BS!CA28</f>
        <v>1706.549947302625</v>
      </c>
      <c r="CB21" s="41">
        <f>PropertyTaxHistory+BS!CA27-BS!CB27+TaxOnProfitHistory+BS!CA28-BS!CB28</f>
        <v>1712.7245582380779</v>
      </c>
      <c r="CC21" s="41">
        <f>PropertyTaxHistory+BS!CB27-BS!CC27+TaxOnProfitHistory+BS!CB28-BS!CC28</f>
        <v>4111.8367958499839</v>
      </c>
      <c r="CD21" s="41">
        <f>PropertyTaxHistory+BS!CC27-BS!CD27+TaxOnProfitHistory+BS!CC28-BS!CD28</f>
        <v>1725.135594825128</v>
      </c>
      <c r="CE21" s="41">
        <f>PropertyTaxHistory+BS!CD27-BS!CE27+TaxOnProfitHistory+BS!CD28-BS!CE28</f>
        <v>1731.3721579189898</v>
      </c>
      <c r="CF21" s="41">
        <f>PropertyTaxHistory+BS!CE27-BS!CF27+TaxOnProfitHistory+BS!CE28-BS!CF28</f>
        <v>4130.5465541964977</v>
      </c>
      <c r="CG21" s="41">
        <f>PropertyTaxHistory+BS!CF27-BS!CG27+TaxOnProfitHistory+BS!CF28-BS!CG28</f>
        <v>1743.9077190327971</v>
      </c>
      <c r="CH21" s="41">
        <f>PropertyTaxHistory+BS!CG27-BS!CH27+TaxOnProfitHistory+BS!CG28-BS!CH28</f>
        <v>1750.2068558740186</v>
      </c>
      <c r="CI21" s="41">
        <f>PropertyTaxHistory+BS!CH27-BS!CI27+TaxOnProfitHistory+BS!CH28-BS!CI28</f>
        <v>4149.4440344780432</v>
      </c>
      <c r="CJ21" s="41">
        <f>PropertyTaxHistory+BS!CI27-BS!CJ27+TaxOnProfitHistory+BS!CI28-BS!CJ28</f>
        <v>1762.8681909152804</v>
      </c>
      <c r="CK21" s="41">
        <f>PropertyTaxHistory+BS!CJ27-BS!CK27+TaxOnProfitHistory+BS!CJ28-BS!CK28</f>
        <v>1769.2305293294432</v>
      </c>
      <c r="CL21" s="41">
        <f>PropertyTaxHistory+BS!CK27-BS!CL27+TaxOnProfitHistory+BS!CK28-BS!CL28</f>
        <v>4168.5311201783188</v>
      </c>
      <c r="CM21" s="41">
        <f>PropertyTaxHistory+BS!CL27-BS!CM27+TaxOnProfitHistory+BS!CL28-BS!CM28</f>
        <v>1782.0189002345576</v>
      </c>
      <c r="CN21" s="41">
        <f>PropertyTaxHistory+BS!CM27-BS!CN27+TaxOnProfitHistory+BS!CM28-BS!CN28</f>
        <v>1788.4450743464513</v>
      </c>
      <c r="CO21" s="41">
        <f>PropertyTaxHistory+BS!CN27-BS!CO27+TaxOnProfitHistory+BS!CN28-BS!CO28</f>
        <v>4187.8097136787164</v>
      </c>
      <c r="CP21" s="41">
        <f>PropertyTaxHistory+BS!CO27-BS!CP27+TaxOnProfitHistory+BS!CO28-BS!CP28</f>
        <v>1801.3617557132904</v>
      </c>
      <c r="CQ21" s="41">
        <f>PropertyTaxHistory+BS!CP27-BS!CQ27+TaxOnProfitHistory+BS!CP28-BS!CQ28</f>
        <v>1807.8524060101129</v>
      </c>
      <c r="CR21" s="41">
        <f>PropertyTaxHistory+BS!CQ27-BS!CR27+TaxOnProfitHistory+BS!CQ28-BS!CR28</f>
        <v>4207.2817364479242</v>
      </c>
      <c r="CS21" s="41">
        <f>PropertyTaxHistory+BS!CR27-BS!CS27+TaxOnProfitHistory+BS!CR28-BS!CS28</f>
        <v>1820.8986852250616</v>
      </c>
      <c r="CT21" s="41">
        <f>PropertyTaxHistory+BS!CS27-BS!CT27+TaxOnProfitHistory+BS!CS28-BS!CT28</f>
        <v>1827.4544586202567</v>
      </c>
      <c r="CU21" s="41">
        <f>PropertyTaxHistory+BS!CT27-BS!CU27+TaxOnProfitHistory+BS!CT28-BS!CU28</f>
        <v>4226.9491292334351</v>
      </c>
      <c r="CV21" s="41">
        <f>PropertyTaxHistory+BS!CU27-BS!CV27+TaxOnProfitHistory+BS!CU28-BS!CV28</f>
        <v>1840.6316359865255</v>
      </c>
      <c r="CW21" s="41">
        <f>PropertyTaxHistory+BS!CV27-BS!CW27+TaxOnProfitHistory+BS!CV28-BS!CW28</f>
        <v>1847.2531858842578</v>
      </c>
      <c r="CX21" s="41">
        <f>PropertyTaxHistory+BS!CW27-BS!CX27+TaxOnProfitHistory+BS!CW28-BS!CX28</f>
        <v>4246.8138522549834</v>
      </c>
      <c r="CY21" s="41">
        <f>PropertyTaxHistory+BS!CX27-BS!CY27+TaxOnProfitHistory+BS!CX28-BS!CY28</f>
        <v>1860.5625747514785</v>
      </c>
      <c r="CZ21" s="41">
        <f>PropertyTaxHistory+BS!CY27-BS!CZ27+TaxOnProfitHistory+BS!CY28-BS!CZ28</f>
        <v>1867.2505611117608</v>
      </c>
      <c r="DA21" s="41">
        <f>PropertyTaxHistory+BS!CZ27-BS!DA27+TaxOnProfitHistory+BS!CZ28-BS!DA28</f>
        <v>4266.8778853999111</v>
      </c>
      <c r="DB21" s="41">
        <f>PropertyTaxHistory+BS!DA27-BS!DB27+TaxOnProfitHistory+BS!DA28-BS!DB28</f>
        <v>1880.6934880068889</v>
      </c>
      <c r="DC21" s="41">
        <f>PropertyTaxHistory+BS!DB27-BS!DC27+TaxOnProfitHistory+BS!DB28-BS!DC28</f>
        <v>1887.4485774113568</v>
      </c>
      <c r="DD21" s="41">
        <f>PropertyTaxHistory+BS!DC27-BS!DD27+TaxOnProfitHistory+BS!DC28-BS!DD28</f>
        <v>4287.1432284205057</v>
      </c>
      <c r="DE21" s="41">
        <f>PropertyTaxHistory+BS!DD27-BS!DE27+TaxOnProfitHistory+BS!DD28-BS!DE28</f>
        <v>1901.0263821708847</v>
      </c>
      <c r="DF21" s="41">
        <f>PropertyTaxHistory+BS!DE27-BS!DF27+TaxOnProfitHistory+BS!DE28-BS!DF28</f>
        <v>1907.8492478892326</v>
      </c>
      <c r="DG21" s="41">
        <f>PropertyTaxHistory+BS!DF27-BS!DG27+TaxOnProfitHistory+BS!DF28-BS!DG28</f>
        <v>4307.6119011333076</v>
      </c>
      <c r="DH21" s="41">
        <f>PropertyTaxHistory+BS!DG27-BS!DH27+TaxOnProfitHistory+BS!DG28-BS!DH28</f>
        <v>1921.5632837927308</v>
      </c>
      <c r="DI21" s="41">
        <f>PropertyTaxHistory+BS!DH27-BS!DI27+TaxOnProfitHistory+BS!DH28-BS!DI28</f>
        <v>1928.4546058498174</v>
      </c>
    </row>
    <row r="22" spans="2:113" x14ac:dyDescent="0.3">
      <c r="B22" s="6" t="s">
        <v>125</v>
      </c>
      <c r="D22" s="27">
        <f t="shared" si="43"/>
        <v>85195.357702930211</v>
      </c>
      <c r="F22" s="41">
        <f t="shared" ref="F22:AK22" si="64">BankInterestHistory</f>
        <v>2587.5</v>
      </c>
      <c r="G22" s="41">
        <f t="shared" si="64"/>
        <v>2587.5</v>
      </c>
      <c r="H22" s="41">
        <f t="shared" si="64"/>
        <v>2549.0388888888892</v>
      </c>
      <c r="I22" s="41">
        <f t="shared" si="64"/>
        <v>2510.4495740740745</v>
      </c>
      <c r="J22" s="41">
        <f t="shared" si="64"/>
        <v>2471.7316282098768</v>
      </c>
      <c r="K22" s="41">
        <f t="shared" si="64"/>
        <v>2432.8846225261318</v>
      </c>
      <c r="L22" s="41">
        <f t="shared" si="64"/>
        <v>2393.9081268234413</v>
      </c>
      <c r="M22" s="41">
        <f t="shared" si="64"/>
        <v>2354.8017094684083</v>
      </c>
      <c r="N22" s="41">
        <f t="shared" si="64"/>
        <v>2315.5649373888587</v>
      </c>
      <c r="O22" s="41">
        <f t="shared" si="64"/>
        <v>2276.1973760690435</v>
      </c>
      <c r="P22" s="41">
        <f t="shared" si="64"/>
        <v>2236.6985895448292</v>
      </c>
      <c r="Q22" s="41">
        <f t="shared" si="64"/>
        <v>2197.0681403988669</v>
      </c>
      <c r="R22" s="41">
        <f t="shared" si="64"/>
        <v>2157.305589755752</v>
      </c>
      <c r="S22" s="41">
        <f t="shared" si="64"/>
        <v>2117.4104972771602</v>
      </c>
      <c r="T22" s="41">
        <f t="shared" si="64"/>
        <v>2077.3824211569731</v>
      </c>
      <c r="U22" s="41">
        <f t="shared" si="64"/>
        <v>2037.2209181163851</v>
      </c>
      <c r="V22" s="41">
        <f t="shared" si="64"/>
        <v>1996.9255433989954</v>
      </c>
      <c r="W22" s="41">
        <f t="shared" si="64"/>
        <v>1956.495850765881</v>
      </c>
      <c r="X22" s="41">
        <f t="shared" si="64"/>
        <v>1915.9313924906558</v>
      </c>
      <c r="Y22" s="41">
        <f t="shared" si="64"/>
        <v>1875.2317193545134</v>
      </c>
      <c r="Z22" s="41">
        <f t="shared" si="64"/>
        <v>1834.396380641251</v>
      </c>
      <c r="AA22" s="41">
        <f t="shared" si="64"/>
        <v>1793.4249241322771</v>
      </c>
      <c r="AB22" s="41">
        <f t="shared" si="64"/>
        <v>1752.316896101607</v>
      </c>
      <c r="AC22" s="41">
        <f t="shared" si="64"/>
        <v>1711.0718413108343</v>
      </c>
      <c r="AD22" s="41">
        <f t="shared" si="64"/>
        <v>1669.6893030040926</v>
      </c>
      <c r="AE22" s="41">
        <f t="shared" si="64"/>
        <v>1628.1688229029949</v>
      </c>
      <c r="AF22" s="41">
        <f t="shared" si="64"/>
        <v>1586.5099412015604</v>
      </c>
      <c r="AG22" s="41">
        <f t="shared" si="64"/>
        <v>1544.7121965611211</v>
      </c>
      <c r="AH22" s="41">
        <f t="shared" si="64"/>
        <v>1502.7751261052135</v>
      </c>
      <c r="AI22" s="41">
        <f t="shared" si="64"/>
        <v>1460.6982654144531</v>
      </c>
      <c r="AJ22" s="41">
        <f t="shared" si="64"/>
        <v>1418.4811485213902</v>
      </c>
      <c r="AK22" s="41">
        <f t="shared" si="64"/>
        <v>1376.12330790535</v>
      </c>
      <c r="AL22" s="41">
        <f t="shared" ref="AL22:BQ22" si="65">BankInterestHistory</f>
        <v>1333.6242744872566</v>
      </c>
      <c r="AM22" s="41">
        <f t="shared" si="65"/>
        <v>1290.9835776244363</v>
      </c>
      <c r="AN22" s="41">
        <f t="shared" si="65"/>
        <v>1248.2007451054064</v>
      </c>
      <c r="AO22" s="41">
        <f t="shared" si="65"/>
        <v>1205.2753031446466</v>
      </c>
      <c r="AP22" s="41">
        <f t="shared" si="65"/>
        <v>1162.2067763773509</v>
      </c>
      <c r="AQ22" s="41">
        <f t="shared" si="65"/>
        <v>1118.9946878541641</v>
      </c>
      <c r="AR22" s="41">
        <f t="shared" si="65"/>
        <v>1075.6385590359</v>
      </c>
      <c r="AS22" s="41">
        <f t="shared" si="65"/>
        <v>1032.1379097882416</v>
      </c>
      <c r="AT22" s="41">
        <f t="shared" si="65"/>
        <v>988.49225837642462</v>
      </c>
      <c r="AU22" s="41">
        <f t="shared" si="65"/>
        <v>944.7011214599014</v>
      </c>
      <c r="AV22" s="41">
        <f t="shared" si="65"/>
        <v>900.76401408698985</v>
      </c>
      <c r="AW22" s="41">
        <f t="shared" si="65"/>
        <v>856.68044968950187</v>
      </c>
      <c r="AX22" s="41">
        <f t="shared" si="65"/>
        <v>812.44994007735556</v>
      </c>
      <c r="AY22" s="41">
        <f t="shared" si="65"/>
        <v>768.07199543316881</v>
      </c>
      <c r="AZ22" s="41">
        <f t="shared" si="65"/>
        <v>723.54612430683471</v>
      </c>
      <c r="BA22" s="41">
        <f t="shared" si="65"/>
        <v>678.87183361007953</v>
      </c>
      <c r="BB22" s="41">
        <f t="shared" si="65"/>
        <v>634.04862861100185</v>
      </c>
      <c r="BC22" s="41">
        <f t="shared" si="65"/>
        <v>589.07601292859397</v>
      </c>
      <c r="BD22" s="41">
        <f t="shared" si="65"/>
        <v>543.95348852724453</v>
      </c>
      <c r="BE22" s="41">
        <f t="shared" si="65"/>
        <v>498.68055571122409</v>
      </c>
      <c r="BF22" s="41">
        <f t="shared" si="65"/>
        <v>453.25671311915022</v>
      </c>
      <c r="BG22" s="41">
        <f t="shared" si="65"/>
        <v>407.68145771843609</v>
      </c>
      <c r="BH22" s="41">
        <f t="shared" si="65"/>
        <v>361.95428479971957</v>
      </c>
      <c r="BI22" s="41">
        <f t="shared" si="65"/>
        <v>316.07468797127393</v>
      </c>
      <c r="BJ22" s="41">
        <f t="shared" si="65"/>
        <v>270.04215915340023</v>
      </c>
      <c r="BK22" s="41">
        <f t="shared" si="65"/>
        <v>223.85618857280022</v>
      </c>
      <c r="BL22" s="41">
        <f t="shared" si="65"/>
        <v>177.51626475693158</v>
      </c>
      <c r="BM22" s="41">
        <f t="shared" si="65"/>
        <v>131.02187452834337</v>
      </c>
      <c r="BN22" s="41">
        <f t="shared" si="65"/>
        <v>84.37250299899317</v>
      </c>
      <c r="BO22" s="41">
        <f t="shared" si="65"/>
        <v>37.567633564545162</v>
      </c>
      <c r="BP22" s="41">
        <f t="shared" si="65"/>
        <v>0</v>
      </c>
      <c r="BQ22" s="41">
        <f t="shared" si="65"/>
        <v>0</v>
      </c>
      <c r="BR22" s="41">
        <f t="shared" ref="BR22:DI22" si="66">BankInterestHistory</f>
        <v>0</v>
      </c>
      <c r="BS22" s="41">
        <f t="shared" si="66"/>
        <v>0</v>
      </c>
      <c r="BT22" s="41">
        <f t="shared" si="66"/>
        <v>0</v>
      </c>
      <c r="BU22" s="41">
        <f t="shared" si="66"/>
        <v>0</v>
      </c>
      <c r="BV22" s="41">
        <f t="shared" si="66"/>
        <v>0</v>
      </c>
      <c r="BW22" s="41">
        <f t="shared" si="66"/>
        <v>0</v>
      </c>
      <c r="BX22" s="41">
        <f t="shared" si="66"/>
        <v>0</v>
      </c>
      <c r="BY22" s="41">
        <f t="shared" si="66"/>
        <v>0</v>
      </c>
      <c r="BZ22" s="41">
        <f t="shared" si="66"/>
        <v>0</v>
      </c>
      <c r="CA22" s="41">
        <f t="shared" si="66"/>
        <v>0</v>
      </c>
      <c r="CB22" s="41">
        <f t="shared" si="66"/>
        <v>0</v>
      </c>
      <c r="CC22" s="41">
        <f t="shared" si="66"/>
        <v>0</v>
      </c>
      <c r="CD22" s="41">
        <f t="shared" si="66"/>
        <v>0</v>
      </c>
      <c r="CE22" s="41">
        <f t="shared" si="66"/>
        <v>0</v>
      </c>
      <c r="CF22" s="41">
        <f t="shared" si="66"/>
        <v>0</v>
      </c>
      <c r="CG22" s="41">
        <f t="shared" si="66"/>
        <v>0</v>
      </c>
      <c r="CH22" s="41">
        <f t="shared" si="66"/>
        <v>0</v>
      </c>
      <c r="CI22" s="41">
        <f t="shared" si="66"/>
        <v>0</v>
      </c>
      <c r="CJ22" s="41">
        <f t="shared" si="66"/>
        <v>0</v>
      </c>
      <c r="CK22" s="41">
        <f t="shared" si="66"/>
        <v>0</v>
      </c>
      <c r="CL22" s="41">
        <f t="shared" si="66"/>
        <v>0</v>
      </c>
      <c r="CM22" s="41">
        <f t="shared" si="66"/>
        <v>0</v>
      </c>
      <c r="CN22" s="41">
        <f t="shared" si="66"/>
        <v>0</v>
      </c>
      <c r="CO22" s="41">
        <f t="shared" si="66"/>
        <v>0</v>
      </c>
      <c r="CP22" s="41">
        <f t="shared" si="66"/>
        <v>0</v>
      </c>
      <c r="CQ22" s="41">
        <f t="shared" si="66"/>
        <v>0</v>
      </c>
      <c r="CR22" s="41">
        <f t="shared" si="66"/>
        <v>0</v>
      </c>
      <c r="CS22" s="41">
        <f t="shared" si="66"/>
        <v>0</v>
      </c>
      <c r="CT22" s="41">
        <f t="shared" si="66"/>
        <v>0</v>
      </c>
      <c r="CU22" s="41">
        <f t="shared" si="66"/>
        <v>0</v>
      </c>
      <c r="CV22" s="41">
        <f t="shared" si="66"/>
        <v>0</v>
      </c>
      <c r="CW22" s="41">
        <f t="shared" si="66"/>
        <v>0</v>
      </c>
      <c r="CX22" s="41">
        <f t="shared" si="66"/>
        <v>0</v>
      </c>
      <c r="CY22" s="41">
        <f t="shared" si="66"/>
        <v>0</v>
      </c>
      <c r="CZ22" s="41">
        <f t="shared" si="66"/>
        <v>0</v>
      </c>
      <c r="DA22" s="41">
        <f t="shared" si="66"/>
        <v>0</v>
      </c>
      <c r="DB22" s="41">
        <f t="shared" si="66"/>
        <v>0</v>
      </c>
      <c r="DC22" s="41">
        <f t="shared" si="66"/>
        <v>0</v>
      </c>
      <c r="DD22" s="41">
        <f t="shared" si="66"/>
        <v>0</v>
      </c>
      <c r="DE22" s="41">
        <f t="shared" si="66"/>
        <v>0</v>
      </c>
      <c r="DF22" s="41">
        <f t="shared" si="66"/>
        <v>0</v>
      </c>
      <c r="DG22" s="41">
        <f t="shared" si="66"/>
        <v>0</v>
      </c>
      <c r="DH22" s="41">
        <f t="shared" si="66"/>
        <v>0</v>
      </c>
      <c r="DI22" s="41">
        <f t="shared" si="66"/>
        <v>0</v>
      </c>
    </row>
    <row r="23" spans="2:113" s="62" customFormat="1" x14ac:dyDescent="0.3">
      <c r="B23" s="61" t="s">
        <v>185</v>
      </c>
      <c r="D23" s="63">
        <f t="shared" si="43"/>
        <v>132324.74289875882</v>
      </c>
      <c r="E23" s="63"/>
      <c r="F23" s="63">
        <f t="shared" ref="F23:AK23" si="67">IF(F8&gt;=EDATE(Finish,-12),F16,0)</f>
        <v>0</v>
      </c>
      <c r="G23" s="63">
        <f t="shared" si="67"/>
        <v>0</v>
      </c>
      <c r="H23" s="63">
        <f t="shared" si="67"/>
        <v>0</v>
      </c>
      <c r="I23" s="63">
        <f t="shared" si="67"/>
        <v>0</v>
      </c>
      <c r="J23" s="63">
        <f t="shared" si="67"/>
        <v>0</v>
      </c>
      <c r="K23" s="63">
        <f t="shared" si="67"/>
        <v>0</v>
      </c>
      <c r="L23" s="63">
        <f t="shared" si="67"/>
        <v>0</v>
      </c>
      <c r="M23" s="63">
        <f t="shared" si="67"/>
        <v>0</v>
      </c>
      <c r="N23" s="63">
        <f t="shared" si="67"/>
        <v>0</v>
      </c>
      <c r="O23" s="63">
        <f t="shared" si="67"/>
        <v>0</v>
      </c>
      <c r="P23" s="63">
        <f t="shared" si="67"/>
        <v>0</v>
      </c>
      <c r="Q23" s="63">
        <f t="shared" si="67"/>
        <v>0</v>
      </c>
      <c r="R23" s="63">
        <f t="shared" si="67"/>
        <v>0</v>
      </c>
      <c r="S23" s="63">
        <f t="shared" si="67"/>
        <v>0</v>
      </c>
      <c r="T23" s="63">
        <f t="shared" si="67"/>
        <v>0</v>
      </c>
      <c r="U23" s="63">
        <f t="shared" si="67"/>
        <v>0</v>
      </c>
      <c r="V23" s="63">
        <f t="shared" si="67"/>
        <v>0</v>
      </c>
      <c r="W23" s="63">
        <f t="shared" si="67"/>
        <v>0</v>
      </c>
      <c r="X23" s="63">
        <f t="shared" si="67"/>
        <v>0</v>
      </c>
      <c r="Y23" s="63">
        <f t="shared" si="67"/>
        <v>0</v>
      </c>
      <c r="Z23" s="63">
        <f t="shared" si="67"/>
        <v>0</v>
      </c>
      <c r="AA23" s="63">
        <f t="shared" si="67"/>
        <v>0</v>
      </c>
      <c r="AB23" s="63">
        <f t="shared" si="67"/>
        <v>0</v>
      </c>
      <c r="AC23" s="63">
        <f t="shared" si="67"/>
        <v>0</v>
      </c>
      <c r="AD23" s="63">
        <f t="shared" si="67"/>
        <v>0</v>
      </c>
      <c r="AE23" s="63">
        <f t="shared" si="67"/>
        <v>0</v>
      </c>
      <c r="AF23" s="63">
        <f t="shared" si="67"/>
        <v>0</v>
      </c>
      <c r="AG23" s="63">
        <f t="shared" si="67"/>
        <v>0</v>
      </c>
      <c r="AH23" s="63">
        <f t="shared" si="67"/>
        <v>0</v>
      </c>
      <c r="AI23" s="63">
        <f t="shared" si="67"/>
        <v>0</v>
      </c>
      <c r="AJ23" s="63">
        <f t="shared" si="67"/>
        <v>0</v>
      </c>
      <c r="AK23" s="63">
        <f t="shared" si="67"/>
        <v>0</v>
      </c>
      <c r="AL23" s="63">
        <f t="shared" ref="AL23:BQ23" si="68">IF(AL8&gt;=EDATE(Finish,-12),AL16,0)</f>
        <v>0</v>
      </c>
      <c r="AM23" s="63">
        <f t="shared" si="68"/>
        <v>0</v>
      </c>
      <c r="AN23" s="63">
        <f t="shared" si="68"/>
        <v>0</v>
      </c>
      <c r="AO23" s="63">
        <f t="shared" si="68"/>
        <v>0</v>
      </c>
      <c r="AP23" s="63">
        <f t="shared" si="68"/>
        <v>0</v>
      </c>
      <c r="AQ23" s="63">
        <f t="shared" si="68"/>
        <v>0</v>
      </c>
      <c r="AR23" s="63">
        <f t="shared" si="68"/>
        <v>0</v>
      </c>
      <c r="AS23" s="63">
        <f t="shared" si="68"/>
        <v>0</v>
      </c>
      <c r="AT23" s="63">
        <f t="shared" si="68"/>
        <v>0</v>
      </c>
      <c r="AU23" s="63">
        <f t="shared" si="68"/>
        <v>0</v>
      </c>
      <c r="AV23" s="63">
        <f t="shared" si="68"/>
        <v>0</v>
      </c>
      <c r="AW23" s="63">
        <f t="shared" si="68"/>
        <v>0</v>
      </c>
      <c r="AX23" s="63">
        <f t="shared" si="68"/>
        <v>0</v>
      </c>
      <c r="AY23" s="63">
        <f t="shared" si="68"/>
        <v>0</v>
      </c>
      <c r="AZ23" s="63">
        <f t="shared" si="68"/>
        <v>0</v>
      </c>
      <c r="BA23" s="63">
        <f t="shared" si="68"/>
        <v>0</v>
      </c>
      <c r="BB23" s="63">
        <f t="shared" si="68"/>
        <v>0</v>
      </c>
      <c r="BC23" s="63">
        <f t="shared" si="68"/>
        <v>0</v>
      </c>
      <c r="BD23" s="63">
        <f t="shared" si="68"/>
        <v>0</v>
      </c>
      <c r="BE23" s="63">
        <f t="shared" si="68"/>
        <v>0</v>
      </c>
      <c r="BF23" s="63">
        <f t="shared" si="68"/>
        <v>0</v>
      </c>
      <c r="BG23" s="63">
        <f t="shared" si="68"/>
        <v>0</v>
      </c>
      <c r="BH23" s="63">
        <f t="shared" si="68"/>
        <v>0</v>
      </c>
      <c r="BI23" s="63">
        <f t="shared" si="68"/>
        <v>0</v>
      </c>
      <c r="BJ23" s="63">
        <f t="shared" si="68"/>
        <v>0</v>
      </c>
      <c r="BK23" s="63">
        <f t="shared" si="68"/>
        <v>0</v>
      </c>
      <c r="BL23" s="63">
        <f t="shared" si="68"/>
        <v>0</v>
      </c>
      <c r="BM23" s="63">
        <f t="shared" si="68"/>
        <v>0</v>
      </c>
      <c r="BN23" s="63">
        <f t="shared" si="68"/>
        <v>0</v>
      </c>
      <c r="BO23" s="63">
        <f t="shared" si="68"/>
        <v>0</v>
      </c>
      <c r="BP23" s="63">
        <f t="shared" si="68"/>
        <v>0</v>
      </c>
      <c r="BQ23" s="63">
        <f t="shared" si="68"/>
        <v>0</v>
      </c>
      <c r="BR23" s="63">
        <f t="shared" ref="BR23:CW23" si="69">IF(BR8&gt;=EDATE(Finish,-12),BR16,0)</f>
        <v>0</v>
      </c>
      <c r="BS23" s="63">
        <f t="shared" si="69"/>
        <v>0</v>
      </c>
      <c r="BT23" s="63">
        <f t="shared" si="69"/>
        <v>0</v>
      </c>
      <c r="BU23" s="63">
        <f t="shared" si="69"/>
        <v>0</v>
      </c>
      <c r="BV23" s="63">
        <f t="shared" si="69"/>
        <v>0</v>
      </c>
      <c r="BW23" s="63">
        <f t="shared" si="69"/>
        <v>0</v>
      </c>
      <c r="BX23" s="63">
        <f t="shared" si="69"/>
        <v>0</v>
      </c>
      <c r="BY23" s="63">
        <f t="shared" si="69"/>
        <v>0</v>
      </c>
      <c r="BZ23" s="63">
        <f t="shared" si="69"/>
        <v>0</v>
      </c>
      <c r="CA23" s="63">
        <f t="shared" si="69"/>
        <v>0</v>
      </c>
      <c r="CB23" s="63">
        <f t="shared" si="69"/>
        <v>0</v>
      </c>
      <c r="CC23" s="63">
        <f t="shared" si="69"/>
        <v>0</v>
      </c>
      <c r="CD23" s="63">
        <f t="shared" si="69"/>
        <v>0</v>
      </c>
      <c r="CE23" s="63">
        <f t="shared" si="69"/>
        <v>0</v>
      </c>
      <c r="CF23" s="63">
        <f t="shared" si="69"/>
        <v>0</v>
      </c>
      <c r="CG23" s="63">
        <f t="shared" si="69"/>
        <v>0</v>
      </c>
      <c r="CH23" s="63">
        <f t="shared" si="69"/>
        <v>0</v>
      </c>
      <c r="CI23" s="63">
        <f t="shared" si="69"/>
        <v>0</v>
      </c>
      <c r="CJ23" s="63">
        <f t="shared" si="69"/>
        <v>0</v>
      </c>
      <c r="CK23" s="63">
        <f t="shared" si="69"/>
        <v>0</v>
      </c>
      <c r="CL23" s="63">
        <f t="shared" si="69"/>
        <v>0</v>
      </c>
      <c r="CM23" s="63">
        <f t="shared" si="69"/>
        <v>0</v>
      </c>
      <c r="CN23" s="63">
        <f t="shared" si="69"/>
        <v>0</v>
      </c>
      <c r="CO23" s="63">
        <f t="shared" si="69"/>
        <v>0</v>
      </c>
      <c r="CP23" s="63">
        <f t="shared" si="69"/>
        <v>0</v>
      </c>
      <c r="CQ23" s="63">
        <f t="shared" si="69"/>
        <v>0</v>
      </c>
      <c r="CR23" s="63">
        <f t="shared" si="69"/>
        <v>0</v>
      </c>
      <c r="CS23" s="63">
        <f t="shared" si="69"/>
        <v>0</v>
      </c>
      <c r="CT23" s="63">
        <f t="shared" si="69"/>
        <v>0</v>
      </c>
      <c r="CU23" s="63">
        <f t="shared" si="69"/>
        <v>0</v>
      </c>
      <c r="CV23" s="63">
        <f t="shared" si="69"/>
        <v>0</v>
      </c>
      <c r="CW23" s="63">
        <f t="shared" si="69"/>
        <v>0</v>
      </c>
      <c r="CX23" s="63">
        <f t="shared" ref="CX23:DI23" si="70">IF(CX8&gt;=EDATE(Finish,-12),CX16,0)</f>
        <v>12433.498346716655</v>
      </c>
      <c r="CY23" s="63">
        <f t="shared" si="70"/>
        <v>10074.536017528024</v>
      </c>
      <c r="CZ23" s="63">
        <f t="shared" si="70"/>
        <v>10108.603915364225</v>
      </c>
      <c r="DA23" s="63">
        <f t="shared" si="70"/>
        <v>12535.702417499888</v>
      </c>
      <c r="DB23" s="63">
        <f t="shared" si="70"/>
        <v>10177.080768547194</v>
      </c>
      <c r="DC23" s="63">
        <f t="shared" si="70"/>
        <v>10211.490482220132</v>
      </c>
      <c r="DD23" s="63">
        <f t="shared" si="70"/>
        <v>12638.931939578646</v>
      </c>
      <c r="DE23" s="63">
        <f t="shared" si="70"/>
        <v>10280.654389032887</v>
      </c>
      <c r="DF23" s="63">
        <f t="shared" si="70"/>
        <v>10315.409348107441</v>
      </c>
      <c r="DG23" s="63">
        <f t="shared" si="70"/>
        <v>12743.197201685576</v>
      </c>
      <c r="DH23" s="63">
        <f t="shared" si="70"/>
        <v>10385.267202013511</v>
      </c>
      <c r="DI23" s="63">
        <f t="shared" si="70"/>
        <v>10420.370870464665</v>
      </c>
    </row>
    <row r="24" spans="2:113" s="18" customFormat="1" x14ac:dyDescent="0.3">
      <c r="B24" s="51" t="s">
        <v>152</v>
      </c>
      <c r="D24" s="52">
        <f t="shared" si="43"/>
        <v>-300000</v>
      </c>
      <c r="F24" s="52">
        <f>F25-F27</f>
        <v>-300000</v>
      </c>
      <c r="G24" s="52">
        <f t="shared" ref="G24:BR24" si="71">G25-G27</f>
        <v>0</v>
      </c>
      <c r="H24" s="52">
        <f t="shared" si="71"/>
        <v>0</v>
      </c>
      <c r="I24" s="52">
        <f t="shared" si="71"/>
        <v>0</v>
      </c>
      <c r="J24" s="52">
        <f t="shared" si="71"/>
        <v>0</v>
      </c>
      <c r="K24" s="52">
        <f t="shared" si="71"/>
        <v>0</v>
      </c>
      <c r="L24" s="52">
        <f t="shared" si="71"/>
        <v>0</v>
      </c>
      <c r="M24" s="52">
        <f t="shared" si="71"/>
        <v>0</v>
      </c>
      <c r="N24" s="52">
        <f t="shared" si="71"/>
        <v>0</v>
      </c>
      <c r="O24" s="52">
        <f t="shared" si="71"/>
        <v>0</v>
      </c>
      <c r="P24" s="52">
        <f t="shared" si="71"/>
        <v>0</v>
      </c>
      <c r="Q24" s="52">
        <f t="shared" si="71"/>
        <v>0</v>
      </c>
      <c r="R24" s="52">
        <f t="shared" si="71"/>
        <v>0</v>
      </c>
      <c r="S24" s="52">
        <f t="shared" si="71"/>
        <v>0</v>
      </c>
      <c r="T24" s="52">
        <f t="shared" si="71"/>
        <v>0</v>
      </c>
      <c r="U24" s="52">
        <f t="shared" si="71"/>
        <v>0</v>
      </c>
      <c r="V24" s="52">
        <f t="shared" si="71"/>
        <v>0</v>
      </c>
      <c r="W24" s="52">
        <f t="shared" si="71"/>
        <v>0</v>
      </c>
      <c r="X24" s="52">
        <f t="shared" si="71"/>
        <v>0</v>
      </c>
      <c r="Y24" s="52">
        <f t="shared" si="71"/>
        <v>0</v>
      </c>
      <c r="Z24" s="52">
        <f t="shared" si="71"/>
        <v>0</v>
      </c>
      <c r="AA24" s="52">
        <f t="shared" si="71"/>
        <v>0</v>
      </c>
      <c r="AB24" s="52">
        <f t="shared" si="71"/>
        <v>0</v>
      </c>
      <c r="AC24" s="52">
        <f t="shared" si="71"/>
        <v>0</v>
      </c>
      <c r="AD24" s="52">
        <f t="shared" si="71"/>
        <v>0</v>
      </c>
      <c r="AE24" s="52">
        <f t="shared" si="71"/>
        <v>0</v>
      </c>
      <c r="AF24" s="52">
        <f t="shared" si="71"/>
        <v>0</v>
      </c>
      <c r="AG24" s="52">
        <f t="shared" si="71"/>
        <v>0</v>
      </c>
      <c r="AH24" s="52">
        <f t="shared" si="71"/>
        <v>0</v>
      </c>
      <c r="AI24" s="52">
        <f t="shared" si="71"/>
        <v>0</v>
      </c>
      <c r="AJ24" s="52">
        <f t="shared" si="71"/>
        <v>0</v>
      </c>
      <c r="AK24" s="52">
        <f t="shared" si="71"/>
        <v>0</v>
      </c>
      <c r="AL24" s="52">
        <f t="shared" si="71"/>
        <v>0</v>
      </c>
      <c r="AM24" s="52">
        <f t="shared" si="71"/>
        <v>0</v>
      </c>
      <c r="AN24" s="52">
        <f t="shared" si="71"/>
        <v>0</v>
      </c>
      <c r="AO24" s="52">
        <f t="shared" si="71"/>
        <v>0</v>
      </c>
      <c r="AP24" s="52">
        <f t="shared" si="71"/>
        <v>0</v>
      </c>
      <c r="AQ24" s="52">
        <f t="shared" si="71"/>
        <v>0</v>
      </c>
      <c r="AR24" s="52">
        <f t="shared" si="71"/>
        <v>0</v>
      </c>
      <c r="AS24" s="52">
        <f t="shared" si="71"/>
        <v>0</v>
      </c>
      <c r="AT24" s="52">
        <f t="shared" si="71"/>
        <v>0</v>
      </c>
      <c r="AU24" s="52">
        <f t="shared" si="71"/>
        <v>0</v>
      </c>
      <c r="AV24" s="52">
        <f t="shared" si="71"/>
        <v>0</v>
      </c>
      <c r="AW24" s="52">
        <f t="shared" si="71"/>
        <v>0</v>
      </c>
      <c r="AX24" s="52">
        <f t="shared" si="71"/>
        <v>0</v>
      </c>
      <c r="AY24" s="52">
        <f t="shared" si="71"/>
        <v>0</v>
      </c>
      <c r="AZ24" s="52">
        <f t="shared" si="71"/>
        <v>0</v>
      </c>
      <c r="BA24" s="52">
        <f t="shared" si="71"/>
        <v>0</v>
      </c>
      <c r="BB24" s="52">
        <f t="shared" si="71"/>
        <v>0</v>
      </c>
      <c r="BC24" s="52">
        <f t="shared" si="71"/>
        <v>0</v>
      </c>
      <c r="BD24" s="52">
        <f t="shared" si="71"/>
        <v>0</v>
      </c>
      <c r="BE24" s="52">
        <f t="shared" si="71"/>
        <v>0</v>
      </c>
      <c r="BF24" s="52">
        <f t="shared" si="71"/>
        <v>0</v>
      </c>
      <c r="BG24" s="52">
        <f t="shared" si="71"/>
        <v>0</v>
      </c>
      <c r="BH24" s="52">
        <f t="shared" si="71"/>
        <v>0</v>
      </c>
      <c r="BI24" s="52">
        <f t="shared" si="71"/>
        <v>0</v>
      </c>
      <c r="BJ24" s="52">
        <f t="shared" si="71"/>
        <v>0</v>
      </c>
      <c r="BK24" s="52">
        <f t="shared" si="71"/>
        <v>0</v>
      </c>
      <c r="BL24" s="52">
        <f t="shared" si="71"/>
        <v>0</v>
      </c>
      <c r="BM24" s="52">
        <f t="shared" si="71"/>
        <v>0</v>
      </c>
      <c r="BN24" s="52">
        <f t="shared" si="71"/>
        <v>0</v>
      </c>
      <c r="BO24" s="52">
        <f t="shared" si="71"/>
        <v>0</v>
      </c>
      <c r="BP24" s="52">
        <f t="shared" si="71"/>
        <v>0</v>
      </c>
      <c r="BQ24" s="52">
        <f t="shared" si="71"/>
        <v>0</v>
      </c>
      <c r="BR24" s="52">
        <f t="shared" si="71"/>
        <v>0</v>
      </c>
      <c r="BS24" s="52">
        <f t="shared" ref="BS24:DI24" si="72">BS25-BS27</f>
        <v>0</v>
      </c>
      <c r="BT24" s="52">
        <f t="shared" si="72"/>
        <v>0</v>
      </c>
      <c r="BU24" s="52">
        <f t="shared" si="72"/>
        <v>0</v>
      </c>
      <c r="BV24" s="52">
        <f t="shared" si="72"/>
        <v>0</v>
      </c>
      <c r="BW24" s="52">
        <f t="shared" si="72"/>
        <v>0</v>
      </c>
      <c r="BX24" s="52">
        <f t="shared" si="72"/>
        <v>0</v>
      </c>
      <c r="BY24" s="52">
        <f t="shared" si="72"/>
        <v>0</v>
      </c>
      <c r="BZ24" s="52">
        <f t="shared" si="72"/>
        <v>0</v>
      </c>
      <c r="CA24" s="52">
        <f t="shared" si="72"/>
        <v>0</v>
      </c>
      <c r="CB24" s="52">
        <f t="shared" si="72"/>
        <v>0</v>
      </c>
      <c r="CC24" s="52">
        <f t="shared" si="72"/>
        <v>0</v>
      </c>
      <c r="CD24" s="52">
        <f t="shared" si="72"/>
        <v>0</v>
      </c>
      <c r="CE24" s="52">
        <f t="shared" si="72"/>
        <v>0</v>
      </c>
      <c r="CF24" s="52">
        <f t="shared" si="72"/>
        <v>0</v>
      </c>
      <c r="CG24" s="52">
        <f t="shared" si="72"/>
        <v>0</v>
      </c>
      <c r="CH24" s="52">
        <f t="shared" si="72"/>
        <v>0</v>
      </c>
      <c r="CI24" s="52">
        <f t="shared" si="72"/>
        <v>0</v>
      </c>
      <c r="CJ24" s="52">
        <f t="shared" si="72"/>
        <v>0</v>
      </c>
      <c r="CK24" s="52">
        <f t="shared" si="72"/>
        <v>0</v>
      </c>
      <c r="CL24" s="52">
        <f t="shared" si="72"/>
        <v>0</v>
      </c>
      <c r="CM24" s="52">
        <f t="shared" si="72"/>
        <v>0</v>
      </c>
      <c r="CN24" s="52">
        <f t="shared" si="72"/>
        <v>0</v>
      </c>
      <c r="CO24" s="52">
        <f t="shared" si="72"/>
        <v>0</v>
      </c>
      <c r="CP24" s="52">
        <f t="shared" si="72"/>
        <v>0</v>
      </c>
      <c r="CQ24" s="52">
        <f t="shared" si="72"/>
        <v>0</v>
      </c>
      <c r="CR24" s="52">
        <f t="shared" si="72"/>
        <v>0</v>
      </c>
      <c r="CS24" s="52">
        <f t="shared" si="72"/>
        <v>0</v>
      </c>
      <c r="CT24" s="52">
        <f t="shared" si="72"/>
        <v>0</v>
      </c>
      <c r="CU24" s="52">
        <f t="shared" si="72"/>
        <v>0</v>
      </c>
      <c r="CV24" s="52">
        <f t="shared" si="72"/>
        <v>0</v>
      </c>
      <c r="CW24" s="52">
        <f t="shared" si="72"/>
        <v>0</v>
      </c>
      <c r="CX24" s="52">
        <f t="shared" si="72"/>
        <v>0</v>
      </c>
      <c r="CY24" s="52">
        <f t="shared" si="72"/>
        <v>0</v>
      </c>
      <c r="CZ24" s="52">
        <f t="shared" si="72"/>
        <v>0</v>
      </c>
      <c r="DA24" s="52">
        <f t="shared" si="72"/>
        <v>0</v>
      </c>
      <c r="DB24" s="52">
        <f t="shared" si="72"/>
        <v>0</v>
      </c>
      <c r="DC24" s="52">
        <f t="shared" si="72"/>
        <v>0</v>
      </c>
      <c r="DD24" s="52">
        <f t="shared" si="72"/>
        <v>0</v>
      </c>
      <c r="DE24" s="52">
        <f t="shared" si="72"/>
        <v>0</v>
      </c>
      <c r="DF24" s="52">
        <f t="shared" si="72"/>
        <v>0</v>
      </c>
      <c r="DG24" s="52">
        <f t="shared" si="72"/>
        <v>0</v>
      </c>
      <c r="DH24" s="52">
        <f t="shared" si="72"/>
        <v>0</v>
      </c>
      <c r="DI24" s="52">
        <f t="shared" si="72"/>
        <v>0</v>
      </c>
    </row>
    <row r="25" spans="2:113" x14ac:dyDescent="0.3">
      <c r="B25" s="46" t="s">
        <v>153</v>
      </c>
      <c r="C25" s="42"/>
      <c r="D25" s="43">
        <f t="shared" si="43"/>
        <v>0</v>
      </c>
      <c r="E25" s="42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  <c r="AI25" s="43"/>
      <c r="AJ25" s="43"/>
      <c r="AK25" s="43"/>
      <c r="AL25" s="43"/>
      <c r="AM25" s="43"/>
      <c r="AN25" s="43"/>
      <c r="AO25" s="43"/>
      <c r="AP25" s="43"/>
      <c r="AQ25" s="43"/>
      <c r="AR25" s="43"/>
      <c r="AS25" s="43"/>
      <c r="AT25" s="43"/>
      <c r="AU25" s="43"/>
      <c r="AV25" s="43"/>
      <c r="AW25" s="43"/>
      <c r="AX25" s="43"/>
      <c r="AY25" s="43"/>
      <c r="AZ25" s="43"/>
      <c r="BA25" s="43"/>
      <c r="BB25" s="43"/>
      <c r="BC25" s="43"/>
      <c r="BD25" s="43"/>
      <c r="BE25" s="43"/>
      <c r="BF25" s="43"/>
      <c r="BG25" s="43"/>
      <c r="BH25" s="43"/>
      <c r="BI25" s="43"/>
      <c r="BJ25" s="43"/>
      <c r="BK25" s="43"/>
      <c r="BL25" s="43"/>
      <c r="BM25" s="43"/>
      <c r="BN25" s="43"/>
      <c r="BO25" s="43"/>
      <c r="BP25" s="43"/>
      <c r="BQ25" s="43"/>
      <c r="BR25" s="43"/>
      <c r="BS25" s="43"/>
      <c r="BT25" s="43"/>
      <c r="BU25" s="43"/>
      <c r="BV25" s="43"/>
      <c r="BW25" s="43"/>
      <c r="BX25" s="43"/>
      <c r="BY25" s="43"/>
      <c r="BZ25" s="43"/>
      <c r="CA25" s="43"/>
      <c r="CB25" s="43"/>
      <c r="CC25" s="43"/>
      <c r="CD25" s="43"/>
      <c r="CE25" s="43"/>
      <c r="CF25" s="43"/>
      <c r="CG25" s="43"/>
      <c r="CH25" s="43"/>
      <c r="CI25" s="43"/>
      <c r="CJ25" s="43"/>
      <c r="CK25" s="43"/>
      <c r="CL25" s="43"/>
      <c r="CM25" s="43"/>
      <c r="CN25" s="43"/>
      <c r="CO25" s="43"/>
      <c r="CP25" s="43"/>
      <c r="CQ25" s="43"/>
      <c r="CR25" s="43"/>
      <c r="CS25" s="43"/>
      <c r="CT25" s="43"/>
      <c r="CU25" s="43"/>
      <c r="CV25" s="43"/>
      <c r="CW25" s="43"/>
      <c r="CX25" s="43"/>
      <c r="CY25" s="43"/>
      <c r="CZ25" s="43"/>
      <c r="DA25" s="43"/>
      <c r="DB25" s="43"/>
      <c r="DC25" s="43"/>
      <c r="DD25" s="43"/>
      <c r="DE25" s="43"/>
      <c r="DF25" s="43"/>
      <c r="DG25" s="43"/>
      <c r="DH25" s="43"/>
      <c r="DI25" s="43"/>
    </row>
    <row r="26" spans="2:113" x14ac:dyDescent="0.3">
      <c r="B26" s="6" t="s">
        <v>154</v>
      </c>
      <c r="D26" s="27">
        <f t="shared" si="43"/>
        <v>0</v>
      </c>
    </row>
    <row r="27" spans="2:113" x14ac:dyDescent="0.3">
      <c r="B27" s="46" t="s">
        <v>155</v>
      </c>
      <c r="C27" s="42"/>
      <c r="D27" s="43">
        <f t="shared" si="43"/>
        <v>300000</v>
      </c>
      <c r="E27" s="42"/>
      <c r="F27" s="43">
        <f>F28</f>
        <v>300000</v>
      </c>
      <c r="G27" s="43">
        <f t="shared" ref="G27:BR27" si="73">G28</f>
        <v>0</v>
      </c>
      <c r="H27" s="43">
        <f t="shared" si="73"/>
        <v>0</v>
      </c>
      <c r="I27" s="43">
        <f t="shared" si="73"/>
        <v>0</v>
      </c>
      <c r="J27" s="43">
        <f t="shared" si="73"/>
        <v>0</v>
      </c>
      <c r="K27" s="43">
        <f t="shared" si="73"/>
        <v>0</v>
      </c>
      <c r="L27" s="43">
        <f t="shared" si="73"/>
        <v>0</v>
      </c>
      <c r="M27" s="43">
        <f t="shared" si="73"/>
        <v>0</v>
      </c>
      <c r="N27" s="43">
        <f t="shared" si="73"/>
        <v>0</v>
      </c>
      <c r="O27" s="43">
        <f t="shared" si="73"/>
        <v>0</v>
      </c>
      <c r="P27" s="43">
        <f t="shared" si="73"/>
        <v>0</v>
      </c>
      <c r="Q27" s="43">
        <f t="shared" si="73"/>
        <v>0</v>
      </c>
      <c r="R27" s="43">
        <f t="shared" si="73"/>
        <v>0</v>
      </c>
      <c r="S27" s="43">
        <f t="shared" si="73"/>
        <v>0</v>
      </c>
      <c r="T27" s="43">
        <f t="shared" si="73"/>
        <v>0</v>
      </c>
      <c r="U27" s="43">
        <f t="shared" si="73"/>
        <v>0</v>
      </c>
      <c r="V27" s="43">
        <f t="shared" si="73"/>
        <v>0</v>
      </c>
      <c r="W27" s="43">
        <f t="shared" si="73"/>
        <v>0</v>
      </c>
      <c r="X27" s="43">
        <f t="shared" si="73"/>
        <v>0</v>
      </c>
      <c r="Y27" s="43">
        <f t="shared" si="73"/>
        <v>0</v>
      </c>
      <c r="Z27" s="43">
        <f t="shared" si="73"/>
        <v>0</v>
      </c>
      <c r="AA27" s="43">
        <f t="shared" si="73"/>
        <v>0</v>
      </c>
      <c r="AB27" s="43">
        <f t="shared" si="73"/>
        <v>0</v>
      </c>
      <c r="AC27" s="43">
        <f t="shared" si="73"/>
        <v>0</v>
      </c>
      <c r="AD27" s="43">
        <f t="shared" si="73"/>
        <v>0</v>
      </c>
      <c r="AE27" s="43">
        <f t="shared" si="73"/>
        <v>0</v>
      </c>
      <c r="AF27" s="43">
        <f t="shared" si="73"/>
        <v>0</v>
      </c>
      <c r="AG27" s="43">
        <f t="shared" si="73"/>
        <v>0</v>
      </c>
      <c r="AH27" s="43">
        <f t="shared" si="73"/>
        <v>0</v>
      </c>
      <c r="AI27" s="43">
        <f t="shared" si="73"/>
        <v>0</v>
      </c>
      <c r="AJ27" s="43">
        <f t="shared" si="73"/>
        <v>0</v>
      </c>
      <c r="AK27" s="43">
        <f t="shared" si="73"/>
        <v>0</v>
      </c>
      <c r="AL27" s="43">
        <f t="shared" si="73"/>
        <v>0</v>
      </c>
      <c r="AM27" s="43">
        <f t="shared" si="73"/>
        <v>0</v>
      </c>
      <c r="AN27" s="43">
        <f t="shared" si="73"/>
        <v>0</v>
      </c>
      <c r="AO27" s="43">
        <f t="shared" si="73"/>
        <v>0</v>
      </c>
      <c r="AP27" s="43">
        <f t="shared" si="73"/>
        <v>0</v>
      </c>
      <c r="AQ27" s="43">
        <f t="shared" si="73"/>
        <v>0</v>
      </c>
      <c r="AR27" s="43">
        <f t="shared" si="73"/>
        <v>0</v>
      </c>
      <c r="AS27" s="43">
        <f t="shared" si="73"/>
        <v>0</v>
      </c>
      <c r="AT27" s="43">
        <f t="shared" si="73"/>
        <v>0</v>
      </c>
      <c r="AU27" s="43">
        <f t="shared" si="73"/>
        <v>0</v>
      </c>
      <c r="AV27" s="43">
        <f t="shared" si="73"/>
        <v>0</v>
      </c>
      <c r="AW27" s="43">
        <f t="shared" si="73"/>
        <v>0</v>
      </c>
      <c r="AX27" s="43">
        <f t="shared" si="73"/>
        <v>0</v>
      </c>
      <c r="AY27" s="43">
        <f t="shared" si="73"/>
        <v>0</v>
      </c>
      <c r="AZ27" s="43">
        <f t="shared" si="73"/>
        <v>0</v>
      </c>
      <c r="BA27" s="43">
        <f t="shared" si="73"/>
        <v>0</v>
      </c>
      <c r="BB27" s="43">
        <f t="shared" si="73"/>
        <v>0</v>
      </c>
      <c r="BC27" s="43">
        <f t="shared" si="73"/>
        <v>0</v>
      </c>
      <c r="BD27" s="43">
        <f t="shared" si="73"/>
        <v>0</v>
      </c>
      <c r="BE27" s="43">
        <f t="shared" si="73"/>
        <v>0</v>
      </c>
      <c r="BF27" s="43">
        <f t="shared" si="73"/>
        <v>0</v>
      </c>
      <c r="BG27" s="43">
        <f t="shared" si="73"/>
        <v>0</v>
      </c>
      <c r="BH27" s="43">
        <f t="shared" si="73"/>
        <v>0</v>
      </c>
      <c r="BI27" s="43">
        <f t="shared" si="73"/>
        <v>0</v>
      </c>
      <c r="BJ27" s="43">
        <f t="shared" si="73"/>
        <v>0</v>
      </c>
      <c r="BK27" s="43">
        <f t="shared" si="73"/>
        <v>0</v>
      </c>
      <c r="BL27" s="43">
        <f t="shared" si="73"/>
        <v>0</v>
      </c>
      <c r="BM27" s="43">
        <f t="shared" si="73"/>
        <v>0</v>
      </c>
      <c r="BN27" s="43">
        <f t="shared" si="73"/>
        <v>0</v>
      </c>
      <c r="BO27" s="43">
        <f t="shared" si="73"/>
        <v>0</v>
      </c>
      <c r="BP27" s="43">
        <f t="shared" si="73"/>
        <v>0</v>
      </c>
      <c r="BQ27" s="43">
        <f t="shared" si="73"/>
        <v>0</v>
      </c>
      <c r="BR27" s="43">
        <f t="shared" si="73"/>
        <v>0</v>
      </c>
      <c r="BS27" s="43">
        <f t="shared" ref="BS27:DI27" si="74">BS28</f>
        <v>0</v>
      </c>
      <c r="BT27" s="43">
        <f t="shared" si="74"/>
        <v>0</v>
      </c>
      <c r="BU27" s="43">
        <f t="shared" si="74"/>
        <v>0</v>
      </c>
      <c r="BV27" s="43">
        <f t="shared" si="74"/>
        <v>0</v>
      </c>
      <c r="BW27" s="43">
        <f t="shared" si="74"/>
        <v>0</v>
      </c>
      <c r="BX27" s="43">
        <f t="shared" si="74"/>
        <v>0</v>
      </c>
      <c r="BY27" s="43">
        <f t="shared" si="74"/>
        <v>0</v>
      </c>
      <c r="BZ27" s="43">
        <f t="shared" si="74"/>
        <v>0</v>
      </c>
      <c r="CA27" s="43">
        <f t="shared" si="74"/>
        <v>0</v>
      </c>
      <c r="CB27" s="43">
        <f t="shared" si="74"/>
        <v>0</v>
      </c>
      <c r="CC27" s="43">
        <f t="shared" si="74"/>
        <v>0</v>
      </c>
      <c r="CD27" s="43">
        <f t="shared" si="74"/>
        <v>0</v>
      </c>
      <c r="CE27" s="43">
        <f t="shared" si="74"/>
        <v>0</v>
      </c>
      <c r="CF27" s="43">
        <f t="shared" si="74"/>
        <v>0</v>
      </c>
      <c r="CG27" s="43">
        <f t="shared" si="74"/>
        <v>0</v>
      </c>
      <c r="CH27" s="43">
        <f t="shared" si="74"/>
        <v>0</v>
      </c>
      <c r="CI27" s="43">
        <f t="shared" si="74"/>
        <v>0</v>
      </c>
      <c r="CJ27" s="43">
        <f t="shared" si="74"/>
        <v>0</v>
      </c>
      <c r="CK27" s="43">
        <f t="shared" si="74"/>
        <v>0</v>
      </c>
      <c r="CL27" s="43">
        <f t="shared" si="74"/>
        <v>0</v>
      </c>
      <c r="CM27" s="43">
        <f t="shared" si="74"/>
        <v>0</v>
      </c>
      <c r="CN27" s="43">
        <f t="shared" si="74"/>
        <v>0</v>
      </c>
      <c r="CO27" s="43">
        <f t="shared" si="74"/>
        <v>0</v>
      </c>
      <c r="CP27" s="43">
        <f t="shared" si="74"/>
        <v>0</v>
      </c>
      <c r="CQ27" s="43">
        <f t="shared" si="74"/>
        <v>0</v>
      </c>
      <c r="CR27" s="43">
        <f t="shared" si="74"/>
        <v>0</v>
      </c>
      <c r="CS27" s="43">
        <f t="shared" si="74"/>
        <v>0</v>
      </c>
      <c r="CT27" s="43">
        <f t="shared" si="74"/>
        <v>0</v>
      </c>
      <c r="CU27" s="43">
        <f t="shared" si="74"/>
        <v>0</v>
      </c>
      <c r="CV27" s="43">
        <f t="shared" si="74"/>
        <v>0</v>
      </c>
      <c r="CW27" s="43">
        <f t="shared" si="74"/>
        <v>0</v>
      </c>
      <c r="CX27" s="43">
        <f t="shared" si="74"/>
        <v>0</v>
      </c>
      <c r="CY27" s="43">
        <f t="shared" si="74"/>
        <v>0</v>
      </c>
      <c r="CZ27" s="43">
        <f t="shared" si="74"/>
        <v>0</v>
      </c>
      <c r="DA27" s="43">
        <f t="shared" si="74"/>
        <v>0</v>
      </c>
      <c r="DB27" s="43">
        <f t="shared" si="74"/>
        <v>0</v>
      </c>
      <c r="DC27" s="43">
        <f t="shared" si="74"/>
        <v>0</v>
      </c>
      <c r="DD27" s="43">
        <f t="shared" si="74"/>
        <v>0</v>
      </c>
      <c r="DE27" s="43">
        <f t="shared" si="74"/>
        <v>0</v>
      </c>
      <c r="DF27" s="43">
        <f t="shared" si="74"/>
        <v>0</v>
      </c>
      <c r="DG27" s="43">
        <f t="shared" si="74"/>
        <v>0</v>
      </c>
      <c r="DH27" s="43">
        <f t="shared" si="74"/>
        <v>0</v>
      </c>
      <c r="DI27" s="43">
        <f t="shared" si="74"/>
        <v>0</v>
      </c>
    </row>
    <row r="28" spans="2:113" x14ac:dyDescent="0.3">
      <c r="B28" s="6" t="s">
        <v>202</v>
      </c>
      <c r="D28" s="27">
        <f t="shared" si="43"/>
        <v>300000</v>
      </c>
      <c r="F28" s="41">
        <f>SENEJ</f>
        <v>300000</v>
      </c>
    </row>
    <row r="29" spans="2:113" s="18" customFormat="1" x14ac:dyDescent="0.3">
      <c r="B29" s="51" t="s">
        <v>156</v>
      </c>
      <c r="D29" s="52">
        <f t="shared" si="43"/>
        <v>79990.000000000146</v>
      </c>
      <c r="F29" s="52">
        <f t="shared" ref="F29:AK29" si="75">F30-F33</f>
        <v>349990</v>
      </c>
      <c r="G29" s="52">
        <f t="shared" si="75"/>
        <v>-4013.3333333333335</v>
      </c>
      <c r="H29" s="52">
        <f t="shared" si="75"/>
        <v>-4026.7111111111117</v>
      </c>
      <c r="I29" s="52">
        <f t="shared" si="75"/>
        <v>-4040.1334814814822</v>
      </c>
      <c r="J29" s="52">
        <f t="shared" si="75"/>
        <v>-4053.6005930864208</v>
      </c>
      <c r="K29" s="52">
        <f t="shared" si="75"/>
        <v>-4067.1125950633759</v>
      </c>
      <c r="L29" s="52">
        <f t="shared" si="75"/>
        <v>-4080.6696370469208</v>
      </c>
      <c r="M29" s="52">
        <f t="shared" si="75"/>
        <v>-4094.2718691704108</v>
      </c>
      <c r="N29" s="52">
        <f t="shared" si="75"/>
        <v>-4107.9194420676458</v>
      </c>
      <c r="O29" s="52">
        <f t="shared" si="75"/>
        <v>-4121.6125068745387</v>
      </c>
      <c r="P29" s="52">
        <f t="shared" si="75"/>
        <v>-4135.3512152307876</v>
      </c>
      <c r="Q29" s="52">
        <f t="shared" si="75"/>
        <v>-4149.1357192815576</v>
      </c>
      <c r="R29" s="52">
        <f t="shared" si="75"/>
        <v>-4162.9661716791634</v>
      </c>
      <c r="S29" s="52">
        <f t="shared" si="75"/>
        <v>-4176.842725584761</v>
      </c>
      <c r="T29" s="52">
        <f t="shared" si="75"/>
        <v>-4190.765534670044</v>
      </c>
      <c r="U29" s="52">
        <f t="shared" si="75"/>
        <v>-4204.7347531189444</v>
      </c>
      <c r="V29" s="52">
        <f t="shared" si="75"/>
        <v>-4218.7505356293414</v>
      </c>
      <c r="W29" s="52">
        <f t="shared" si="75"/>
        <v>-4232.8130374147731</v>
      </c>
      <c r="X29" s="52">
        <f t="shared" si="75"/>
        <v>-4246.9224142061557</v>
      </c>
      <c r="Y29" s="52">
        <f t="shared" si="75"/>
        <v>-4261.0788222535102</v>
      </c>
      <c r="Z29" s="52">
        <f t="shared" si="75"/>
        <v>-4275.2824183276889</v>
      </c>
      <c r="AA29" s="52">
        <f t="shared" si="75"/>
        <v>-4289.5333597221152</v>
      </c>
      <c r="AB29" s="52">
        <f t="shared" si="75"/>
        <v>-4303.8318042545225</v>
      </c>
      <c r="AC29" s="52">
        <f t="shared" si="75"/>
        <v>-4318.1779102687042</v>
      </c>
      <c r="AD29" s="52">
        <f t="shared" si="75"/>
        <v>-4332.5718366362671</v>
      </c>
      <c r="AE29" s="52">
        <f t="shared" si="75"/>
        <v>-4347.0137427583886</v>
      </c>
      <c r="AF29" s="52">
        <f t="shared" si="75"/>
        <v>-4361.5037885675838</v>
      </c>
      <c r="AG29" s="52">
        <f t="shared" si="75"/>
        <v>-4376.0421345294762</v>
      </c>
      <c r="AH29" s="52">
        <f t="shared" si="75"/>
        <v>-4390.6289416445752</v>
      </c>
      <c r="AI29" s="52">
        <f t="shared" si="75"/>
        <v>-4405.2643714500573</v>
      </c>
      <c r="AJ29" s="52">
        <f t="shared" si="75"/>
        <v>-4419.9485860215582</v>
      </c>
      <c r="AK29" s="52">
        <f t="shared" si="75"/>
        <v>-4434.6817479749634</v>
      </c>
      <c r="AL29" s="52">
        <f t="shared" ref="AL29:BQ29" si="76">AL30-AL33</f>
        <v>-4449.4640204682137</v>
      </c>
      <c r="AM29" s="52">
        <f t="shared" si="76"/>
        <v>-4464.2955672031085</v>
      </c>
      <c r="AN29" s="52">
        <f t="shared" si="76"/>
        <v>-4479.1765524271195</v>
      </c>
      <c r="AO29" s="52">
        <f t="shared" si="76"/>
        <v>-4494.1071409352098</v>
      </c>
      <c r="AP29" s="52">
        <f t="shared" si="76"/>
        <v>-4509.0874980716608</v>
      </c>
      <c r="AQ29" s="52">
        <f t="shared" si="76"/>
        <v>-4524.1177897319003</v>
      </c>
      <c r="AR29" s="52">
        <f t="shared" si="76"/>
        <v>-4539.19818236434</v>
      </c>
      <c r="AS29" s="52">
        <f t="shared" si="76"/>
        <v>-4554.3288429722215</v>
      </c>
      <c r="AT29" s="52">
        <f t="shared" si="76"/>
        <v>-4569.5099391154627</v>
      </c>
      <c r="AU29" s="52">
        <f t="shared" si="76"/>
        <v>-4584.7416389125146</v>
      </c>
      <c r="AV29" s="52">
        <f t="shared" si="76"/>
        <v>-4600.024111042223</v>
      </c>
      <c r="AW29" s="52">
        <f t="shared" si="76"/>
        <v>-4615.3575247456974</v>
      </c>
      <c r="AX29" s="52">
        <f t="shared" si="76"/>
        <v>-4630.7420498281836</v>
      </c>
      <c r="AY29" s="52">
        <f t="shared" si="76"/>
        <v>-4646.1778566609446</v>
      </c>
      <c r="AZ29" s="52">
        <f t="shared" si="76"/>
        <v>-4661.6651161831478</v>
      </c>
      <c r="BA29" s="52">
        <f t="shared" si="76"/>
        <v>-4677.2039999037588</v>
      </c>
      <c r="BB29" s="52">
        <f t="shared" si="76"/>
        <v>-4692.794679903438</v>
      </c>
      <c r="BC29" s="52">
        <f t="shared" si="76"/>
        <v>-4708.4373288364495</v>
      </c>
      <c r="BD29" s="52">
        <f t="shared" si="76"/>
        <v>-4724.1321199325712</v>
      </c>
      <c r="BE29" s="52">
        <f t="shared" si="76"/>
        <v>-4739.8792269990136</v>
      </c>
      <c r="BF29" s="52">
        <f t="shared" si="76"/>
        <v>-4755.6788244223444</v>
      </c>
      <c r="BG29" s="52">
        <f t="shared" si="76"/>
        <v>-4771.5310871704196</v>
      </c>
      <c r="BH29" s="52">
        <f t="shared" si="76"/>
        <v>-4787.4361907943212</v>
      </c>
      <c r="BI29" s="52">
        <f t="shared" si="76"/>
        <v>-4803.3943114303029</v>
      </c>
      <c r="BJ29" s="52">
        <f t="shared" si="76"/>
        <v>-4819.4056258017372</v>
      </c>
      <c r="BK29" s="52">
        <f t="shared" si="76"/>
        <v>-4835.4703112210764</v>
      </c>
      <c r="BL29" s="52">
        <f t="shared" si="76"/>
        <v>-4851.5885455918133</v>
      </c>
      <c r="BM29" s="52">
        <f t="shared" si="76"/>
        <v>-4867.7605074104531</v>
      </c>
      <c r="BN29" s="52">
        <f t="shared" si="76"/>
        <v>-4883.986375768488</v>
      </c>
      <c r="BO29" s="52">
        <f t="shared" si="76"/>
        <v>-3920.1008936916687</v>
      </c>
      <c r="BP29" s="52">
        <f t="shared" si="76"/>
        <v>0</v>
      </c>
      <c r="BQ29" s="52">
        <f t="shared" si="76"/>
        <v>0</v>
      </c>
      <c r="BR29" s="52">
        <f t="shared" ref="BR29:BZ29" si="77">BR30-BR33</f>
        <v>0</v>
      </c>
      <c r="BS29" s="52">
        <f t="shared" si="77"/>
        <v>0</v>
      </c>
      <c r="BT29" s="52">
        <f t="shared" si="77"/>
        <v>0</v>
      </c>
      <c r="BU29" s="52">
        <f t="shared" si="77"/>
        <v>0</v>
      </c>
      <c r="BV29" s="52">
        <f t="shared" si="77"/>
        <v>0</v>
      </c>
      <c r="BW29" s="52">
        <f t="shared" si="77"/>
        <v>0</v>
      </c>
      <c r="BX29" s="52">
        <f t="shared" si="77"/>
        <v>0</v>
      </c>
      <c r="BY29" s="52">
        <f t="shared" si="77"/>
        <v>0</v>
      </c>
      <c r="BZ29" s="52">
        <f t="shared" si="77"/>
        <v>0</v>
      </c>
      <c r="CA29" s="52">
        <f t="shared" ref="CA29:DI29" si="78">CA30-CA33</f>
        <v>0</v>
      </c>
      <c r="CB29" s="52">
        <f t="shared" si="78"/>
        <v>0</v>
      </c>
      <c r="CC29" s="52">
        <f t="shared" si="78"/>
        <v>0</v>
      </c>
      <c r="CD29" s="52">
        <f t="shared" si="78"/>
        <v>0</v>
      </c>
      <c r="CE29" s="52">
        <f t="shared" si="78"/>
        <v>0</v>
      </c>
      <c r="CF29" s="52">
        <f t="shared" si="78"/>
        <v>0</v>
      </c>
      <c r="CG29" s="52">
        <f t="shared" si="78"/>
        <v>0</v>
      </c>
      <c r="CH29" s="52">
        <f t="shared" si="78"/>
        <v>0</v>
      </c>
      <c r="CI29" s="52">
        <f t="shared" si="78"/>
        <v>0</v>
      </c>
      <c r="CJ29" s="52">
        <f t="shared" si="78"/>
        <v>0</v>
      </c>
      <c r="CK29" s="52">
        <f t="shared" si="78"/>
        <v>0</v>
      </c>
      <c r="CL29" s="52">
        <f t="shared" si="78"/>
        <v>0</v>
      </c>
      <c r="CM29" s="52">
        <f t="shared" si="78"/>
        <v>0</v>
      </c>
      <c r="CN29" s="52">
        <f t="shared" si="78"/>
        <v>0</v>
      </c>
      <c r="CO29" s="52">
        <f t="shared" si="78"/>
        <v>0</v>
      </c>
      <c r="CP29" s="52">
        <f t="shared" si="78"/>
        <v>0</v>
      </c>
      <c r="CQ29" s="52">
        <f t="shared" si="78"/>
        <v>0</v>
      </c>
      <c r="CR29" s="52">
        <f t="shared" si="78"/>
        <v>0</v>
      </c>
      <c r="CS29" s="52">
        <f t="shared" si="78"/>
        <v>0</v>
      </c>
      <c r="CT29" s="52">
        <f t="shared" si="78"/>
        <v>0</v>
      </c>
      <c r="CU29" s="52">
        <f t="shared" si="78"/>
        <v>0</v>
      </c>
      <c r="CV29" s="52">
        <f t="shared" si="78"/>
        <v>0</v>
      </c>
      <c r="CW29" s="52">
        <f t="shared" si="78"/>
        <v>0</v>
      </c>
      <c r="CX29" s="52">
        <f t="shared" si="78"/>
        <v>0</v>
      </c>
      <c r="CY29" s="52">
        <f t="shared" si="78"/>
        <v>0</v>
      </c>
      <c r="CZ29" s="52">
        <f t="shared" si="78"/>
        <v>0</v>
      </c>
      <c r="DA29" s="52">
        <f t="shared" si="78"/>
        <v>0</v>
      </c>
      <c r="DB29" s="52">
        <f t="shared" si="78"/>
        <v>0</v>
      </c>
      <c r="DC29" s="52">
        <f t="shared" si="78"/>
        <v>0</v>
      </c>
      <c r="DD29" s="52">
        <f t="shared" si="78"/>
        <v>0</v>
      </c>
      <c r="DE29" s="52">
        <f t="shared" si="78"/>
        <v>0</v>
      </c>
      <c r="DF29" s="52">
        <f t="shared" si="78"/>
        <v>0</v>
      </c>
      <c r="DG29" s="52">
        <f t="shared" si="78"/>
        <v>0</v>
      </c>
      <c r="DH29" s="52">
        <f t="shared" si="78"/>
        <v>0</v>
      </c>
      <c r="DI29" s="52">
        <f t="shared" si="78"/>
        <v>0</v>
      </c>
    </row>
    <row r="30" spans="2:113" x14ac:dyDescent="0.3">
      <c r="B30" s="46" t="s">
        <v>157</v>
      </c>
      <c r="C30" s="42"/>
      <c r="D30" s="43">
        <f t="shared" si="43"/>
        <v>349990</v>
      </c>
      <c r="E30" s="42"/>
      <c r="F30" s="43">
        <f>SUM(F31:F32)</f>
        <v>349990</v>
      </c>
      <c r="G30" s="43">
        <f t="shared" ref="G30:AL30" si="79">SUM(G32:G32)</f>
        <v>0</v>
      </c>
      <c r="H30" s="43">
        <f t="shared" si="79"/>
        <v>0</v>
      </c>
      <c r="I30" s="43">
        <f t="shared" si="79"/>
        <v>0</v>
      </c>
      <c r="J30" s="43">
        <f t="shared" si="79"/>
        <v>0</v>
      </c>
      <c r="K30" s="43">
        <f t="shared" si="79"/>
        <v>0</v>
      </c>
      <c r="L30" s="43">
        <f t="shared" si="79"/>
        <v>0</v>
      </c>
      <c r="M30" s="43">
        <f t="shared" si="79"/>
        <v>0</v>
      </c>
      <c r="N30" s="43">
        <f t="shared" si="79"/>
        <v>0</v>
      </c>
      <c r="O30" s="43">
        <f t="shared" si="79"/>
        <v>0</v>
      </c>
      <c r="P30" s="43">
        <f t="shared" si="79"/>
        <v>0</v>
      </c>
      <c r="Q30" s="43">
        <f t="shared" si="79"/>
        <v>0</v>
      </c>
      <c r="R30" s="43">
        <f t="shared" si="79"/>
        <v>0</v>
      </c>
      <c r="S30" s="43">
        <f t="shared" si="79"/>
        <v>0</v>
      </c>
      <c r="T30" s="43">
        <f t="shared" si="79"/>
        <v>0</v>
      </c>
      <c r="U30" s="43">
        <f t="shared" si="79"/>
        <v>0</v>
      </c>
      <c r="V30" s="43">
        <f t="shared" si="79"/>
        <v>0</v>
      </c>
      <c r="W30" s="43">
        <f t="shared" si="79"/>
        <v>0</v>
      </c>
      <c r="X30" s="43">
        <f t="shared" si="79"/>
        <v>0</v>
      </c>
      <c r="Y30" s="43">
        <f t="shared" si="79"/>
        <v>0</v>
      </c>
      <c r="Z30" s="43">
        <f t="shared" si="79"/>
        <v>0</v>
      </c>
      <c r="AA30" s="43">
        <f t="shared" si="79"/>
        <v>0</v>
      </c>
      <c r="AB30" s="43">
        <f t="shared" si="79"/>
        <v>0</v>
      </c>
      <c r="AC30" s="43">
        <f t="shared" si="79"/>
        <v>0</v>
      </c>
      <c r="AD30" s="43">
        <f t="shared" si="79"/>
        <v>0</v>
      </c>
      <c r="AE30" s="43">
        <f t="shared" si="79"/>
        <v>0</v>
      </c>
      <c r="AF30" s="43">
        <f t="shared" si="79"/>
        <v>0</v>
      </c>
      <c r="AG30" s="43">
        <f t="shared" si="79"/>
        <v>0</v>
      </c>
      <c r="AH30" s="43">
        <f t="shared" si="79"/>
        <v>0</v>
      </c>
      <c r="AI30" s="43">
        <f t="shared" si="79"/>
        <v>0</v>
      </c>
      <c r="AJ30" s="43">
        <f t="shared" si="79"/>
        <v>0</v>
      </c>
      <c r="AK30" s="43">
        <f t="shared" si="79"/>
        <v>0</v>
      </c>
      <c r="AL30" s="43">
        <f t="shared" si="79"/>
        <v>0</v>
      </c>
      <c r="AM30" s="43">
        <f t="shared" ref="AM30:BR30" si="80">SUM(AM32:AM32)</f>
        <v>0</v>
      </c>
      <c r="AN30" s="43">
        <f t="shared" si="80"/>
        <v>0</v>
      </c>
      <c r="AO30" s="43">
        <f t="shared" si="80"/>
        <v>0</v>
      </c>
      <c r="AP30" s="43">
        <f t="shared" si="80"/>
        <v>0</v>
      </c>
      <c r="AQ30" s="43">
        <f t="shared" si="80"/>
        <v>0</v>
      </c>
      <c r="AR30" s="43">
        <f t="shared" si="80"/>
        <v>0</v>
      </c>
      <c r="AS30" s="43">
        <f t="shared" si="80"/>
        <v>0</v>
      </c>
      <c r="AT30" s="43">
        <f t="shared" si="80"/>
        <v>0</v>
      </c>
      <c r="AU30" s="43">
        <f t="shared" si="80"/>
        <v>0</v>
      </c>
      <c r="AV30" s="43">
        <f t="shared" si="80"/>
        <v>0</v>
      </c>
      <c r="AW30" s="43">
        <f t="shared" si="80"/>
        <v>0</v>
      </c>
      <c r="AX30" s="43">
        <f t="shared" si="80"/>
        <v>0</v>
      </c>
      <c r="AY30" s="43">
        <f t="shared" si="80"/>
        <v>0</v>
      </c>
      <c r="AZ30" s="43">
        <f t="shared" si="80"/>
        <v>0</v>
      </c>
      <c r="BA30" s="43">
        <f t="shared" si="80"/>
        <v>0</v>
      </c>
      <c r="BB30" s="43">
        <f t="shared" si="80"/>
        <v>0</v>
      </c>
      <c r="BC30" s="43">
        <f t="shared" si="80"/>
        <v>0</v>
      </c>
      <c r="BD30" s="43">
        <f t="shared" si="80"/>
        <v>0</v>
      </c>
      <c r="BE30" s="43">
        <f t="shared" si="80"/>
        <v>0</v>
      </c>
      <c r="BF30" s="43">
        <f t="shared" si="80"/>
        <v>0</v>
      </c>
      <c r="BG30" s="43">
        <f t="shared" si="80"/>
        <v>0</v>
      </c>
      <c r="BH30" s="43">
        <f t="shared" si="80"/>
        <v>0</v>
      </c>
      <c r="BI30" s="43">
        <f t="shared" si="80"/>
        <v>0</v>
      </c>
      <c r="BJ30" s="43">
        <f t="shared" si="80"/>
        <v>0</v>
      </c>
      <c r="BK30" s="43">
        <f t="shared" si="80"/>
        <v>0</v>
      </c>
      <c r="BL30" s="43">
        <f t="shared" si="80"/>
        <v>0</v>
      </c>
      <c r="BM30" s="43">
        <f t="shared" si="80"/>
        <v>0</v>
      </c>
      <c r="BN30" s="43">
        <f t="shared" si="80"/>
        <v>0</v>
      </c>
      <c r="BO30" s="43">
        <f t="shared" si="80"/>
        <v>0</v>
      </c>
      <c r="BP30" s="43">
        <f t="shared" si="80"/>
        <v>0</v>
      </c>
      <c r="BQ30" s="43">
        <f t="shared" si="80"/>
        <v>0</v>
      </c>
      <c r="BR30" s="43">
        <f t="shared" si="80"/>
        <v>0</v>
      </c>
      <c r="BS30" s="43">
        <f t="shared" ref="BS30:BY30" si="81">SUM(BS32:BS32)</f>
        <v>0</v>
      </c>
      <c r="BT30" s="43">
        <f t="shared" si="81"/>
        <v>0</v>
      </c>
      <c r="BU30" s="43">
        <f t="shared" si="81"/>
        <v>0</v>
      </c>
      <c r="BV30" s="43">
        <f t="shared" si="81"/>
        <v>0</v>
      </c>
      <c r="BW30" s="43">
        <f t="shared" si="81"/>
        <v>0</v>
      </c>
      <c r="BX30" s="43">
        <f t="shared" si="81"/>
        <v>0</v>
      </c>
      <c r="BY30" s="43">
        <f t="shared" si="81"/>
        <v>0</v>
      </c>
      <c r="BZ30" s="43">
        <f t="shared" ref="BZ30:DI30" si="82">SUM(BZ32:BZ32)</f>
        <v>0</v>
      </c>
      <c r="CA30" s="43">
        <f t="shared" si="82"/>
        <v>0</v>
      </c>
      <c r="CB30" s="43">
        <f t="shared" si="82"/>
        <v>0</v>
      </c>
      <c r="CC30" s="43">
        <f t="shared" si="82"/>
        <v>0</v>
      </c>
      <c r="CD30" s="43">
        <f t="shared" si="82"/>
        <v>0</v>
      </c>
      <c r="CE30" s="43">
        <f t="shared" si="82"/>
        <v>0</v>
      </c>
      <c r="CF30" s="43">
        <f t="shared" si="82"/>
        <v>0</v>
      </c>
      <c r="CG30" s="43">
        <f t="shared" si="82"/>
        <v>0</v>
      </c>
      <c r="CH30" s="43">
        <f t="shared" si="82"/>
        <v>0</v>
      </c>
      <c r="CI30" s="43">
        <f t="shared" si="82"/>
        <v>0</v>
      </c>
      <c r="CJ30" s="43">
        <f t="shared" si="82"/>
        <v>0</v>
      </c>
      <c r="CK30" s="43">
        <f t="shared" si="82"/>
        <v>0</v>
      </c>
      <c r="CL30" s="43">
        <f t="shared" si="82"/>
        <v>0</v>
      </c>
      <c r="CM30" s="43">
        <f t="shared" si="82"/>
        <v>0</v>
      </c>
      <c r="CN30" s="43">
        <f t="shared" si="82"/>
        <v>0</v>
      </c>
      <c r="CO30" s="43">
        <f t="shared" si="82"/>
        <v>0</v>
      </c>
      <c r="CP30" s="43">
        <f t="shared" si="82"/>
        <v>0</v>
      </c>
      <c r="CQ30" s="43">
        <f t="shared" si="82"/>
        <v>0</v>
      </c>
      <c r="CR30" s="43">
        <f t="shared" si="82"/>
        <v>0</v>
      </c>
      <c r="CS30" s="43">
        <f t="shared" si="82"/>
        <v>0</v>
      </c>
      <c r="CT30" s="43">
        <f t="shared" si="82"/>
        <v>0</v>
      </c>
      <c r="CU30" s="43">
        <f t="shared" si="82"/>
        <v>0</v>
      </c>
      <c r="CV30" s="43">
        <f t="shared" si="82"/>
        <v>0</v>
      </c>
      <c r="CW30" s="43">
        <f t="shared" si="82"/>
        <v>0</v>
      </c>
      <c r="CX30" s="43">
        <f t="shared" si="82"/>
        <v>0</v>
      </c>
      <c r="CY30" s="43">
        <f t="shared" si="82"/>
        <v>0</v>
      </c>
      <c r="CZ30" s="43">
        <f t="shared" si="82"/>
        <v>0</v>
      </c>
      <c r="DA30" s="43">
        <f t="shared" si="82"/>
        <v>0</v>
      </c>
      <c r="DB30" s="43">
        <f t="shared" si="82"/>
        <v>0</v>
      </c>
      <c r="DC30" s="43">
        <f t="shared" si="82"/>
        <v>0</v>
      </c>
      <c r="DD30" s="43">
        <f t="shared" si="82"/>
        <v>0</v>
      </c>
      <c r="DE30" s="43">
        <f t="shared" si="82"/>
        <v>0</v>
      </c>
      <c r="DF30" s="43">
        <f t="shared" si="82"/>
        <v>0</v>
      </c>
      <c r="DG30" s="43">
        <f t="shared" si="82"/>
        <v>0</v>
      </c>
      <c r="DH30" s="43">
        <f t="shared" si="82"/>
        <v>0</v>
      </c>
      <c r="DI30" s="43">
        <f t="shared" si="82"/>
        <v>0</v>
      </c>
    </row>
    <row r="31" spans="2:113" x14ac:dyDescent="0.3">
      <c r="B31" s="45" t="s">
        <v>182</v>
      </c>
      <c r="D31" s="27"/>
      <c r="F31" s="41">
        <f>CapitalContribution</f>
        <v>79990</v>
      </c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  <c r="AO31" s="41"/>
      <c r="AP31" s="41"/>
      <c r="AQ31" s="41"/>
      <c r="AR31" s="41"/>
      <c r="AS31" s="41"/>
      <c r="AT31" s="41"/>
      <c r="AU31" s="41"/>
      <c r="AV31" s="41"/>
      <c r="AW31" s="41"/>
      <c r="AX31" s="41"/>
      <c r="AY31" s="41"/>
      <c r="AZ31" s="41"/>
      <c r="BA31" s="41"/>
      <c r="BB31" s="41"/>
      <c r="BC31" s="41"/>
      <c r="BD31" s="41"/>
      <c r="BE31" s="41"/>
      <c r="BF31" s="41"/>
      <c r="BG31" s="41"/>
      <c r="BH31" s="41"/>
      <c r="BI31" s="41"/>
      <c r="BJ31" s="41"/>
      <c r="BK31" s="41"/>
      <c r="BL31" s="41"/>
      <c r="BM31" s="41"/>
      <c r="BN31" s="41"/>
      <c r="BO31" s="41"/>
      <c r="BP31" s="41"/>
      <c r="BQ31" s="41"/>
      <c r="BR31" s="41"/>
      <c r="BS31" s="41"/>
      <c r="BT31" s="41"/>
      <c r="BU31" s="41"/>
      <c r="BV31" s="41"/>
      <c r="BW31" s="41"/>
      <c r="BX31" s="41"/>
      <c r="BY31" s="41"/>
      <c r="BZ31" s="41"/>
      <c r="CA31" s="41"/>
      <c r="CB31" s="41"/>
      <c r="CC31" s="41"/>
      <c r="CD31" s="41"/>
      <c r="CE31" s="41"/>
      <c r="CF31" s="41"/>
      <c r="CG31" s="41"/>
      <c r="CH31" s="41"/>
      <c r="CI31" s="41"/>
      <c r="CJ31" s="41"/>
      <c r="CK31" s="41"/>
      <c r="CL31" s="41"/>
      <c r="CM31" s="41"/>
      <c r="CN31" s="41"/>
      <c r="CO31" s="41"/>
      <c r="CP31" s="41"/>
      <c r="CQ31" s="41"/>
      <c r="CR31" s="41"/>
      <c r="CS31" s="41"/>
      <c r="CT31" s="41"/>
      <c r="CU31" s="41"/>
      <c r="CV31" s="41"/>
      <c r="CW31" s="41"/>
      <c r="CX31" s="41"/>
      <c r="CY31" s="41"/>
      <c r="CZ31" s="41"/>
      <c r="DA31" s="41"/>
      <c r="DB31" s="41"/>
      <c r="DC31" s="41"/>
      <c r="DD31" s="41"/>
      <c r="DE31" s="41"/>
      <c r="DF31" s="41"/>
      <c r="DG31" s="41"/>
      <c r="DH31" s="41"/>
      <c r="DI31" s="41"/>
    </row>
    <row r="32" spans="2:113" x14ac:dyDescent="0.3">
      <c r="B32" s="45" t="s">
        <v>179</v>
      </c>
      <c r="D32" s="27"/>
      <c r="F32" s="41">
        <f t="shared" ref="F32:AK32" si="83">IF(AND(LoanDate&gt;=F8,LoanDate&lt;=F9),Loan,0)</f>
        <v>270000</v>
      </c>
      <c r="G32" s="41">
        <f t="shared" si="83"/>
        <v>0</v>
      </c>
      <c r="H32" s="41">
        <f t="shared" si="83"/>
        <v>0</v>
      </c>
      <c r="I32" s="41">
        <f t="shared" si="83"/>
        <v>0</v>
      </c>
      <c r="J32" s="41">
        <f t="shared" si="83"/>
        <v>0</v>
      </c>
      <c r="K32" s="41">
        <f t="shared" si="83"/>
        <v>0</v>
      </c>
      <c r="L32" s="41">
        <f t="shared" si="83"/>
        <v>0</v>
      </c>
      <c r="M32" s="41">
        <f t="shared" si="83"/>
        <v>0</v>
      </c>
      <c r="N32" s="41">
        <f t="shared" si="83"/>
        <v>0</v>
      </c>
      <c r="O32" s="41">
        <f t="shared" si="83"/>
        <v>0</v>
      </c>
      <c r="P32" s="41">
        <f t="shared" si="83"/>
        <v>0</v>
      </c>
      <c r="Q32" s="41">
        <f t="shared" si="83"/>
        <v>0</v>
      </c>
      <c r="R32" s="41">
        <f t="shared" si="83"/>
        <v>0</v>
      </c>
      <c r="S32" s="41">
        <f t="shared" si="83"/>
        <v>0</v>
      </c>
      <c r="T32" s="41">
        <f t="shared" si="83"/>
        <v>0</v>
      </c>
      <c r="U32" s="41">
        <f t="shared" si="83"/>
        <v>0</v>
      </c>
      <c r="V32" s="41">
        <f t="shared" si="83"/>
        <v>0</v>
      </c>
      <c r="W32" s="41">
        <f t="shared" si="83"/>
        <v>0</v>
      </c>
      <c r="X32" s="41">
        <f t="shared" si="83"/>
        <v>0</v>
      </c>
      <c r="Y32" s="41">
        <f t="shared" si="83"/>
        <v>0</v>
      </c>
      <c r="Z32" s="41">
        <f t="shared" si="83"/>
        <v>0</v>
      </c>
      <c r="AA32" s="41">
        <f t="shared" si="83"/>
        <v>0</v>
      </c>
      <c r="AB32" s="41">
        <f t="shared" si="83"/>
        <v>0</v>
      </c>
      <c r="AC32" s="41">
        <f t="shared" si="83"/>
        <v>0</v>
      </c>
      <c r="AD32" s="41">
        <f t="shared" si="83"/>
        <v>0</v>
      </c>
      <c r="AE32" s="41">
        <f t="shared" si="83"/>
        <v>0</v>
      </c>
      <c r="AF32" s="41">
        <f t="shared" si="83"/>
        <v>0</v>
      </c>
      <c r="AG32" s="41">
        <f t="shared" si="83"/>
        <v>0</v>
      </c>
      <c r="AH32" s="41">
        <f t="shared" si="83"/>
        <v>0</v>
      </c>
      <c r="AI32" s="41">
        <f t="shared" si="83"/>
        <v>0</v>
      </c>
      <c r="AJ32" s="41">
        <f t="shared" si="83"/>
        <v>0</v>
      </c>
      <c r="AK32" s="41">
        <f t="shared" si="83"/>
        <v>0</v>
      </c>
      <c r="AL32" s="41">
        <f t="shared" ref="AL32:BQ32" si="84">IF(AND(LoanDate&gt;=AL8,LoanDate&lt;=AL9),Loan,0)</f>
        <v>0</v>
      </c>
      <c r="AM32" s="41">
        <f t="shared" si="84"/>
        <v>0</v>
      </c>
      <c r="AN32" s="41">
        <f t="shared" si="84"/>
        <v>0</v>
      </c>
      <c r="AO32" s="41">
        <f t="shared" si="84"/>
        <v>0</v>
      </c>
      <c r="AP32" s="41">
        <f t="shared" si="84"/>
        <v>0</v>
      </c>
      <c r="AQ32" s="41">
        <f t="shared" si="84"/>
        <v>0</v>
      </c>
      <c r="AR32" s="41">
        <f t="shared" si="84"/>
        <v>0</v>
      </c>
      <c r="AS32" s="41">
        <f t="shared" si="84"/>
        <v>0</v>
      </c>
      <c r="AT32" s="41">
        <f t="shared" si="84"/>
        <v>0</v>
      </c>
      <c r="AU32" s="41">
        <f t="shared" si="84"/>
        <v>0</v>
      </c>
      <c r="AV32" s="41">
        <f t="shared" si="84"/>
        <v>0</v>
      </c>
      <c r="AW32" s="41">
        <f t="shared" si="84"/>
        <v>0</v>
      </c>
      <c r="AX32" s="41">
        <f t="shared" si="84"/>
        <v>0</v>
      </c>
      <c r="AY32" s="41">
        <f t="shared" si="84"/>
        <v>0</v>
      </c>
      <c r="AZ32" s="41">
        <f t="shared" si="84"/>
        <v>0</v>
      </c>
      <c r="BA32" s="41">
        <f t="shared" si="84"/>
        <v>0</v>
      </c>
      <c r="BB32" s="41">
        <f t="shared" si="84"/>
        <v>0</v>
      </c>
      <c r="BC32" s="41">
        <f t="shared" si="84"/>
        <v>0</v>
      </c>
      <c r="BD32" s="41">
        <f t="shared" si="84"/>
        <v>0</v>
      </c>
      <c r="BE32" s="41">
        <f t="shared" si="84"/>
        <v>0</v>
      </c>
      <c r="BF32" s="41">
        <f t="shared" si="84"/>
        <v>0</v>
      </c>
      <c r="BG32" s="41">
        <f t="shared" si="84"/>
        <v>0</v>
      </c>
      <c r="BH32" s="41">
        <f t="shared" si="84"/>
        <v>0</v>
      </c>
      <c r="BI32" s="41">
        <f t="shared" si="84"/>
        <v>0</v>
      </c>
      <c r="BJ32" s="41">
        <f t="shared" si="84"/>
        <v>0</v>
      </c>
      <c r="BK32" s="41">
        <f t="shared" si="84"/>
        <v>0</v>
      </c>
      <c r="BL32" s="41">
        <f t="shared" si="84"/>
        <v>0</v>
      </c>
      <c r="BM32" s="41">
        <f t="shared" si="84"/>
        <v>0</v>
      </c>
      <c r="BN32" s="41">
        <f t="shared" si="84"/>
        <v>0</v>
      </c>
      <c r="BO32" s="41">
        <f t="shared" si="84"/>
        <v>0</v>
      </c>
      <c r="BP32" s="41">
        <f t="shared" si="84"/>
        <v>0</v>
      </c>
      <c r="BQ32" s="41">
        <f t="shared" si="84"/>
        <v>0</v>
      </c>
      <c r="BR32" s="41">
        <f t="shared" ref="BR32:CW32" si="85">IF(AND(LoanDate&gt;=BR8,LoanDate&lt;=BR9),Loan,0)</f>
        <v>0</v>
      </c>
      <c r="BS32" s="41">
        <f t="shared" si="85"/>
        <v>0</v>
      </c>
      <c r="BT32" s="41">
        <f t="shared" si="85"/>
        <v>0</v>
      </c>
      <c r="BU32" s="41">
        <f t="shared" si="85"/>
        <v>0</v>
      </c>
      <c r="BV32" s="41">
        <f t="shared" si="85"/>
        <v>0</v>
      </c>
      <c r="BW32" s="41">
        <f t="shared" si="85"/>
        <v>0</v>
      </c>
      <c r="BX32" s="41">
        <f t="shared" si="85"/>
        <v>0</v>
      </c>
      <c r="BY32" s="41">
        <f t="shared" si="85"/>
        <v>0</v>
      </c>
      <c r="BZ32" s="41">
        <f t="shared" si="85"/>
        <v>0</v>
      </c>
      <c r="CA32" s="41">
        <f t="shared" si="85"/>
        <v>0</v>
      </c>
      <c r="CB32" s="41">
        <f t="shared" si="85"/>
        <v>0</v>
      </c>
      <c r="CC32" s="41">
        <f t="shared" si="85"/>
        <v>0</v>
      </c>
      <c r="CD32" s="41">
        <f t="shared" si="85"/>
        <v>0</v>
      </c>
      <c r="CE32" s="41">
        <f t="shared" si="85"/>
        <v>0</v>
      </c>
      <c r="CF32" s="41">
        <f t="shared" si="85"/>
        <v>0</v>
      </c>
      <c r="CG32" s="41">
        <f t="shared" si="85"/>
        <v>0</v>
      </c>
      <c r="CH32" s="41">
        <f t="shared" si="85"/>
        <v>0</v>
      </c>
      <c r="CI32" s="41">
        <f t="shared" si="85"/>
        <v>0</v>
      </c>
      <c r="CJ32" s="41">
        <f t="shared" si="85"/>
        <v>0</v>
      </c>
      <c r="CK32" s="41">
        <f t="shared" si="85"/>
        <v>0</v>
      </c>
      <c r="CL32" s="41">
        <f t="shared" si="85"/>
        <v>0</v>
      </c>
      <c r="CM32" s="41">
        <f t="shared" si="85"/>
        <v>0</v>
      </c>
      <c r="CN32" s="41">
        <f t="shared" si="85"/>
        <v>0</v>
      </c>
      <c r="CO32" s="41">
        <f t="shared" si="85"/>
        <v>0</v>
      </c>
      <c r="CP32" s="41">
        <f t="shared" si="85"/>
        <v>0</v>
      </c>
      <c r="CQ32" s="41">
        <f t="shared" si="85"/>
        <v>0</v>
      </c>
      <c r="CR32" s="41">
        <f t="shared" si="85"/>
        <v>0</v>
      </c>
      <c r="CS32" s="41">
        <f t="shared" si="85"/>
        <v>0</v>
      </c>
      <c r="CT32" s="41">
        <f t="shared" si="85"/>
        <v>0</v>
      </c>
      <c r="CU32" s="41">
        <f t="shared" si="85"/>
        <v>0</v>
      </c>
      <c r="CV32" s="41">
        <f t="shared" si="85"/>
        <v>0</v>
      </c>
      <c r="CW32" s="41">
        <f t="shared" si="85"/>
        <v>0</v>
      </c>
      <c r="CX32" s="41">
        <f t="shared" ref="CX32:DI32" si="86">IF(AND(LoanDate&gt;=CX8,LoanDate&lt;=CX9),Loan,0)</f>
        <v>0</v>
      </c>
      <c r="CY32" s="41">
        <f t="shared" si="86"/>
        <v>0</v>
      </c>
      <c r="CZ32" s="41">
        <f t="shared" si="86"/>
        <v>0</v>
      </c>
      <c r="DA32" s="41">
        <f t="shared" si="86"/>
        <v>0</v>
      </c>
      <c r="DB32" s="41">
        <f t="shared" si="86"/>
        <v>0</v>
      </c>
      <c r="DC32" s="41">
        <f t="shared" si="86"/>
        <v>0</v>
      </c>
      <c r="DD32" s="41">
        <f t="shared" si="86"/>
        <v>0</v>
      </c>
      <c r="DE32" s="41">
        <f t="shared" si="86"/>
        <v>0</v>
      </c>
      <c r="DF32" s="41">
        <f t="shared" si="86"/>
        <v>0</v>
      </c>
      <c r="DG32" s="41">
        <f t="shared" si="86"/>
        <v>0</v>
      </c>
      <c r="DH32" s="41">
        <f t="shared" si="86"/>
        <v>0</v>
      </c>
      <c r="DI32" s="41">
        <f t="shared" si="86"/>
        <v>0</v>
      </c>
    </row>
    <row r="33" spans="2:113" x14ac:dyDescent="0.3">
      <c r="B33" s="46" t="s">
        <v>158</v>
      </c>
      <c r="C33" s="42"/>
      <c r="D33" s="43">
        <f>SUM(F33:DI33)</f>
        <v>269999.99999999994</v>
      </c>
      <c r="E33" s="42"/>
      <c r="F33" s="43">
        <f>SUM(F34:F34)</f>
        <v>0</v>
      </c>
      <c r="G33" s="43">
        <f t="shared" ref="G33:J33" si="87">G34</f>
        <v>4013.3333333333335</v>
      </c>
      <c r="H33" s="43">
        <f t="shared" si="87"/>
        <v>4026.7111111111117</v>
      </c>
      <c r="I33" s="43">
        <f t="shared" si="87"/>
        <v>4040.1334814814822</v>
      </c>
      <c r="J33" s="43">
        <f t="shared" si="87"/>
        <v>4053.6005930864208</v>
      </c>
      <c r="K33" s="43">
        <f t="shared" ref="K33" si="88">K34</f>
        <v>4067.1125950633759</v>
      </c>
      <c r="L33" s="43">
        <f t="shared" ref="L33" si="89">L34</f>
        <v>4080.6696370469208</v>
      </c>
      <c r="M33" s="43">
        <f t="shared" ref="M33" si="90">M34</f>
        <v>4094.2718691704108</v>
      </c>
      <c r="N33" s="43">
        <f t="shared" ref="N33" si="91">N34</f>
        <v>4107.9194420676458</v>
      </c>
      <c r="O33" s="43">
        <f t="shared" ref="O33" si="92">O34</f>
        <v>4121.6125068745387</v>
      </c>
      <c r="P33" s="43">
        <f t="shared" ref="P33" si="93">P34</f>
        <v>4135.3512152307876</v>
      </c>
      <c r="Q33" s="43">
        <f t="shared" ref="Q33" si="94">Q34</f>
        <v>4149.1357192815576</v>
      </c>
      <c r="R33" s="43">
        <f t="shared" ref="R33" si="95">R34</f>
        <v>4162.9661716791634</v>
      </c>
      <c r="S33" s="43">
        <f t="shared" ref="S33" si="96">S34</f>
        <v>4176.842725584761</v>
      </c>
      <c r="T33" s="43">
        <f t="shared" ref="T33" si="97">T34</f>
        <v>4190.765534670044</v>
      </c>
      <c r="U33" s="43">
        <f t="shared" ref="U33" si="98">U34</f>
        <v>4204.7347531189444</v>
      </c>
      <c r="V33" s="43">
        <f t="shared" ref="V33" si="99">V34</f>
        <v>4218.7505356293414</v>
      </c>
      <c r="W33" s="43">
        <f t="shared" ref="W33" si="100">W34</f>
        <v>4232.8130374147731</v>
      </c>
      <c r="X33" s="43">
        <f t="shared" ref="X33" si="101">X34</f>
        <v>4246.9224142061557</v>
      </c>
      <c r="Y33" s="43">
        <f t="shared" ref="Y33" si="102">Y34</f>
        <v>4261.0788222535102</v>
      </c>
      <c r="Z33" s="43">
        <f t="shared" ref="Z33" si="103">Z34</f>
        <v>4275.2824183276889</v>
      </c>
      <c r="AA33" s="43">
        <f t="shared" ref="AA33" si="104">AA34</f>
        <v>4289.5333597221152</v>
      </c>
      <c r="AB33" s="43">
        <f t="shared" ref="AB33" si="105">AB34</f>
        <v>4303.8318042545225</v>
      </c>
      <c r="AC33" s="43">
        <f t="shared" ref="AC33" si="106">AC34</f>
        <v>4318.1779102687042</v>
      </c>
      <c r="AD33" s="43">
        <f t="shared" ref="AD33" si="107">AD34</f>
        <v>4332.5718366362671</v>
      </c>
      <c r="AE33" s="43">
        <f t="shared" ref="AE33" si="108">AE34</f>
        <v>4347.0137427583886</v>
      </c>
      <c r="AF33" s="43">
        <f t="shared" ref="AF33" si="109">AF34</f>
        <v>4361.5037885675838</v>
      </c>
      <c r="AG33" s="43">
        <f t="shared" ref="AG33" si="110">AG34</f>
        <v>4376.0421345294762</v>
      </c>
      <c r="AH33" s="43">
        <f t="shared" ref="AH33" si="111">AH34</f>
        <v>4390.6289416445752</v>
      </c>
      <c r="AI33" s="43">
        <f t="shared" ref="AI33" si="112">AI34</f>
        <v>4405.2643714500573</v>
      </c>
      <c r="AJ33" s="43">
        <f t="shared" ref="AJ33" si="113">AJ34</f>
        <v>4419.9485860215582</v>
      </c>
      <c r="AK33" s="43">
        <f t="shared" ref="AK33" si="114">AK34</f>
        <v>4434.6817479749634</v>
      </c>
      <c r="AL33" s="43">
        <f t="shared" ref="AL33" si="115">AL34</f>
        <v>4449.4640204682137</v>
      </c>
      <c r="AM33" s="43">
        <f t="shared" ref="AM33" si="116">AM34</f>
        <v>4464.2955672031085</v>
      </c>
      <c r="AN33" s="43">
        <f t="shared" ref="AN33" si="117">AN34</f>
        <v>4479.1765524271195</v>
      </c>
      <c r="AO33" s="43">
        <f t="shared" ref="AO33" si="118">AO34</f>
        <v>4494.1071409352098</v>
      </c>
      <c r="AP33" s="43">
        <f t="shared" ref="AP33" si="119">AP34</f>
        <v>4509.0874980716608</v>
      </c>
      <c r="AQ33" s="43">
        <f t="shared" ref="AQ33" si="120">AQ34</f>
        <v>4524.1177897319003</v>
      </c>
      <c r="AR33" s="43">
        <f t="shared" ref="AR33" si="121">AR34</f>
        <v>4539.19818236434</v>
      </c>
      <c r="AS33" s="43">
        <f t="shared" ref="AS33" si="122">AS34</f>
        <v>4554.3288429722215</v>
      </c>
      <c r="AT33" s="43">
        <f t="shared" ref="AT33" si="123">AT34</f>
        <v>4569.5099391154627</v>
      </c>
      <c r="AU33" s="43">
        <f t="shared" ref="AU33" si="124">AU34</f>
        <v>4584.7416389125146</v>
      </c>
      <c r="AV33" s="43">
        <f t="shared" ref="AV33" si="125">AV34</f>
        <v>4600.024111042223</v>
      </c>
      <c r="AW33" s="43">
        <f t="shared" ref="AW33" si="126">AW34</f>
        <v>4615.3575247456974</v>
      </c>
      <c r="AX33" s="43">
        <f t="shared" ref="AX33" si="127">AX34</f>
        <v>4630.7420498281836</v>
      </c>
      <c r="AY33" s="43">
        <f t="shared" ref="AY33" si="128">AY34</f>
        <v>4646.1778566609446</v>
      </c>
      <c r="AZ33" s="43">
        <f t="shared" ref="AZ33" si="129">AZ34</f>
        <v>4661.6651161831478</v>
      </c>
      <c r="BA33" s="43">
        <f t="shared" ref="BA33" si="130">BA34</f>
        <v>4677.2039999037588</v>
      </c>
      <c r="BB33" s="43">
        <f t="shared" ref="BB33" si="131">BB34</f>
        <v>4692.794679903438</v>
      </c>
      <c r="BC33" s="43">
        <f t="shared" ref="BC33" si="132">BC34</f>
        <v>4708.4373288364495</v>
      </c>
      <c r="BD33" s="43">
        <f t="shared" ref="BD33" si="133">BD34</f>
        <v>4724.1321199325712</v>
      </c>
      <c r="BE33" s="43">
        <f t="shared" ref="BE33" si="134">BE34</f>
        <v>4739.8792269990136</v>
      </c>
      <c r="BF33" s="43">
        <f t="shared" ref="BF33" si="135">BF34</f>
        <v>4755.6788244223444</v>
      </c>
      <c r="BG33" s="43">
        <f t="shared" ref="BG33" si="136">BG34</f>
        <v>4771.5310871704196</v>
      </c>
      <c r="BH33" s="43">
        <f t="shared" ref="BH33" si="137">BH34</f>
        <v>4787.4361907943212</v>
      </c>
      <c r="BI33" s="43">
        <f t="shared" ref="BI33" si="138">BI34</f>
        <v>4803.3943114303029</v>
      </c>
      <c r="BJ33" s="43">
        <f t="shared" ref="BJ33" si="139">BJ34</f>
        <v>4819.4056258017372</v>
      </c>
      <c r="BK33" s="43">
        <f t="shared" ref="BK33" si="140">BK34</f>
        <v>4835.4703112210764</v>
      </c>
      <c r="BL33" s="43">
        <f t="shared" ref="BL33" si="141">BL34</f>
        <v>4851.5885455918133</v>
      </c>
      <c r="BM33" s="43">
        <f t="shared" ref="BM33" si="142">BM34</f>
        <v>4867.7605074104531</v>
      </c>
      <c r="BN33" s="43">
        <f t="shared" ref="BN33" si="143">BN34</f>
        <v>4883.986375768488</v>
      </c>
      <c r="BO33" s="43">
        <f t="shared" ref="BO33" si="144">BO34</f>
        <v>3920.1008936916687</v>
      </c>
      <c r="BP33" s="43">
        <f t="shared" ref="BP33" si="145">BP34</f>
        <v>0</v>
      </c>
      <c r="BQ33" s="43">
        <f t="shared" ref="BQ33" si="146">BQ34</f>
        <v>0</v>
      </c>
      <c r="BR33" s="43">
        <f t="shared" ref="BR33" si="147">BR34</f>
        <v>0</v>
      </c>
      <c r="BS33" s="43">
        <f t="shared" ref="BS33" si="148">BS34</f>
        <v>0</v>
      </c>
      <c r="BT33" s="43">
        <f t="shared" ref="BT33" si="149">BT34</f>
        <v>0</v>
      </c>
      <c r="BU33" s="43">
        <f t="shared" ref="BU33" si="150">BU34</f>
        <v>0</v>
      </c>
      <c r="BV33" s="43">
        <f t="shared" ref="BV33" si="151">BV34</f>
        <v>0</v>
      </c>
      <c r="BW33" s="43">
        <f t="shared" ref="BW33" si="152">BW34</f>
        <v>0</v>
      </c>
      <c r="BX33" s="43">
        <f t="shared" ref="BX33:DH33" si="153">BX34</f>
        <v>0</v>
      </c>
      <c r="BY33" s="43">
        <f t="shared" ref="BY33:DI33" si="154">BY34</f>
        <v>0</v>
      </c>
      <c r="BZ33" s="43">
        <f t="shared" si="153"/>
        <v>0</v>
      </c>
      <c r="CA33" s="43">
        <f t="shared" si="154"/>
        <v>0</v>
      </c>
      <c r="CB33" s="43">
        <f t="shared" si="153"/>
        <v>0</v>
      </c>
      <c r="CC33" s="43">
        <f t="shared" si="154"/>
        <v>0</v>
      </c>
      <c r="CD33" s="43">
        <f t="shared" si="153"/>
        <v>0</v>
      </c>
      <c r="CE33" s="43">
        <f t="shared" si="154"/>
        <v>0</v>
      </c>
      <c r="CF33" s="43">
        <f t="shared" si="153"/>
        <v>0</v>
      </c>
      <c r="CG33" s="43">
        <f t="shared" si="154"/>
        <v>0</v>
      </c>
      <c r="CH33" s="43">
        <f t="shared" si="153"/>
        <v>0</v>
      </c>
      <c r="CI33" s="43">
        <f t="shared" si="154"/>
        <v>0</v>
      </c>
      <c r="CJ33" s="43">
        <f t="shared" si="153"/>
        <v>0</v>
      </c>
      <c r="CK33" s="43">
        <f t="shared" si="154"/>
        <v>0</v>
      </c>
      <c r="CL33" s="43">
        <f t="shared" si="153"/>
        <v>0</v>
      </c>
      <c r="CM33" s="43">
        <f t="shared" si="154"/>
        <v>0</v>
      </c>
      <c r="CN33" s="43">
        <f t="shared" si="153"/>
        <v>0</v>
      </c>
      <c r="CO33" s="43">
        <f t="shared" si="154"/>
        <v>0</v>
      </c>
      <c r="CP33" s="43">
        <f t="shared" si="153"/>
        <v>0</v>
      </c>
      <c r="CQ33" s="43">
        <f t="shared" si="154"/>
        <v>0</v>
      </c>
      <c r="CR33" s="43">
        <f t="shared" si="153"/>
        <v>0</v>
      </c>
      <c r="CS33" s="43">
        <f t="shared" si="154"/>
        <v>0</v>
      </c>
      <c r="CT33" s="43">
        <f t="shared" si="153"/>
        <v>0</v>
      </c>
      <c r="CU33" s="43">
        <f t="shared" si="154"/>
        <v>0</v>
      </c>
      <c r="CV33" s="43">
        <f t="shared" si="153"/>
        <v>0</v>
      </c>
      <c r="CW33" s="43">
        <f t="shared" si="154"/>
        <v>0</v>
      </c>
      <c r="CX33" s="43">
        <f t="shared" si="153"/>
        <v>0</v>
      </c>
      <c r="CY33" s="43">
        <f t="shared" si="154"/>
        <v>0</v>
      </c>
      <c r="CZ33" s="43">
        <f t="shared" si="153"/>
        <v>0</v>
      </c>
      <c r="DA33" s="43">
        <f t="shared" si="154"/>
        <v>0</v>
      </c>
      <c r="DB33" s="43">
        <f t="shared" si="153"/>
        <v>0</v>
      </c>
      <c r="DC33" s="43">
        <f t="shared" si="154"/>
        <v>0</v>
      </c>
      <c r="DD33" s="43">
        <f t="shared" si="153"/>
        <v>0</v>
      </c>
      <c r="DE33" s="43">
        <f t="shared" si="154"/>
        <v>0</v>
      </c>
      <c r="DF33" s="43">
        <f t="shared" si="153"/>
        <v>0</v>
      </c>
      <c r="DG33" s="43">
        <f t="shared" si="154"/>
        <v>0</v>
      </c>
      <c r="DH33" s="43">
        <f t="shared" si="153"/>
        <v>0</v>
      </c>
      <c r="DI33" s="43">
        <f t="shared" si="154"/>
        <v>0</v>
      </c>
    </row>
    <row r="34" spans="2:113" x14ac:dyDescent="0.3">
      <c r="B34" s="6" t="s">
        <v>180</v>
      </c>
      <c r="D34" s="27">
        <f>SUM(F34:DI34)</f>
        <v>269999.99999999994</v>
      </c>
      <c r="F34" s="41">
        <f t="shared" ref="F34:AK34" si="155">LoanPaymentHistory</f>
        <v>0</v>
      </c>
      <c r="G34" s="41">
        <f t="shared" si="155"/>
        <v>4013.3333333333335</v>
      </c>
      <c r="H34" s="41">
        <f t="shared" si="155"/>
        <v>4026.7111111111117</v>
      </c>
      <c r="I34" s="41">
        <f t="shared" si="155"/>
        <v>4040.1334814814822</v>
      </c>
      <c r="J34" s="41">
        <f t="shared" si="155"/>
        <v>4053.6005930864208</v>
      </c>
      <c r="K34" s="41">
        <f t="shared" si="155"/>
        <v>4067.1125950633759</v>
      </c>
      <c r="L34" s="41">
        <f t="shared" si="155"/>
        <v>4080.6696370469208</v>
      </c>
      <c r="M34" s="41">
        <f t="shared" si="155"/>
        <v>4094.2718691704108</v>
      </c>
      <c r="N34" s="41">
        <f t="shared" si="155"/>
        <v>4107.9194420676458</v>
      </c>
      <c r="O34" s="41">
        <f t="shared" si="155"/>
        <v>4121.6125068745387</v>
      </c>
      <c r="P34" s="41">
        <f t="shared" si="155"/>
        <v>4135.3512152307876</v>
      </c>
      <c r="Q34" s="41">
        <f t="shared" si="155"/>
        <v>4149.1357192815576</v>
      </c>
      <c r="R34" s="41">
        <f t="shared" si="155"/>
        <v>4162.9661716791634</v>
      </c>
      <c r="S34" s="41">
        <f t="shared" si="155"/>
        <v>4176.842725584761</v>
      </c>
      <c r="T34" s="41">
        <f t="shared" si="155"/>
        <v>4190.765534670044</v>
      </c>
      <c r="U34" s="41">
        <f t="shared" si="155"/>
        <v>4204.7347531189444</v>
      </c>
      <c r="V34" s="41">
        <f t="shared" si="155"/>
        <v>4218.7505356293414</v>
      </c>
      <c r="W34" s="41">
        <f t="shared" si="155"/>
        <v>4232.8130374147731</v>
      </c>
      <c r="X34" s="41">
        <f t="shared" si="155"/>
        <v>4246.9224142061557</v>
      </c>
      <c r="Y34" s="41">
        <f t="shared" si="155"/>
        <v>4261.0788222535102</v>
      </c>
      <c r="Z34" s="41">
        <f t="shared" si="155"/>
        <v>4275.2824183276889</v>
      </c>
      <c r="AA34" s="41">
        <f t="shared" si="155"/>
        <v>4289.5333597221152</v>
      </c>
      <c r="AB34" s="41">
        <f t="shared" si="155"/>
        <v>4303.8318042545225</v>
      </c>
      <c r="AC34" s="41">
        <f t="shared" si="155"/>
        <v>4318.1779102687042</v>
      </c>
      <c r="AD34" s="41">
        <f t="shared" si="155"/>
        <v>4332.5718366362671</v>
      </c>
      <c r="AE34" s="41">
        <f t="shared" si="155"/>
        <v>4347.0137427583886</v>
      </c>
      <c r="AF34" s="41">
        <f t="shared" si="155"/>
        <v>4361.5037885675838</v>
      </c>
      <c r="AG34" s="41">
        <f t="shared" si="155"/>
        <v>4376.0421345294762</v>
      </c>
      <c r="AH34" s="41">
        <f t="shared" si="155"/>
        <v>4390.6289416445752</v>
      </c>
      <c r="AI34" s="41">
        <f t="shared" si="155"/>
        <v>4405.2643714500573</v>
      </c>
      <c r="AJ34" s="41">
        <f t="shared" si="155"/>
        <v>4419.9485860215582</v>
      </c>
      <c r="AK34" s="41">
        <f t="shared" si="155"/>
        <v>4434.6817479749634</v>
      </c>
      <c r="AL34" s="41">
        <f t="shared" ref="AL34:BQ34" si="156">LoanPaymentHistory</f>
        <v>4449.4640204682137</v>
      </c>
      <c r="AM34" s="41">
        <f t="shared" si="156"/>
        <v>4464.2955672031085</v>
      </c>
      <c r="AN34" s="41">
        <f t="shared" si="156"/>
        <v>4479.1765524271195</v>
      </c>
      <c r="AO34" s="41">
        <f t="shared" si="156"/>
        <v>4494.1071409352098</v>
      </c>
      <c r="AP34" s="41">
        <f t="shared" si="156"/>
        <v>4509.0874980716608</v>
      </c>
      <c r="AQ34" s="41">
        <f t="shared" si="156"/>
        <v>4524.1177897319003</v>
      </c>
      <c r="AR34" s="41">
        <f t="shared" si="156"/>
        <v>4539.19818236434</v>
      </c>
      <c r="AS34" s="41">
        <f t="shared" si="156"/>
        <v>4554.3288429722215</v>
      </c>
      <c r="AT34" s="41">
        <f t="shared" si="156"/>
        <v>4569.5099391154627</v>
      </c>
      <c r="AU34" s="41">
        <f t="shared" si="156"/>
        <v>4584.7416389125146</v>
      </c>
      <c r="AV34" s="41">
        <f t="shared" si="156"/>
        <v>4600.024111042223</v>
      </c>
      <c r="AW34" s="41">
        <f t="shared" si="156"/>
        <v>4615.3575247456974</v>
      </c>
      <c r="AX34" s="41">
        <f t="shared" si="156"/>
        <v>4630.7420498281836</v>
      </c>
      <c r="AY34" s="41">
        <f t="shared" si="156"/>
        <v>4646.1778566609446</v>
      </c>
      <c r="AZ34" s="41">
        <f t="shared" si="156"/>
        <v>4661.6651161831478</v>
      </c>
      <c r="BA34" s="41">
        <f t="shared" si="156"/>
        <v>4677.2039999037588</v>
      </c>
      <c r="BB34" s="41">
        <f t="shared" si="156"/>
        <v>4692.794679903438</v>
      </c>
      <c r="BC34" s="41">
        <f t="shared" si="156"/>
        <v>4708.4373288364495</v>
      </c>
      <c r="BD34" s="41">
        <f t="shared" si="156"/>
        <v>4724.1321199325712</v>
      </c>
      <c r="BE34" s="41">
        <f t="shared" si="156"/>
        <v>4739.8792269990136</v>
      </c>
      <c r="BF34" s="41">
        <f t="shared" si="156"/>
        <v>4755.6788244223444</v>
      </c>
      <c r="BG34" s="41">
        <f t="shared" si="156"/>
        <v>4771.5310871704196</v>
      </c>
      <c r="BH34" s="41">
        <f t="shared" si="156"/>
        <v>4787.4361907943212</v>
      </c>
      <c r="BI34" s="41">
        <f t="shared" si="156"/>
        <v>4803.3943114303029</v>
      </c>
      <c r="BJ34" s="41">
        <f t="shared" si="156"/>
        <v>4819.4056258017372</v>
      </c>
      <c r="BK34" s="41">
        <f t="shared" si="156"/>
        <v>4835.4703112210764</v>
      </c>
      <c r="BL34" s="41">
        <f t="shared" si="156"/>
        <v>4851.5885455918133</v>
      </c>
      <c r="BM34" s="41">
        <f t="shared" si="156"/>
        <v>4867.7605074104531</v>
      </c>
      <c r="BN34" s="41">
        <f t="shared" si="156"/>
        <v>4883.986375768488</v>
      </c>
      <c r="BO34" s="41">
        <f t="shared" si="156"/>
        <v>3920.1008936916687</v>
      </c>
      <c r="BP34" s="41">
        <f t="shared" si="156"/>
        <v>0</v>
      </c>
      <c r="BQ34" s="41">
        <f t="shared" si="156"/>
        <v>0</v>
      </c>
      <c r="BR34" s="41">
        <f t="shared" ref="BR34:DI34" si="157">LoanPaymentHistory</f>
        <v>0</v>
      </c>
      <c r="BS34" s="41">
        <f t="shared" si="157"/>
        <v>0</v>
      </c>
      <c r="BT34" s="41">
        <f t="shared" si="157"/>
        <v>0</v>
      </c>
      <c r="BU34" s="41">
        <f t="shared" si="157"/>
        <v>0</v>
      </c>
      <c r="BV34" s="41">
        <f t="shared" si="157"/>
        <v>0</v>
      </c>
      <c r="BW34" s="41">
        <f t="shared" si="157"/>
        <v>0</v>
      </c>
      <c r="BX34" s="41">
        <f t="shared" si="157"/>
        <v>0</v>
      </c>
      <c r="BY34" s="41">
        <f t="shared" si="157"/>
        <v>0</v>
      </c>
      <c r="BZ34" s="41">
        <f t="shared" si="157"/>
        <v>0</v>
      </c>
      <c r="CA34" s="41">
        <f t="shared" si="157"/>
        <v>0</v>
      </c>
      <c r="CB34" s="41">
        <f t="shared" si="157"/>
        <v>0</v>
      </c>
      <c r="CC34" s="41">
        <f t="shared" si="157"/>
        <v>0</v>
      </c>
      <c r="CD34" s="41">
        <f t="shared" si="157"/>
        <v>0</v>
      </c>
      <c r="CE34" s="41">
        <f t="shared" si="157"/>
        <v>0</v>
      </c>
      <c r="CF34" s="41">
        <f t="shared" si="157"/>
        <v>0</v>
      </c>
      <c r="CG34" s="41">
        <f t="shared" si="157"/>
        <v>0</v>
      </c>
      <c r="CH34" s="41">
        <f t="shared" si="157"/>
        <v>0</v>
      </c>
      <c r="CI34" s="41">
        <f t="shared" si="157"/>
        <v>0</v>
      </c>
      <c r="CJ34" s="41">
        <f t="shared" si="157"/>
        <v>0</v>
      </c>
      <c r="CK34" s="41">
        <f t="shared" si="157"/>
        <v>0</v>
      </c>
      <c r="CL34" s="41">
        <f t="shared" si="157"/>
        <v>0</v>
      </c>
      <c r="CM34" s="41">
        <f t="shared" si="157"/>
        <v>0</v>
      </c>
      <c r="CN34" s="41">
        <f t="shared" si="157"/>
        <v>0</v>
      </c>
      <c r="CO34" s="41">
        <f t="shared" si="157"/>
        <v>0</v>
      </c>
      <c r="CP34" s="41">
        <f t="shared" si="157"/>
        <v>0</v>
      </c>
      <c r="CQ34" s="41">
        <f t="shared" si="157"/>
        <v>0</v>
      </c>
      <c r="CR34" s="41">
        <f t="shared" si="157"/>
        <v>0</v>
      </c>
      <c r="CS34" s="41">
        <f t="shared" si="157"/>
        <v>0</v>
      </c>
      <c r="CT34" s="41">
        <f t="shared" si="157"/>
        <v>0</v>
      </c>
      <c r="CU34" s="41">
        <f t="shared" si="157"/>
        <v>0</v>
      </c>
      <c r="CV34" s="41">
        <f t="shared" si="157"/>
        <v>0</v>
      </c>
      <c r="CW34" s="41">
        <f t="shared" si="157"/>
        <v>0</v>
      </c>
      <c r="CX34" s="41">
        <f t="shared" si="157"/>
        <v>0</v>
      </c>
      <c r="CY34" s="41">
        <f t="shared" si="157"/>
        <v>0</v>
      </c>
      <c r="CZ34" s="41">
        <f t="shared" si="157"/>
        <v>0</v>
      </c>
      <c r="DA34" s="41">
        <f t="shared" si="157"/>
        <v>0</v>
      </c>
      <c r="DB34" s="41">
        <f t="shared" si="157"/>
        <v>0</v>
      </c>
      <c r="DC34" s="41">
        <f t="shared" si="157"/>
        <v>0</v>
      </c>
      <c r="DD34" s="41">
        <f t="shared" si="157"/>
        <v>0</v>
      </c>
      <c r="DE34" s="41">
        <f t="shared" si="157"/>
        <v>0</v>
      </c>
      <c r="DF34" s="41">
        <f t="shared" si="157"/>
        <v>0</v>
      </c>
      <c r="DG34" s="41">
        <f t="shared" si="157"/>
        <v>0</v>
      </c>
      <c r="DH34" s="41">
        <f t="shared" si="157"/>
        <v>0</v>
      </c>
      <c r="DI34" s="41">
        <f t="shared" si="157"/>
        <v>0</v>
      </c>
    </row>
    <row r="35" spans="2:113" s="18" customFormat="1" x14ac:dyDescent="0.3">
      <c r="B35" s="51" t="s">
        <v>159</v>
      </c>
      <c r="D35" s="27">
        <f>SUM(F35:DI35)</f>
        <v>369489.04491774953</v>
      </c>
      <c r="F35" s="52">
        <f t="shared" ref="F35:AK35" si="158">F11+F24+F29</f>
        <v>40664.973620040517</v>
      </c>
      <c r="G35" s="52">
        <f t="shared" si="158"/>
        <v>-4285.6489938147333</v>
      </c>
      <c r="H35" s="52">
        <f t="shared" si="158"/>
        <v>-3834.5474980042145</v>
      </c>
      <c r="I35" s="52">
        <f t="shared" si="158"/>
        <v>-6365.3495312577197</v>
      </c>
      <c r="J35" s="52">
        <f t="shared" si="158"/>
        <v>-2921.919361667829</v>
      </c>
      <c r="K35" s="52">
        <f t="shared" si="158"/>
        <v>-2455.6879949797258</v>
      </c>
      <c r="L35" s="52">
        <f t="shared" si="158"/>
        <v>-4972.7459799684211</v>
      </c>
      <c r="M35" s="52">
        <f t="shared" si="158"/>
        <v>-1635.5286573332273</v>
      </c>
      <c r="N35" s="52">
        <f t="shared" si="158"/>
        <v>-1259.9220608890273</v>
      </c>
      <c r="O35" s="52">
        <f t="shared" si="158"/>
        <v>-3601.0237165870221</v>
      </c>
      <c r="P35" s="52">
        <f t="shared" si="158"/>
        <v>-491.58288757383252</v>
      </c>
      <c r="Q35" s="52">
        <f t="shared" si="158"/>
        <v>-114.28974205066879</v>
      </c>
      <c r="R35" s="52">
        <f t="shared" si="158"/>
        <v>-1351.7088424636477</v>
      </c>
      <c r="S35" s="52">
        <f t="shared" si="158"/>
        <v>897.21185846677054</v>
      </c>
      <c r="T35" s="52">
        <f t="shared" si="158"/>
        <v>942.33700910609969</v>
      </c>
      <c r="U35" s="52">
        <f t="shared" si="158"/>
        <v>-1888.2688408460508</v>
      </c>
      <c r="V35" s="52">
        <f t="shared" si="158"/>
        <v>543.51314225104124</v>
      </c>
      <c r="W35" s="52">
        <f t="shared" si="158"/>
        <v>582.50763050299065</v>
      </c>
      <c r="X35" s="52">
        <f t="shared" si="158"/>
        <v>-1771.2849442575571</v>
      </c>
      <c r="Y35" s="52">
        <f t="shared" si="158"/>
        <v>660.88698516149452</v>
      </c>
      <c r="Z35" s="52">
        <f t="shared" si="158"/>
        <v>700.27271955647939</v>
      </c>
      <c r="AA35" s="52">
        <f t="shared" si="158"/>
        <v>-1653.1273049072215</v>
      </c>
      <c r="AB35" s="52">
        <f t="shared" si="158"/>
        <v>779.43848330966739</v>
      </c>
      <c r="AC35" s="52">
        <f t="shared" si="158"/>
        <v>819.21938936514289</v>
      </c>
      <c r="AD35" s="52">
        <f t="shared" si="158"/>
        <v>-1533.784146199192</v>
      </c>
      <c r="AE35" s="52">
        <f t="shared" si="158"/>
        <v>899.17945254671758</v>
      </c>
      <c r="AF35" s="52">
        <f t="shared" si="158"/>
        <v>939.35949516631899</v>
      </c>
      <c r="AG35" s="52">
        <f t="shared" si="158"/>
        <v>-1413.2435733786806</v>
      </c>
      <c r="AH35" s="52">
        <f t="shared" si="158"/>
        <v>1020.1218272766318</v>
      </c>
      <c r="AI35" s="52">
        <f t="shared" si="158"/>
        <v>1060.70501114533</v>
      </c>
      <c r="AJ35" s="52">
        <f t="shared" si="158"/>
        <v>-1291.4935723464032</v>
      </c>
      <c r="AK35" s="52">
        <f t="shared" si="158"/>
        <v>1142.2776616456877</v>
      </c>
      <c r="AL35" s="52">
        <f t="shared" ref="AL35:BQ35" si="159">AL11+AL24+AL29</f>
        <v>1183.2680316289507</v>
      </c>
      <c r="AM35" s="52">
        <f t="shared" si="159"/>
        <v>-1168.522008461171</v>
      </c>
      <c r="AN35" s="52">
        <f t="shared" si="159"/>
        <v>1265.6591307438666</v>
      </c>
      <c r="AO35" s="52">
        <f t="shared" si="159"/>
        <v>1307.060772290788</v>
      </c>
      <c r="AP35" s="52">
        <f t="shared" si="159"/>
        <v>-1044.3166253304616</v>
      </c>
      <c r="AQ35" s="52">
        <f t="shared" si="159"/>
        <v>1390.2785318183478</v>
      </c>
      <c r="AR35" s="52">
        <f t="shared" si="159"/>
        <v>1432.0955713688527</v>
      </c>
      <c r="AS35" s="52">
        <f t="shared" si="159"/>
        <v>-918.86504358880666</v>
      </c>
      <c r="AT35" s="52">
        <f t="shared" si="159"/>
        <v>1516.1482854991436</v>
      </c>
      <c r="AU35" s="52">
        <f t="shared" si="159"/>
        <v>1558.3848908952523</v>
      </c>
      <c r="AV35" s="52">
        <f t="shared" si="159"/>
        <v>-792.15475966398844</v>
      </c>
      <c r="AW35" s="52">
        <f t="shared" si="159"/>
        <v>1643.2809370370451</v>
      </c>
      <c r="AX35" s="52">
        <f t="shared" si="159"/>
        <v>1685.94131793828</v>
      </c>
      <c r="AY35" s="52">
        <f t="shared" si="159"/>
        <v>-664.17314453081599</v>
      </c>
      <c r="AZ35" s="52">
        <f t="shared" si="159"/>
        <v>1771.6891575539912</v>
      </c>
      <c r="BA35" s="52">
        <f t="shared" si="159"/>
        <v>1814.7775658569499</v>
      </c>
      <c r="BB35" s="52">
        <f t="shared" si="159"/>
        <v>-534.90744245241876</v>
      </c>
      <c r="BC35" s="52">
        <f t="shared" si="159"/>
        <v>1901.38574530599</v>
      </c>
      <c r="BD35" s="52">
        <f t="shared" si="159"/>
        <v>1944.906475568122</v>
      </c>
      <c r="BE35" s="52">
        <f t="shared" si="159"/>
        <v>-404.34476970887408</v>
      </c>
      <c r="BF35" s="52">
        <f t="shared" si="159"/>
        <v>2032.3836269586754</v>
      </c>
      <c r="BG35" s="52">
        <f t="shared" si="159"/>
        <v>2076.3410168263154</v>
      </c>
      <c r="BH35" s="52">
        <f t="shared" si="159"/>
        <v>-272.4721133131543</v>
      </c>
      <c r="BI35" s="52">
        <f t="shared" si="159"/>
        <v>2164.6958588757143</v>
      </c>
      <c r="BJ35" s="52">
        <f t="shared" si="159"/>
        <v>2209.0942895164098</v>
      </c>
      <c r="BK35" s="52">
        <f t="shared" si="159"/>
        <v>-139.2763297140873</v>
      </c>
      <c r="BL35" s="52">
        <f t="shared" si="159"/>
        <v>2298.3356284201082</v>
      </c>
      <c r="BM35" s="52">
        <f t="shared" si="159"/>
        <v>2343.1795249592897</v>
      </c>
      <c r="BN35" s="52">
        <f t="shared" si="159"/>
        <v>-4.7441434863985705</v>
      </c>
      <c r="BO35" s="52">
        <f t="shared" si="159"/>
        <v>3413.4816919312661</v>
      </c>
      <c r="BP35" s="52">
        <f t="shared" si="159"/>
        <v>7385.817386584773</v>
      </c>
      <c r="BQ35" s="52">
        <f t="shared" si="159"/>
        <v>5009.4950503203236</v>
      </c>
      <c r="BR35" s="52">
        <f t="shared" ref="BR35:CW35" si="160">BR11+BR24+BR29</f>
        <v>7426.6006908324143</v>
      </c>
      <c r="BS35" s="52">
        <f t="shared" si="160"/>
        <v>7450.8699153574125</v>
      </c>
      <c r="BT35" s="52">
        <f t="shared" si="160"/>
        <v>5082.3029926574964</v>
      </c>
      <c r="BU35" s="52">
        <f t="shared" si="160"/>
        <v>7499.6513263107136</v>
      </c>
      <c r="BV35" s="52">
        <f t="shared" si="160"/>
        <v>7524.1640529539691</v>
      </c>
      <c r="BW35" s="52">
        <f t="shared" si="160"/>
        <v>5155.8414440460328</v>
      </c>
      <c r="BX35" s="52">
        <f t="shared" si="160"/>
        <v>7573.4349058705448</v>
      </c>
      <c r="BY35" s="52">
        <f t="shared" si="160"/>
        <v>7598.1935777790059</v>
      </c>
      <c r="BZ35" s="52">
        <f t="shared" si="160"/>
        <v>5230.1177339538262</v>
      </c>
      <c r="CA35" s="52">
        <f t="shared" si="160"/>
        <v>7647.958783411359</v>
      </c>
      <c r="CB35" s="52">
        <f t="shared" si="160"/>
        <v>7672.9658682449535</v>
      </c>
      <c r="CC35" s="52">
        <f t="shared" si="160"/>
        <v>5305.1392653879957</v>
      </c>
      <c r="CD35" s="52">
        <f t="shared" si="160"/>
        <v>7723.2303866169823</v>
      </c>
      <c r="CE35" s="52">
        <f t="shared" si="160"/>
        <v>7748.4883767945885</v>
      </c>
      <c r="CF35" s="52">
        <f t="shared" si="160"/>
        <v>5380.9135156327975</v>
      </c>
      <c r="CG35" s="52">
        <f t="shared" si="160"/>
        <v>7799.2572176959238</v>
      </c>
      <c r="CH35" s="52">
        <f t="shared" si="160"/>
        <v>7824.7686306437954</v>
      </c>
      <c r="CI35" s="52">
        <f t="shared" si="160"/>
        <v>5457.4480369948342</v>
      </c>
      <c r="CJ35" s="52">
        <f t="shared" si="160"/>
        <v>7876.0468541291775</v>
      </c>
      <c r="CK35" s="52">
        <f t="shared" si="160"/>
        <v>7901.8142325318277</v>
      </c>
      <c r="CL35" s="52">
        <f t="shared" si="160"/>
        <v>5534.7504575558251</v>
      </c>
      <c r="CM35" s="52">
        <f t="shared" si="160"/>
        <v>7953.6069494253679</v>
      </c>
      <c r="CN35" s="52">
        <f t="shared" si="160"/>
        <v>7979.6328614790073</v>
      </c>
      <c r="CO35" s="52">
        <f t="shared" si="160"/>
        <v>5612.8284819328292</v>
      </c>
      <c r="CP35" s="52">
        <f t="shared" si="160"/>
        <v>8031.9452338836309</v>
      </c>
      <c r="CQ35" s="52">
        <f t="shared" si="160"/>
        <v>8058.2322735521248</v>
      </c>
      <c r="CR35" s="52">
        <f t="shared" si="160"/>
        <v>5691.6898920461899</v>
      </c>
      <c r="CS35" s="52">
        <f t="shared" si="160"/>
        <v>8111.0695153640318</v>
      </c>
      <c r="CT35" s="52">
        <f t="shared" si="160"/>
        <v>8137.6203026374715</v>
      </c>
      <c r="CU35" s="52">
        <f t="shared" si="160"/>
        <v>5771.342547895154</v>
      </c>
      <c r="CV35" s="52">
        <f t="shared" si="160"/>
        <v>8190.987680065824</v>
      </c>
      <c r="CW35" s="52">
        <f t="shared" si="160"/>
        <v>8217.8048612216026</v>
      </c>
      <c r="CX35" s="52">
        <f t="shared" ref="CX35:DI35" si="161">CX11+CX24+CX29</f>
        <v>5851.7943883412318</v>
      </c>
      <c r="CY35" s="52">
        <f t="shared" si="161"/>
        <v>8271.7076933133885</v>
      </c>
      <c r="CZ35" s="52">
        <f t="shared" si="161"/>
        <v>8298.7939411799907</v>
      </c>
      <c r="DA35" s="52">
        <f t="shared" si="161"/>
        <v>5933.053431899476</v>
      </c>
      <c r="DB35" s="52">
        <f t="shared" si="161"/>
        <v>8353.2376003501722</v>
      </c>
      <c r="DC35" s="52">
        <f t="shared" si="161"/>
        <v>8380.5956145735618</v>
      </c>
      <c r="DD35" s="52">
        <f t="shared" si="161"/>
        <v>6015.127777537693</v>
      </c>
      <c r="DE35" s="52">
        <f t="shared" si="161"/>
        <v>8435.5855271405089</v>
      </c>
      <c r="DF35" s="52">
        <f t="shared" si="161"/>
        <v>8463.2180344531989</v>
      </c>
      <c r="DG35" s="52">
        <f t="shared" si="161"/>
        <v>6098.0256054836027</v>
      </c>
      <c r="DH35" s="52">
        <f t="shared" si="161"/>
        <v>8518.7596811795629</v>
      </c>
      <c r="DI35" s="52">
        <f t="shared" si="161"/>
        <v>8483.6560127284083</v>
      </c>
    </row>
    <row r="36" spans="2:113" x14ac:dyDescent="0.3">
      <c r="B36" s="46" t="s">
        <v>160</v>
      </c>
      <c r="C36" s="42"/>
      <c r="D36" s="43"/>
      <c r="E36" s="42"/>
      <c r="F36" s="43">
        <f>F35</f>
        <v>40664.973620040517</v>
      </c>
      <c r="G36" s="43">
        <f>F36+G35</f>
        <v>36379.324626225782</v>
      </c>
      <c r="H36" s="43">
        <f t="shared" ref="H36:N36" si="162">G36+H35</f>
        <v>32544.777128221569</v>
      </c>
      <c r="I36" s="43">
        <f>H36+I35</f>
        <v>26179.427596963847</v>
      </c>
      <c r="J36" s="43">
        <f t="shared" si="162"/>
        <v>23257.50823529602</v>
      </c>
      <c r="K36" s="43">
        <f t="shared" si="162"/>
        <v>20801.820240316294</v>
      </c>
      <c r="L36" s="43">
        <f t="shared" si="162"/>
        <v>15829.074260347872</v>
      </c>
      <c r="M36" s="43">
        <f t="shared" si="162"/>
        <v>14193.545603014645</v>
      </c>
      <c r="N36" s="43">
        <f t="shared" si="162"/>
        <v>12933.623542125617</v>
      </c>
      <c r="O36" s="43">
        <f t="shared" ref="O36" si="163">N36+O35</f>
        <v>9332.5998255385948</v>
      </c>
      <c r="P36" s="43">
        <f t="shared" ref="P36" si="164">O36+P35</f>
        <v>8841.0169379647632</v>
      </c>
      <c r="Q36" s="43">
        <f t="shared" ref="Q36" si="165">P36+Q35</f>
        <v>8726.7271959140944</v>
      </c>
      <c r="R36" s="43">
        <f t="shared" ref="R36" si="166">Q36+R35</f>
        <v>7375.0183534504467</v>
      </c>
      <c r="S36" s="43">
        <f t="shared" ref="S36" si="167">R36+S35</f>
        <v>8272.2302119172164</v>
      </c>
      <c r="T36" s="43">
        <f t="shared" ref="T36" si="168">S36+T35</f>
        <v>9214.567221023317</v>
      </c>
      <c r="U36" s="43">
        <f t="shared" ref="U36" si="169">T36+U35</f>
        <v>7326.2983801772662</v>
      </c>
      <c r="V36" s="43">
        <f t="shared" ref="V36" si="170">U36+V35</f>
        <v>7869.8115224283074</v>
      </c>
      <c r="W36" s="43">
        <f t="shared" ref="W36" si="171">V36+W35</f>
        <v>8452.3191529312971</v>
      </c>
      <c r="X36" s="43">
        <f t="shared" ref="X36" si="172">W36+X35</f>
        <v>6681.0342086737401</v>
      </c>
      <c r="Y36" s="43">
        <f t="shared" ref="Y36" si="173">X36+Y35</f>
        <v>7341.9211938352346</v>
      </c>
      <c r="Z36" s="43">
        <f t="shared" ref="Z36" si="174">Y36+Z35</f>
        <v>8042.193913391714</v>
      </c>
      <c r="AA36" s="43">
        <f t="shared" ref="AA36" si="175">Z36+AA35</f>
        <v>6389.0666084844925</v>
      </c>
      <c r="AB36" s="43">
        <f t="shared" ref="AB36" si="176">AA36+AB35</f>
        <v>7168.5050917941599</v>
      </c>
      <c r="AC36" s="43">
        <f t="shared" ref="AC36" si="177">AB36+AC35</f>
        <v>7987.7244811593027</v>
      </c>
      <c r="AD36" s="43">
        <f t="shared" ref="AD36" si="178">AC36+AD35</f>
        <v>6453.9403349601107</v>
      </c>
      <c r="AE36" s="43">
        <f t="shared" ref="AE36" si="179">AD36+AE35</f>
        <v>7353.1197875068283</v>
      </c>
      <c r="AF36" s="43">
        <f t="shared" ref="AF36" si="180">AE36+AF35</f>
        <v>8292.4792826731464</v>
      </c>
      <c r="AG36" s="43">
        <f t="shared" ref="AG36" si="181">AF36+AG35</f>
        <v>6879.2357092944658</v>
      </c>
      <c r="AH36" s="43">
        <f t="shared" ref="AH36" si="182">AG36+AH35</f>
        <v>7899.3575365710976</v>
      </c>
      <c r="AI36" s="43">
        <f t="shared" ref="AI36" si="183">AH36+AI35</f>
        <v>8960.0625477164285</v>
      </c>
      <c r="AJ36" s="43">
        <f t="shared" ref="AJ36" si="184">AI36+AJ35</f>
        <v>7668.5689753700253</v>
      </c>
      <c r="AK36" s="43">
        <f t="shared" ref="AK36" si="185">AJ36+AK35</f>
        <v>8810.846637015713</v>
      </c>
      <c r="AL36" s="43">
        <f t="shared" ref="AL36" si="186">AK36+AL35</f>
        <v>9994.1146686446627</v>
      </c>
      <c r="AM36" s="43">
        <f t="shared" ref="AM36" si="187">AL36+AM35</f>
        <v>8825.5926601834908</v>
      </c>
      <c r="AN36" s="43">
        <f t="shared" ref="AN36" si="188">AM36+AN35</f>
        <v>10091.251790927357</v>
      </c>
      <c r="AO36" s="43">
        <f t="shared" ref="AO36" si="189">AN36+AO35</f>
        <v>11398.312563218145</v>
      </c>
      <c r="AP36" s="43">
        <f t="shared" ref="AP36" si="190">AO36+AP35</f>
        <v>10353.995937887685</v>
      </c>
      <c r="AQ36" s="43">
        <f t="shared" ref="AQ36" si="191">AP36+AQ35</f>
        <v>11744.274469706033</v>
      </c>
      <c r="AR36" s="43">
        <f t="shared" ref="AR36" si="192">AQ36+AR35</f>
        <v>13176.370041074886</v>
      </c>
      <c r="AS36" s="43">
        <f t="shared" ref="AS36" si="193">AR36+AS35</f>
        <v>12257.504997486079</v>
      </c>
      <c r="AT36" s="43">
        <f t="shared" ref="AT36" si="194">AS36+AT35</f>
        <v>13773.653282985222</v>
      </c>
      <c r="AU36" s="43">
        <f t="shared" ref="AU36" si="195">AT36+AU35</f>
        <v>15332.038173880475</v>
      </c>
      <c r="AV36" s="43">
        <f t="shared" ref="AV36" si="196">AU36+AV35</f>
        <v>14539.883414216487</v>
      </c>
      <c r="AW36" s="43">
        <f t="shared" ref="AW36" si="197">AV36+AW35</f>
        <v>16183.164351253532</v>
      </c>
      <c r="AX36" s="43">
        <f t="shared" ref="AX36" si="198">AW36+AX35</f>
        <v>17869.105669191813</v>
      </c>
      <c r="AY36" s="43">
        <f t="shared" ref="AY36" si="199">AX36+AY35</f>
        <v>17204.932524660995</v>
      </c>
      <c r="AZ36" s="43">
        <f t="shared" ref="AZ36" si="200">AY36+AZ35</f>
        <v>18976.621682214987</v>
      </c>
      <c r="BA36" s="43">
        <f t="shared" ref="BA36" si="201">AZ36+BA35</f>
        <v>20791.399248071939</v>
      </c>
      <c r="BB36" s="43">
        <f t="shared" ref="BB36" si="202">BA36+BB35</f>
        <v>20256.49180561952</v>
      </c>
      <c r="BC36" s="43">
        <f t="shared" ref="BC36" si="203">BB36+BC35</f>
        <v>22157.87755092551</v>
      </c>
      <c r="BD36" s="43">
        <f t="shared" ref="BD36" si="204">BC36+BD35</f>
        <v>24102.784026493631</v>
      </c>
      <c r="BE36" s="43">
        <f t="shared" ref="BE36" si="205">BD36+BE35</f>
        <v>23698.439256784757</v>
      </c>
      <c r="BF36" s="43">
        <f t="shared" ref="BF36" si="206">BE36+BF35</f>
        <v>25730.822883743433</v>
      </c>
      <c r="BG36" s="43">
        <f t="shared" ref="BG36" si="207">BF36+BG35</f>
        <v>27807.163900569747</v>
      </c>
      <c r="BH36" s="43">
        <f t="shared" ref="BH36" si="208">BG36+BH35</f>
        <v>27534.691787256594</v>
      </c>
      <c r="BI36" s="43">
        <f t="shared" ref="BI36" si="209">BH36+BI35</f>
        <v>29699.387646132309</v>
      </c>
      <c r="BJ36" s="43">
        <f t="shared" ref="BJ36" si="210">BI36+BJ35</f>
        <v>31908.481935648721</v>
      </c>
      <c r="BK36" s="43">
        <f t="shared" ref="BK36" si="211">BJ36+BK35</f>
        <v>31769.205605934632</v>
      </c>
      <c r="BL36" s="43">
        <f t="shared" ref="BL36" si="212">BK36+BL35</f>
        <v>34067.541234354743</v>
      </c>
      <c r="BM36" s="43">
        <f t="shared" ref="BM36" si="213">BL36+BM35</f>
        <v>36410.720759314034</v>
      </c>
      <c r="BN36" s="43">
        <f t="shared" ref="BN36" si="214">BM36+BN35</f>
        <v>36405.976615827632</v>
      </c>
      <c r="BO36" s="43">
        <f t="shared" ref="BO36" si="215">BN36+BO35</f>
        <v>39819.458307758898</v>
      </c>
      <c r="BP36" s="43">
        <f t="shared" ref="BP36" si="216">BO36+BP35</f>
        <v>47205.275694343669</v>
      </c>
      <c r="BQ36" s="43">
        <f t="shared" ref="BQ36" si="217">BP36+BQ35</f>
        <v>52214.770744663991</v>
      </c>
      <c r="BR36" s="43">
        <f t="shared" ref="BR36" si="218">BQ36+BR35</f>
        <v>59641.371435496403</v>
      </c>
      <c r="BS36" s="43">
        <f t="shared" ref="BS36" si="219">BR36+BS35</f>
        <v>67092.241350853816</v>
      </c>
      <c r="BT36" s="43">
        <f t="shared" ref="BT36" si="220">BS36+BT35</f>
        <v>72174.544343511312</v>
      </c>
      <c r="BU36" s="43">
        <f t="shared" ref="BU36" si="221">BT36+BU35</f>
        <v>79674.195669822031</v>
      </c>
      <c r="BV36" s="43">
        <f t="shared" ref="BV36" si="222">BU36+BV35</f>
        <v>87198.359722776004</v>
      </c>
      <c r="BW36" s="43">
        <f t="shared" ref="BW36" si="223">BV36+BW35</f>
        <v>92354.201166822037</v>
      </c>
      <c r="BX36" s="43">
        <f t="shared" ref="BX36" si="224">BW36+BX35</f>
        <v>99927.636072692578</v>
      </c>
      <c r="BY36" s="43">
        <f t="shared" ref="BY36" si="225">BX36+BY35</f>
        <v>107525.82965047158</v>
      </c>
      <c r="BZ36" s="43">
        <f t="shared" ref="BZ36" si="226">BY36+BZ35</f>
        <v>112755.94738442541</v>
      </c>
      <c r="CA36" s="43">
        <f t="shared" ref="CA36" si="227">BZ36+CA35</f>
        <v>120403.90616783677</v>
      </c>
      <c r="CB36" s="43">
        <f t="shared" ref="CB36" si="228">CA36+CB35</f>
        <v>128076.87203608172</v>
      </c>
      <c r="CC36" s="43">
        <f t="shared" ref="CC36" si="229">CB36+CC35</f>
        <v>133382.01130146973</v>
      </c>
      <c r="CD36" s="43">
        <f t="shared" ref="CD36" si="230">CC36+CD35</f>
        <v>141105.24168808671</v>
      </c>
      <c r="CE36" s="43">
        <f t="shared" ref="CE36" si="231">CD36+CE35</f>
        <v>148853.7300648813</v>
      </c>
      <c r="CF36" s="43">
        <f t="shared" ref="CF36" si="232">CE36+CF35</f>
        <v>154234.64358051409</v>
      </c>
      <c r="CG36" s="43">
        <f t="shared" ref="CG36" si="233">CF36+CG35</f>
        <v>162033.90079821003</v>
      </c>
      <c r="CH36" s="43">
        <f t="shared" ref="CH36" si="234">CG36+CH35</f>
        <v>169858.66942885381</v>
      </c>
      <c r="CI36" s="43">
        <f t="shared" ref="CI36" si="235">CH36+CI35</f>
        <v>175316.11746584866</v>
      </c>
      <c r="CJ36" s="43">
        <f t="shared" ref="CJ36" si="236">CI36+CJ35</f>
        <v>183192.16431997783</v>
      </c>
      <c r="CK36" s="43">
        <f t="shared" ref="CK36" si="237">CJ36+CK35</f>
        <v>191093.97855250965</v>
      </c>
      <c r="CL36" s="43">
        <f t="shared" ref="CL36" si="238">CK36+CL35</f>
        <v>196628.72901006546</v>
      </c>
      <c r="CM36" s="43">
        <f t="shared" ref="CM36" si="239">CL36+CM35</f>
        <v>204582.33595949083</v>
      </c>
      <c r="CN36" s="43">
        <f t="shared" ref="CN36" si="240">CM36+CN35</f>
        <v>212561.96882096984</v>
      </c>
      <c r="CO36" s="43">
        <f t="shared" ref="CO36" si="241">CN36+CO35</f>
        <v>218174.79730290268</v>
      </c>
      <c r="CP36" s="43">
        <f t="shared" ref="CP36" si="242">CO36+CP35</f>
        <v>226206.7425367863</v>
      </c>
      <c r="CQ36" s="43">
        <f t="shared" ref="CQ36" si="243">CP36+CQ35</f>
        <v>234264.97481033843</v>
      </c>
      <c r="CR36" s="43">
        <f t="shared" ref="CR36" si="244">CQ36+CR35</f>
        <v>239956.66470238462</v>
      </c>
      <c r="CS36" s="43">
        <f t="shared" ref="CS36" si="245">CR36+CS35</f>
        <v>248067.73421774866</v>
      </c>
      <c r="CT36" s="43">
        <f t="shared" ref="CT36" si="246">CS36+CT35</f>
        <v>256205.35452038614</v>
      </c>
      <c r="CU36" s="43">
        <f t="shared" ref="CU36" si="247">CT36+CU35</f>
        <v>261976.6970682813</v>
      </c>
      <c r="CV36" s="43">
        <f t="shared" ref="CV36" si="248">CU36+CV35</f>
        <v>270167.68474834715</v>
      </c>
      <c r="CW36" s="43">
        <f t="shared" ref="CW36" si="249">CV36+CW35</f>
        <v>278385.48960956873</v>
      </c>
      <c r="CX36" s="43">
        <f t="shared" ref="CX36" si="250">CW36+CX35</f>
        <v>284237.28399790998</v>
      </c>
      <c r="CY36" s="43">
        <f t="shared" ref="CY36" si="251">CX36+CY35</f>
        <v>292508.99169122335</v>
      </c>
      <c r="CZ36" s="43">
        <f t="shared" ref="CZ36" si="252">CY36+CZ35</f>
        <v>300807.78563240333</v>
      </c>
      <c r="DA36" s="43">
        <f t="shared" ref="DA36" si="253">CZ36+DA35</f>
        <v>306740.8390643028</v>
      </c>
      <c r="DB36" s="43">
        <f t="shared" ref="DB36" si="254">DA36+DB35</f>
        <v>315094.07666465297</v>
      </c>
      <c r="DC36" s="43">
        <f t="shared" ref="DC36" si="255">DB36+DC35</f>
        <v>323474.67227922654</v>
      </c>
      <c r="DD36" s="43">
        <f t="shared" ref="DD36" si="256">DC36+DD35</f>
        <v>329489.80005676422</v>
      </c>
      <c r="DE36" s="43">
        <f t="shared" ref="DE36" si="257">DD36+DE35</f>
        <v>337925.38558390475</v>
      </c>
      <c r="DF36" s="43">
        <f t="shared" ref="DF36" si="258">DE36+DF35</f>
        <v>346388.60361835797</v>
      </c>
      <c r="DG36" s="43">
        <f t="shared" ref="DG36" si="259">DF36+DG35</f>
        <v>352486.62922384159</v>
      </c>
      <c r="DH36" s="43">
        <f t="shared" ref="DH36" si="260">DG36+DH35</f>
        <v>361005.38890502113</v>
      </c>
      <c r="DI36" s="43">
        <f>DH36+DI35</f>
        <v>369489.04491774953</v>
      </c>
    </row>
    <row r="37" spans="2:113" s="18" customFormat="1" x14ac:dyDescent="0.3">
      <c r="B37" s="51" t="s">
        <v>163</v>
      </c>
      <c r="D37" s="52">
        <f t="shared" ref="D37" si="261">SUM(F37:DI37)</f>
        <v>374694.40262067976</v>
      </c>
      <c r="F37" s="52">
        <f t="shared" ref="F37:AK37" si="262">F11+F22-F27</f>
        <v>-306737.52637995948</v>
      </c>
      <c r="G37" s="52">
        <f t="shared" si="262"/>
        <v>2315.1843395185997</v>
      </c>
      <c r="H37" s="52">
        <f t="shared" si="262"/>
        <v>2741.2025019957864</v>
      </c>
      <c r="I37" s="52">
        <f t="shared" si="262"/>
        <v>185.23352429783654</v>
      </c>
      <c r="J37" s="52">
        <f t="shared" si="262"/>
        <v>3603.4128596284686</v>
      </c>
      <c r="K37" s="52">
        <f t="shared" si="262"/>
        <v>4044.309222609782</v>
      </c>
      <c r="L37" s="52">
        <f t="shared" si="262"/>
        <v>1501.831783901941</v>
      </c>
      <c r="M37" s="52">
        <f t="shared" si="262"/>
        <v>4813.5449213055917</v>
      </c>
      <c r="N37" s="52">
        <f t="shared" si="262"/>
        <v>5163.5623185674776</v>
      </c>
      <c r="O37" s="52">
        <f t="shared" si="262"/>
        <v>2796.78616635656</v>
      </c>
      <c r="P37" s="52">
        <f t="shared" si="262"/>
        <v>5880.4669172017839</v>
      </c>
      <c r="Q37" s="52">
        <f t="shared" si="262"/>
        <v>6231.9141176297562</v>
      </c>
      <c r="R37" s="52">
        <f t="shared" si="262"/>
        <v>4968.5629189712672</v>
      </c>
      <c r="S37" s="52">
        <f t="shared" si="262"/>
        <v>7191.4650813286917</v>
      </c>
      <c r="T37" s="52">
        <f t="shared" si="262"/>
        <v>7210.4849649331172</v>
      </c>
      <c r="U37" s="52">
        <f t="shared" si="262"/>
        <v>4353.6868303892788</v>
      </c>
      <c r="V37" s="52">
        <f t="shared" si="262"/>
        <v>6759.1892212793782</v>
      </c>
      <c r="W37" s="52">
        <f t="shared" si="262"/>
        <v>6771.816518683645</v>
      </c>
      <c r="X37" s="52">
        <f t="shared" si="262"/>
        <v>4391.5688624392542</v>
      </c>
      <c r="Y37" s="52">
        <f t="shared" si="262"/>
        <v>6797.1975267695179</v>
      </c>
      <c r="Z37" s="52">
        <f t="shared" si="262"/>
        <v>6809.9515185254195</v>
      </c>
      <c r="AA37" s="52">
        <f t="shared" si="262"/>
        <v>4429.8309789471705</v>
      </c>
      <c r="AB37" s="52">
        <f t="shared" si="262"/>
        <v>6835.5871836657971</v>
      </c>
      <c r="AC37" s="52">
        <f t="shared" si="262"/>
        <v>6848.4691409446814</v>
      </c>
      <c r="AD37" s="52">
        <f t="shared" si="262"/>
        <v>4468.4769934411679</v>
      </c>
      <c r="AE37" s="52">
        <f t="shared" si="262"/>
        <v>6874.3620182081013</v>
      </c>
      <c r="AF37" s="52">
        <f t="shared" si="262"/>
        <v>6887.3732249354634</v>
      </c>
      <c r="AG37" s="52">
        <f t="shared" si="262"/>
        <v>4507.510757711917</v>
      </c>
      <c r="AH37" s="52">
        <f t="shared" si="262"/>
        <v>6913.5258950264206</v>
      </c>
      <c r="AI37" s="52">
        <f t="shared" si="262"/>
        <v>6926.6676480098404</v>
      </c>
      <c r="AJ37" s="52">
        <f t="shared" si="262"/>
        <v>4546.9361621965454</v>
      </c>
      <c r="AK37" s="52">
        <f t="shared" si="262"/>
        <v>6953.082717526001</v>
      </c>
      <c r="AL37" s="52">
        <f t="shared" ref="AL37:BQ37" si="263">AL11+AL22-AL27</f>
        <v>6966.3563265844205</v>
      </c>
      <c r="AM37" s="52">
        <f t="shared" si="263"/>
        <v>4586.7571363663737</v>
      </c>
      <c r="AN37" s="52">
        <f t="shared" si="263"/>
        <v>6993.0364282763931</v>
      </c>
      <c r="AO37" s="52">
        <f t="shared" si="263"/>
        <v>7006.4432163706442</v>
      </c>
      <c r="AP37" s="52">
        <f t="shared" si="263"/>
        <v>4626.9776491185503</v>
      </c>
      <c r="AQ37" s="52">
        <f t="shared" si="263"/>
        <v>7033.3910094044122</v>
      </c>
      <c r="AR37" s="52">
        <f t="shared" si="263"/>
        <v>7046.9323127690932</v>
      </c>
      <c r="AS37" s="52">
        <f t="shared" si="263"/>
        <v>4667.6017091716567</v>
      </c>
      <c r="AT37" s="52">
        <f t="shared" si="263"/>
        <v>7074.1504829910309</v>
      </c>
      <c r="AU37" s="52">
        <f t="shared" si="263"/>
        <v>7087.8276512676684</v>
      </c>
      <c r="AV37" s="52">
        <f t="shared" si="263"/>
        <v>4708.6333654652244</v>
      </c>
      <c r="AW37" s="52">
        <f t="shared" si="263"/>
        <v>7115.3189114722445</v>
      </c>
      <c r="AX37" s="52">
        <f t="shared" si="263"/>
        <v>7129.1333078438192</v>
      </c>
      <c r="AY37" s="52">
        <f t="shared" si="263"/>
        <v>4750.0767075632975</v>
      </c>
      <c r="AZ37" s="52">
        <f t="shared" si="263"/>
        <v>7156.9003980439738</v>
      </c>
      <c r="BA37" s="52">
        <f t="shared" si="263"/>
        <v>7170.8533993707879</v>
      </c>
      <c r="BB37" s="52">
        <f t="shared" si="263"/>
        <v>4791.935866062021</v>
      </c>
      <c r="BC37" s="52">
        <f t="shared" si="263"/>
        <v>7198.8990870710331</v>
      </c>
      <c r="BD37" s="52">
        <f t="shared" si="263"/>
        <v>7212.9920840279374</v>
      </c>
      <c r="BE37" s="52">
        <f t="shared" si="263"/>
        <v>4834.2150130013633</v>
      </c>
      <c r="BF37" s="52">
        <f t="shared" si="263"/>
        <v>7241.3191645001698</v>
      </c>
      <c r="BG37" s="52">
        <f t="shared" si="263"/>
        <v>7255.5535617151709</v>
      </c>
      <c r="BH37" s="52">
        <f t="shared" si="263"/>
        <v>4876.9183622808869</v>
      </c>
      <c r="BI37" s="52">
        <f t="shared" si="263"/>
        <v>7284.1648582772914</v>
      </c>
      <c r="BJ37" s="52">
        <f t="shared" si="263"/>
        <v>7298.5420744715475</v>
      </c>
      <c r="BK37" s="52">
        <f t="shared" si="263"/>
        <v>4920.0501700797895</v>
      </c>
      <c r="BL37" s="52">
        <f t="shared" si="263"/>
        <v>7327.4404387688528</v>
      </c>
      <c r="BM37" s="52">
        <f t="shared" si="263"/>
        <v>7341.9619068980865</v>
      </c>
      <c r="BN37" s="52">
        <f t="shared" si="263"/>
        <v>4963.6147352810822</v>
      </c>
      <c r="BO37" s="52">
        <f t="shared" si="263"/>
        <v>7371.1502191874797</v>
      </c>
      <c r="BP37" s="52">
        <f t="shared" si="263"/>
        <v>7385.817386584773</v>
      </c>
      <c r="BQ37" s="52">
        <f t="shared" si="263"/>
        <v>5009.4950503203236</v>
      </c>
      <c r="BR37" s="52">
        <f t="shared" ref="BR37:CW37" si="264">BR11+BR22-BR27</f>
        <v>7426.6006908324143</v>
      </c>
      <c r="BS37" s="52">
        <f t="shared" si="264"/>
        <v>7450.8699153574125</v>
      </c>
      <c r="BT37" s="52">
        <f t="shared" si="264"/>
        <v>5082.3029926574964</v>
      </c>
      <c r="BU37" s="52">
        <f t="shared" si="264"/>
        <v>7499.6513263107136</v>
      </c>
      <c r="BV37" s="52">
        <f t="shared" si="264"/>
        <v>7524.1640529539691</v>
      </c>
      <c r="BW37" s="52">
        <f t="shared" si="264"/>
        <v>5155.8414440460328</v>
      </c>
      <c r="BX37" s="52">
        <f t="shared" si="264"/>
        <v>7573.4349058705448</v>
      </c>
      <c r="BY37" s="52">
        <f t="shared" si="264"/>
        <v>7598.1935777790059</v>
      </c>
      <c r="BZ37" s="52">
        <f t="shared" si="264"/>
        <v>5230.1177339538262</v>
      </c>
      <c r="CA37" s="52">
        <f t="shared" si="264"/>
        <v>7647.958783411359</v>
      </c>
      <c r="CB37" s="52">
        <f t="shared" si="264"/>
        <v>7672.9658682449535</v>
      </c>
      <c r="CC37" s="52">
        <f t="shared" si="264"/>
        <v>5305.1392653879957</v>
      </c>
      <c r="CD37" s="52">
        <f t="shared" si="264"/>
        <v>7723.2303866169823</v>
      </c>
      <c r="CE37" s="52">
        <f t="shared" si="264"/>
        <v>7748.4883767945885</v>
      </c>
      <c r="CF37" s="52">
        <f t="shared" si="264"/>
        <v>5380.9135156327975</v>
      </c>
      <c r="CG37" s="52">
        <f t="shared" si="264"/>
        <v>7799.2572176959238</v>
      </c>
      <c r="CH37" s="52">
        <f t="shared" si="264"/>
        <v>7824.7686306437954</v>
      </c>
      <c r="CI37" s="52">
        <f t="shared" si="264"/>
        <v>5457.4480369948342</v>
      </c>
      <c r="CJ37" s="52">
        <f t="shared" si="264"/>
        <v>7876.0468541291775</v>
      </c>
      <c r="CK37" s="52">
        <f t="shared" si="264"/>
        <v>7901.8142325318277</v>
      </c>
      <c r="CL37" s="52">
        <f t="shared" si="264"/>
        <v>5534.7504575558251</v>
      </c>
      <c r="CM37" s="52">
        <f t="shared" si="264"/>
        <v>7953.6069494253679</v>
      </c>
      <c r="CN37" s="52">
        <f t="shared" si="264"/>
        <v>7979.6328614790073</v>
      </c>
      <c r="CO37" s="52">
        <f t="shared" si="264"/>
        <v>5612.8284819328292</v>
      </c>
      <c r="CP37" s="52">
        <f t="shared" si="264"/>
        <v>8031.9452338836309</v>
      </c>
      <c r="CQ37" s="52">
        <f t="shared" si="264"/>
        <v>8058.2322735521248</v>
      </c>
      <c r="CR37" s="52">
        <f t="shared" si="264"/>
        <v>5691.6898920461899</v>
      </c>
      <c r="CS37" s="52">
        <f t="shared" si="264"/>
        <v>8111.0695153640318</v>
      </c>
      <c r="CT37" s="52">
        <f t="shared" si="264"/>
        <v>8137.6203026374715</v>
      </c>
      <c r="CU37" s="52">
        <f t="shared" si="264"/>
        <v>5771.342547895154</v>
      </c>
      <c r="CV37" s="52">
        <f t="shared" si="264"/>
        <v>8190.987680065824</v>
      </c>
      <c r="CW37" s="52">
        <f t="shared" si="264"/>
        <v>8217.8048612216026</v>
      </c>
      <c r="CX37" s="52">
        <f t="shared" ref="CX37:DI37" si="265">CX11+CX22-CX27</f>
        <v>5851.7943883412318</v>
      </c>
      <c r="CY37" s="52">
        <f t="shared" si="265"/>
        <v>8271.7076933133885</v>
      </c>
      <c r="CZ37" s="52">
        <f t="shared" si="265"/>
        <v>8298.7939411799907</v>
      </c>
      <c r="DA37" s="52">
        <f t="shared" si="265"/>
        <v>5933.053431899476</v>
      </c>
      <c r="DB37" s="52">
        <f t="shared" si="265"/>
        <v>8353.2376003501722</v>
      </c>
      <c r="DC37" s="52">
        <f t="shared" si="265"/>
        <v>8380.5956145735618</v>
      </c>
      <c r="DD37" s="52">
        <f t="shared" si="265"/>
        <v>6015.127777537693</v>
      </c>
      <c r="DE37" s="52">
        <f t="shared" si="265"/>
        <v>8435.5855271405089</v>
      </c>
      <c r="DF37" s="52">
        <f t="shared" si="265"/>
        <v>8463.2180344531989</v>
      </c>
      <c r="DG37" s="52">
        <f t="shared" si="265"/>
        <v>6098.0256054836027</v>
      </c>
      <c r="DH37" s="52">
        <f t="shared" si="265"/>
        <v>8518.7596811795629</v>
      </c>
      <c r="DI37" s="52">
        <f t="shared" si="265"/>
        <v>8483.6560127284083</v>
      </c>
    </row>
    <row r="38" spans="2:113" x14ac:dyDescent="0.3">
      <c r="B38" s="6" t="s">
        <v>164</v>
      </c>
      <c r="D38" s="27">
        <f>SUM(F38:DI38)</f>
        <v>289499.04491774947</v>
      </c>
      <c r="F38" s="27">
        <f t="shared" ref="F38:AK38" si="266">F11-F27+F32-F34</f>
        <v>-39325.026379959483</v>
      </c>
      <c r="G38" s="27">
        <f t="shared" si="266"/>
        <v>-4285.6489938147333</v>
      </c>
      <c r="H38" s="27">
        <f t="shared" si="266"/>
        <v>-3834.5474980042145</v>
      </c>
      <c r="I38" s="27">
        <f t="shared" si="266"/>
        <v>-6365.3495312577197</v>
      </c>
      <c r="J38" s="27">
        <f t="shared" si="266"/>
        <v>-2921.919361667829</v>
      </c>
      <c r="K38" s="27">
        <f t="shared" si="266"/>
        <v>-2455.6879949797258</v>
      </c>
      <c r="L38" s="27">
        <f t="shared" si="266"/>
        <v>-4972.7459799684211</v>
      </c>
      <c r="M38" s="27">
        <f t="shared" si="266"/>
        <v>-1635.5286573332273</v>
      </c>
      <c r="N38" s="27">
        <f t="shared" si="266"/>
        <v>-1259.9220608890273</v>
      </c>
      <c r="O38" s="27">
        <f t="shared" si="266"/>
        <v>-3601.0237165870221</v>
      </c>
      <c r="P38" s="27">
        <f t="shared" si="266"/>
        <v>-491.58288757383252</v>
      </c>
      <c r="Q38" s="27">
        <f t="shared" si="266"/>
        <v>-114.28974205066879</v>
      </c>
      <c r="R38" s="27">
        <f t="shared" si="266"/>
        <v>-1351.7088424636477</v>
      </c>
      <c r="S38" s="27">
        <f t="shared" si="266"/>
        <v>897.21185846677054</v>
      </c>
      <c r="T38" s="27">
        <f t="shared" si="266"/>
        <v>942.33700910609969</v>
      </c>
      <c r="U38" s="27">
        <f t="shared" si="266"/>
        <v>-1888.2688408460508</v>
      </c>
      <c r="V38" s="27">
        <f t="shared" si="266"/>
        <v>543.51314225104124</v>
      </c>
      <c r="W38" s="27">
        <f t="shared" si="266"/>
        <v>582.50763050299065</v>
      </c>
      <c r="X38" s="27">
        <f t="shared" si="266"/>
        <v>-1771.2849442575571</v>
      </c>
      <c r="Y38" s="27">
        <f t="shared" si="266"/>
        <v>660.88698516149452</v>
      </c>
      <c r="Z38" s="27">
        <f t="shared" si="266"/>
        <v>700.27271955647939</v>
      </c>
      <c r="AA38" s="27">
        <f t="shared" si="266"/>
        <v>-1653.1273049072215</v>
      </c>
      <c r="AB38" s="27">
        <f t="shared" si="266"/>
        <v>779.43848330966739</v>
      </c>
      <c r="AC38" s="27">
        <f t="shared" si="266"/>
        <v>819.21938936514289</v>
      </c>
      <c r="AD38" s="27">
        <f t="shared" si="266"/>
        <v>-1533.784146199192</v>
      </c>
      <c r="AE38" s="27">
        <f t="shared" si="266"/>
        <v>899.17945254671758</v>
      </c>
      <c r="AF38" s="27">
        <f t="shared" si="266"/>
        <v>939.35949516631899</v>
      </c>
      <c r="AG38" s="27">
        <f t="shared" si="266"/>
        <v>-1413.2435733786806</v>
      </c>
      <c r="AH38" s="27">
        <f t="shared" si="266"/>
        <v>1020.1218272766318</v>
      </c>
      <c r="AI38" s="27">
        <f t="shared" si="266"/>
        <v>1060.70501114533</v>
      </c>
      <c r="AJ38" s="27">
        <f t="shared" si="266"/>
        <v>-1291.4935723464032</v>
      </c>
      <c r="AK38" s="27">
        <f t="shared" si="266"/>
        <v>1142.2776616456877</v>
      </c>
      <c r="AL38" s="27">
        <f t="shared" ref="AL38:BQ38" si="267">AL11-AL27+AL32-AL34</f>
        <v>1183.2680316289507</v>
      </c>
      <c r="AM38" s="27">
        <f t="shared" si="267"/>
        <v>-1168.522008461171</v>
      </c>
      <c r="AN38" s="27">
        <f t="shared" si="267"/>
        <v>1265.6591307438666</v>
      </c>
      <c r="AO38" s="27">
        <f t="shared" si="267"/>
        <v>1307.060772290788</v>
      </c>
      <c r="AP38" s="27">
        <f t="shared" si="267"/>
        <v>-1044.3166253304616</v>
      </c>
      <c r="AQ38" s="27">
        <f t="shared" si="267"/>
        <v>1390.2785318183478</v>
      </c>
      <c r="AR38" s="27">
        <f t="shared" si="267"/>
        <v>1432.0955713688527</v>
      </c>
      <c r="AS38" s="27">
        <f t="shared" si="267"/>
        <v>-918.86504358880666</v>
      </c>
      <c r="AT38" s="27">
        <f t="shared" si="267"/>
        <v>1516.1482854991436</v>
      </c>
      <c r="AU38" s="27">
        <f t="shared" si="267"/>
        <v>1558.3848908952523</v>
      </c>
      <c r="AV38" s="27">
        <f t="shared" si="267"/>
        <v>-792.15475966398844</v>
      </c>
      <c r="AW38" s="27">
        <f t="shared" si="267"/>
        <v>1643.2809370370451</v>
      </c>
      <c r="AX38" s="27">
        <f t="shared" si="267"/>
        <v>1685.94131793828</v>
      </c>
      <c r="AY38" s="27">
        <f t="shared" si="267"/>
        <v>-664.17314453081599</v>
      </c>
      <c r="AZ38" s="27">
        <f t="shared" si="267"/>
        <v>1771.6891575539912</v>
      </c>
      <c r="BA38" s="27">
        <f t="shared" si="267"/>
        <v>1814.7775658569499</v>
      </c>
      <c r="BB38" s="27">
        <f t="shared" si="267"/>
        <v>-534.90744245241876</v>
      </c>
      <c r="BC38" s="27">
        <f t="shared" si="267"/>
        <v>1901.38574530599</v>
      </c>
      <c r="BD38" s="27">
        <f t="shared" si="267"/>
        <v>1944.906475568122</v>
      </c>
      <c r="BE38" s="27">
        <f t="shared" si="267"/>
        <v>-404.34476970887408</v>
      </c>
      <c r="BF38" s="27">
        <f t="shared" si="267"/>
        <v>2032.3836269586754</v>
      </c>
      <c r="BG38" s="27">
        <f t="shared" si="267"/>
        <v>2076.3410168263154</v>
      </c>
      <c r="BH38" s="27">
        <f t="shared" si="267"/>
        <v>-272.4721133131543</v>
      </c>
      <c r="BI38" s="27">
        <f t="shared" si="267"/>
        <v>2164.6958588757143</v>
      </c>
      <c r="BJ38" s="27">
        <f t="shared" si="267"/>
        <v>2209.0942895164098</v>
      </c>
      <c r="BK38" s="27">
        <f t="shared" si="267"/>
        <v>-139.2763297140873</v>
      </c>
      <c r="BL38" s="27">
        <f t="shared" si="267"/>
        <v>2298.3356284201082</v>
      </c>
      <c r="BM38" s="27">
        <f t="shared" si="267"/>
        <v>2343.1795249592897</v>
      </c>
      <c r="BN38" s="27">
        <f t="shared" si="267"/>
        <v>-4.7441434863985705</v>
      </c>
      <c r="BO38" s="27">
        <f t="shared" si="267"/>
        <v>3413.4816919312661</v>
      </c>
      <c r="BP38" s="27">
        <f t="shared" si="267"/>
        <v>7385.817386584773</v>
      </c>
      <c r="BQ38" s="27">
        <f t="shared" si="267"/>
        <v>5009.4950503203236</v>
      </c>
      <c r="BR38" s="27">
        <f t="shared" ref="BR38:CW38" si="268">BR11-BR27+BR32-BR34</f>
        <v>7426.6006908324143</v>
      </c>
      <c r="BS38" s="27">
        <f t="shared" si="268"/>
        <v>7450.8699153574125</v>
      </c>
      <c r="BT38" s="27">
        <f t="shared" si="268"/>
        <v>5082.3029926574964</v>
      </c>
      <c r="BU38" s="27">
        <f t="shared" si="268"/>
        <v>7499.6513263107136</v>
      </c>
      <c r="BV38" s="27">
        <f t="shared" si="268"/>
        <v>7524.1640529539691</v>
      </c>
      <c r="BW38" s="27">
        <f t="shared" si="268"/>
        <v>5155.8414440460328</v>
      </c>
      <c r="BX38" s="27">
        <f t="shared" si="268"/>
        <v>7573.4349058705448</v>
      </c>
      <c r="BY38" s="27">
        <f t="shared" si="268"/>
        <v>7598.1935777790059</v>
      </c>
      <c r="BZ38" s="27">
        <f t="shared" si="268"/>
        <v>5230.1177339538262</v>
      </c>
      <c r="CA38" s="27">
        <f t="shared" si="268"/>
        <v>7647.958783411359</v>
      </c>
      <c r="CB38" s="27">
        <f t="shared" si="268"/>
        <v>7672.9658682449535</v>
      </c>
      <c r="CC38" s="27">
        <f t="shared" si="268"/>
        <v>5305.1392653879957</v>
      </c>
      <c r="CD38" s="27">
        <f t="shared" si="268"/>
        <v>7723.2303866169823</v>
      </c>
      <c r="CE38" s="27">
        <f t="shared" si="268"/>
        <v>7748.4883767945885</v>
      </c>
      <c r="CF38" s="27">
        <f t="shared" si="268"/>
        <v>5380.9135156327975</v>
      </c>
      <c r="CG38" s="27">
        <f t="shared" si="268"/>
        <v>7799.2572176959238</v>
      </c>
      <c r="CH38" s="27">
        <f t="shared" si="268"/>
        <v>7824.7686306437954</v>
      </c>
      <c r="CI38" s="27">
        <f t="shared" si="268"/>
        <v>5457.4480369948342</v>
      </c>
      <c r="CJ38" s="27">
        <f t="shared" si="268"/>
        <v>7876.0468541291775</v>
      </c>
      <c r="CK38" s="27">
        <f t="shared" si="268"/>
        <v>7901.8142325318277</v>
      </c>
      <c r="CL38" s="27">
        <f t="shared" si="268"/>
        <v>5534.7504575558251</v>
      </c>
      <c r="CM38" s="27">
        <f t="shared" si="268"/>
        <v>7953.6069494253679</v>
      </c>
      <c r="CN38" s="27">
        <f t="shared" si="268"/>
        <v>7979.6328614790073</v>
      </c>
      <c r="CO38" s="27">
        <f t="shared" si="268"/>
        <v>5612.8284819328292</v>
      </c>
      <c r="CP38" s="27">
        <f t="shared" si="268"/>
        <v>8031.9452338836309</v>
      </c>
      <c r="CQ38" s="27">
        <f t="shared" si="268"/>
        <v>8058.2322735521248</v>
      </c>
      <c r="CR38" s="27">
        <f t="shared" si="268"/>
        <v>5691.6898920461899</v>
      </c>
      <c r="CS38" s="27">
        <f t="shared" si="268"/>
        <v>8111.0695153640318</v>
      </c>
      <c r="CT38" s="27">
        <f t="shared" si="268"/>
        <v>8137.6203026374715</v>
      </c>
      <c r="CU38" s="27">
        <f t="shared" si="268"/>
        <v>5771.342547895154</v>
      </c>
      <c r="CV38" s="27">
        <f t="shared" si="268"/>
        <v>8190.987680065824</v>
      </c>
      <c r="CW38" s="27">
        <f t="shared" si="268"/>
        <v>8217.8048612216026</v>
      </c>
      <c r="CX38" s="27">
        <f t="shared" ref="CX38:DI38" si="269">CX11-CX27+CX32-CX34</f>
        <v>5851.7943883412318</v>
      </c>
      <c r="CY38" s="27">
        <f t="shared" si="269"/>
        <v>8271.7076933133885</v>
      </c>
      <c r="CZ38" s="27">
        <f t="shared" si="269"/>
        <v>8298.7939411799907</v>
      </c>
      <c r="DA38" s="27">
        <f t="shared" si="269"/>
        <v>5933.053431899476</v>
      </c>
      <c r="DB38" s="27">
        <f t="shared" si="269"/>
        <v>8353.2376003501722</v>
      </c>
      <c r="DC38" s="27">
        <f t="shared" si="269"/>
        <v>8380.5956145735618</v>
      </c>
      <c r="DD38" s="27">
        <f t="shared" si="269"/>
        <v>6015.127777537693</v>
      </c>
      <c r="DE38" s="27">
        <f t="shared" si="269"/>
        <v>8435.5855271405089</v>
      </c>
      <c r="DF38" s="27">
        <f t="shared" si="269"/>
        <v>8463.2180344531989</v>
      </c>
      <c r="DG38" s="27">
        <f t="shared" si="269"/>
        <v>6098.0256054836027</v>
      </c>
      <c r="DH38" s="27">
        <f t="shared" si="269"/>
        <v>8518.7596811795629</v>
      </c>
      <c r="DI38" s="27">
        <f t="shared" si="269"/>
        <v>8483.6560127284083</v>
      </c>
    </row>
    <row r="39" spans="2:113" x14ac:dyDescent="0.3">
      <c r="B39" s="6" t="s">
        <v>214</v>
      </c>
      <c r="D39" s="27"/>
      <c r="F39" s="27">
        <f>F38+E39</f>
        <v>-39325.026379959483</v>
      </c>
      <c r="G39" s="27">
        <f t="shared" ref="G39:Q39" si="270">G38+F39</f>
        <v>-43610.675373774218</v>
      </c>
      <c r="H39" s="27">
        <f t="shared" si="270"/>
        <v>-47445.222871778431</v>
      </c>
      <c r="I39" s="27">
        <f t="shared" si="270"/>
        <v>-53810.572403036153</v>
      </c>
      <c r="J39" s="27">
        <f t="shared" si="270"/>
        <v>-56732.491764703984</v>
      </c>
      <c r="K39" s="27">
        <f t="shared" si="270"/>
        <v>-59188.179759683713</v>
      </c>
      <c r="L39" s="27">
        <f t="shared" si="270"/>
        <v>-64160.925739652135</v>
      </c>
      <c r="M39" s="27">
        <f t="shared" si="270"/>
        <v>-65796.454396985369</v>
      </c>
      <c r="N39" s="27">
        <f t="shared" si="270"/>
        <v>-67056.376457874401</v>
      </c>
      <c r="O39" s="27">
        <f t="shared" si="270"/>
        <v>-70657.400174461422</v>
      </c>
      <c r="P39" s="27">
        <f t="shared" si="270"/>
        <v>-71148.983062035259</v>
      </c>
      <c r="Q39" s="27">
        <f t="shared" si="270"/>
        <v>-71263.272804085922</v>
      </c>
      <c r="R39" s="27">
        <f t="shared" ref="R39" si="271">R38+Q39</f>
        <v>-72614.981646549568</v>
      </c>
      <c r="S39" s="27">
        <f t="shared" ref="S39" si="272">S38+R39</f>
        <v>-71717.769788082791</v>
      </c>
      <c r="T39" s="27">
        <f t="shared" ref="T39" si="273">T38+S39</f>
        <v>-70775.432778976698</v>
      </c>
      <c r="U39" s="27">
        <f t="shared" ref="U39" si="274">U38+T39</f>
        <v>-72663.70161982275</v>
      </c>
      <c r="V39" s="27">
        <f t="shared" ref="V39" si="275">V38+U39</f>
        <v>-72120.188477571704</v>
      </c>
      <c r="W39" s="27">
        <f t="shared" ref="W39" si="276">W38+V39</f>
        <v>-71537.68084706871</v>
      </c>
      <c r="X39" s="27">
        <f t="shared" ref="X39" si="277">X38+W39</f>
        <v>-73308.965791326264</v>
      </c>
      <c r="Y39" s="27">
        <f t="shared" ref="Y39" si="278">Y38+X39</f>
        <v>-72648.078806164762</v>
      </c>
      <c r="Z39" s="27">
        <f t="shared" ref="Z39" si="279">Z38+Y39</f>
        <v>-71947.806086608281</v>
      </c>
      <c r="AA39" s="27">
        <f t="shared" ref="AA39:AB39" si="280">AA38+Z39</f>
        <v>-73600.9333915155</v>
      </c>
      <c r="AB39" s="27">
        <f t="shared" si="280"/>
        <v>-72821.49490820583</v>
      </c>
      <c r="AC39" s="27">
        <f t="shared" ref="AC39" si="281">AC38+AB39</f>
        <v>-72002.275518840688</v>
      </c>
      <c r="AD39" s="27">
        <f t="shared" ref="AD39" si="282">AD38+AC39</f>
        <v>-73536.05966503988</v>
      </c>
      <c r="AE39" s="27">
        <f t="shared" ref="AE39" si="283">AE38+AD39</f>
        <v>-72636.880212493168</v>
      </c>
      <c r="AF39" s="27">
        <f t="shared" ref="AF39" si="284">AF38+AE39</f>
        <v>-71697.520717326843</v>
      </c>
      <c r="AG39" s="27">
        <f t="shared" ref="AG39" si="285">AG38+AF39</f>
        <v>-73110.764290705527</v>
      </c>
      <c r="AH39" s="27">
        <f t="shared" ref="AH39" si="286">AH38+AG39</f>
        <v>-72090.6424634289</v>
      </c>
      <c r="AI39" s="27">
        <f t="shared" ref="AI39" si="287">AI38+AH39</f>
        <v>-71029.937452283571</v>
      </c>
      <c r="AJ39" s="27">
        <f t="shared" ref="AJ39" si="288">AJ38+AI39</f>
        <v>-72321.431024629972</v>
      </c>
      <c r="AK39" s="27">
        <f t="shared" ref="AK39" si="289">AK38+AJ39</f>
        <v>-71179.153362984289</v>
      </c>
      <c r="AL39" s="27">
        <f t="shared" ref="AL39:AM39" si="290">AL38+AK39</f>
        <v>-69995.885331355341</v>
      </c>
      <c r="AM39" s="27">
        <f t="shared" si="290"/>
        <v>-71164.407339816506</v>
      </c>
      <c r="AN39" s="27">
        <f t="shared" ref="AN39" si="291">AN38+AM39</f>
        <v>-69898.748209072641</v>
      </c>
      <c r="AO39" s="27">
        <f t="shared" ref="AO39" si="292">AO38+AN39</f>
        <v>-68591.687436781853</v>
      </c>
      <c r="AP39" s="27">
        <f t="shared" ref="AP39" si="293">AP38+AO39</f>
        <v>-69636.004062112319</v>
      </c>
      <c r="AQ39" s="27">
        <f t="shared" ref="AQ39" si="294">AQ38+AP39</f>
        <v>-68245.725530293974</v>
      </c>
      <c r="AR39" s="27">
        <f t="shared" ref="AR39" si="295">AR38+AQ39</f>
        <v>-66813.629958925128</v>
      </c>
      <c r="AS39" s="27">
        <f t="shared" ref="AS39" si="296">AS38+AR39</f>
        <v>-67732.495002513941</v>
      </c>
      <c r="AT39" s="27">
        <f t="shared" ref="AT39" si="297">AT38+AS39</f>
        <v>-66216.346717014792</v>
      </c>
      <c r="AU39" s="27">
        <f t="shared" ref="AU39" si="298">AU38+AT39</f>
        <v>-64657.961826119543</v>
      </c>
      <c r="AV39" s="27">
        <f t="shared" ref="AV39" si="299">AV38+AU39</f>
        <v>-65450.116585783529</v>
      </c>
      <c r="AW39" s="27">
        <f t="shared" ref="AW39:AX39" si="300">AW38+AV39</f>
        <v>-63806.835648746484</v>
      </c>
      <c r="AX39" s="27">
        <f t="shared" si="300"/>
        <v>-62120.894330808202</v>
      </c>
      <c r="AY39" s="27">
        <f t="shared" ref="AY39" si="301">AY38+AX39</f>
        <v>-62785.067475339019</v>
      </c>
      <c r="AZ39" s="27">
        <f t="shared" ref="AZ39" si="302">AZ38+AY39</f>
        <v>-61013.378317785027</v>
      </c>
      <c r="BA39" s="27">
        <f t="shared" ref="BA39" si="303">BA38+AZ39</f>
        <v>-59198.600751928076</v>
      </c>
      <c r="BB39" s="27">
        <f t="shared" ref="BB39" si="304">BB38+BA39</f>
        <v>-59733.508194380498</v>
      </c>
      <c r="BC39" s="27">
        <f t="shared" ref="BC39" si="305">BC38+BB39</f>
        <v>-57832.122449074508</v>
      </c>
      <c r="BD39" s="27">
        <f t="shared" ref="BD39" si="306">BD38+BC39</f>
        <v>-55887.215973506383</v>
      </c>
      <c r="BE39" s="27">
        <f t="shared" ref="BE39" si="307">BE38+BD39</f>
        <v>-56291.560743215261</v>
      </c>
      <c r="BF39" s="27">
        <f t="shared" ref="BF39" si="308">BF38+BE39</f>
        <v>-54259.177116256586</v>
      </c>
      <c r="BG39" s="27">
        <f t="shared" ref="BG39" si="309">BG38+BF39</f>
        <v>-52182.836099430271</v>
      </c>
      <c r="BH39" s="27">
        <f t="shared" ref="BH39:BI39" si="310">BH38+BG39</f>
        <v>-52455.308212743425</v>
      </c>
      <c r="BI39" s="27">
        <f t="shared" si="310"/>
        <v>-50290.612353867713</v>
      </c>
      <c r="BJ39" s="27">
        <f t="shared" ref="BJ39" si="311">BJ38+BI39</f>
        <v>-48081.518064351301</v>
      </c>
      <c r="BK39" s="27">
        <f t="shared" ref="BK39" si="312">BK38+BJ39</f>
        <v>-48220.794394065386</v>
      </c>
      <c r="BL39" s="27">
        <f t="shared" ref="BL39" si="313">BL38+BK39</f>
        <v>-45922.458765645279</v>
      </c>
      <c r="BM39" s="27">
        <f t="shared" ref="BM39" si="314">BM38+BL39</f>
        <v>-43579.279240685988</v>
      </c>
      <c r="BN39" s="27">
        <f t="shared" ref="BN39" si="315">BN38+BM39</f>
        <v>-43584.023384172389</v>
      </c>
      <c r="BO39" s="27">
        <f t="shared" ref="BO39" si="316">BO38+BN39</f>
        <v>-40170.541692241124</v>
      </c>
      <c r="BP39" s="27">
        <f t="shared" ref="BP39" si="317">BP38+BO39</f>
        <v>-32784.724305656353</v>
      </c>
      <c r="BQ39" s="27">
        <f t="shared" ref="BQ39" si="318">BQ38+BP39</f>
        <v>-27775.229255336031</v>
      </c>
      <c r="BR39" s="27">
        <f t="shared" ref="BR39" si="319">BR38+BQ39</f>
        <v>-20348.628564503619</v>
      </c>
      <c r="BS39" s="27">
        <f t="shared" ref="BS39:BT39" si="320">BS38+BR39</f>
        <v>-12897.758649146206</v>
      </c>
      <c r="BT39" s="27">
        <f t="shared" si="320"/>
        <v>-7815.4556564887098</v>
      </c>
      <c r="BU39" s="27">
        <f t="shared" ref="BU39" si="321">BU38+BT39</f>
        <v>-315.80433017799623</v>
      </c>
      <c r="BV39" s="27">
        <f t="shared" ref="BV39" si="322">BV38+BU39</f>
        <v>7208.3597227759728</v>
      </c>
      <c r="BW39" s="27">
        <f t="shared" ref="BW39" si="323">BW38+BV39</f>
        <v>12364.201166822006</v>
      </c>
      <c r="BX39" s="27">
        <f t="shared" ref="BX39" si="324">BX38+BW39</f>
        <v>19937.636072692549</v>
      </c>
      <c r="BY39" s="27">
        <f t="shared" ref="BY39" si="325">BY38+BX39</f>
        <v>27535.829650471554</v>
      </c>
      <c r="BZ39" s="27">
        <f t="shared" ref="BZ39" si="326">BZ38+BY39</f>
        <v>32765.947384425381</v>
      </c>
      <c r="CA39" s="27">
        <f t="shared" ref="CA39" si="327">CA38+BZ39</f>
        <v>40413.906167836743</v>
      </c>
      <c r="CB39" s="27">
        <f t="shared" ref="CB39" si="328">CB38+CA39</f>
        <v>48086.872036081695</v>
      </c>
      <c r="CC39" s="27">
        <f t="shared" ref="CC39" si="329">CC38+CB39</f>
        <v>53392.011301469691</v>
      </c>
      <c r="CD39" s="27">
        <f t="shared" ref="CD39:CE39" si="330">CD38+CC39</f>
        <v>61115.241688086673</v>
      </c>
      <c r="CE39" s="27">
        <f t="shared" si="330"/>
        <v>68863.730064881267</v>
      </c>
      <c r="CF39" s="27">
        <f t="shared" ref="CF39" si="331">CF38+CE39</f>
        <v>74244.643580514065</v>
      </c>
      <c r="CG39" s="27">
        <f t="shared" ref="CG39" si="332">CG38+CF39</f>
        <v>82043.900798209987</v>
      </c>
      <c r="CH39" s="27">
        <f t="shared" ref="CH39" si="333">CH38+CG39</f>
        <v>89868.669428853784</v>
      </c>
      <c r="CI39" s="27">
        <f t="shared" ref="CI39" si="334">CI38+CH39</f>
        <v>95326.117465848612</v>
      </c>
      <c r="CJ39" s="27">
        <f t="shared" ref="CJ39" si="335">CJ38+CI39</f>
        <v>103202.16431997779</v>
      </c>
      <c r="CK39" s="27">
        <f t="shared" ref="CK39" si="336">CK38+CJ39</f>
        <v>111103.97855250962</v>
      </c>
      <c r="CL39" s="27">
        <f t="shared" ref="CL39" si="337">CL38+CK39</f>
        <v>116638.72901006545</v>
      </c>
      <c r="CM39" s="27">
        <f t="shared" ref="CM39" si="338">CM38+CL39</f>
        <v>124592.33595949083</v>
      </c>
      <c r="CN39" s="27">
        <f t="shared" ref="CN39" si="339">CN38+CM39</f>
        <v>132571.96882096984</v>
      </c>
      <c r="CO39" s="27">
        <f t="shared" ref="CO39:CP39" si="340">CO38+CN39</f>
        <v>138184.79730290268</v>
      </c>
      <c r="CP39" s="27">
        <f t="shared" si="340"/>
        <v>146216.7425367863</v>
      </c>
      <c r="CQ39" s="27">
        <f t="shared" ref="CQ39" si="341">CQ38+CP39</f>
        <v>154274.97481033843</v>
      </c>
      <c r="CR39" s="27">
        <f t="shared" ref="CR39" si="342">CR38+CQ39</f>
        <v>159966.66470238462</v>
      </c>
      <c r="CS39" s="27">
        <f t="shared" ref="CS39" si="343">CS38+CR39</f>
        <v>168077.73421774866</v>
      </c>
      <c r="CT39" s="27">
        <f t="shared" ref="CT39" si="344">CT38+CS39</f>
        <v>176215.35452038614</v>
      </c>
      <c r="CU39" s="27">
        <f t="shared" ref="CU39" si="345">CU38+CT39</f>
        <v>181986.6970682813</v>
      </c>
      <c r="CV39" s="27">
        <f t="shared" ref="CV39" si="346">CV38+CU39</f>
        <v>190177.68474834712</v>
      </c>
      <c r="CW39" s="27">
        <f t="shared" ref="CW39" si="347">CW38+CV39</f>
        <v>198395.48960956873</v>
      </c>
      <c r="CX39" s="27">
        <f t="shared" ref="CX39" si="348">CX38+CW39</f>
        <v>204247.28399790995</v>
      </c>
      <c r="CY39" s="27">
        <f t="shared" ref="CY39" si="349">CY38+CX39</f>
        <v>212518.99169122335</v>
      </c>
      <c r="CZ39" s="27">
        <f t="shared" ref="CZ39:DA39" si="350">CZ38+CY39</f>
        <v>220817.78563240333</v>
      </c>
      <c r="DA39" s="27">
        <f t="shared" si="350"/>
        <v>226750.8390643028</v>
      </c>
      <c r="DB39" s="27">
        <f t="shared" ref="DB39" si="351">DB38+DA39</f>
        <v>235104.07666465297</v>
      </c>
      <c r="DC39" s="27">
        <f t="shared" ref="DC39" si="352">DC38+DB39</f>
        <v>243484.67227922654</v>
      </c>
      <c r="DD39" s="27">
        <f t="shared" ref="DD39" si="353">DD38+DC39</f>
        <v>249499.80005676422</v>
      </c>
      <c r="DE39" s="27">
        <f t="shared" ref="DE39" si="354">DE38+DD39</f>
        <v>257935.38558390472</v>
      </c>
      <c r="DF39" s="27">
        <f t="shared" ref="DF39" si="355">DF38+DE39</f>
        <v>266398.60361835791</v>
      </c>
      <c r="DG39" s="27">
        <f t="shared" ref="DG39" si="356">DG38+DF39</f>
        <v>272496.62922384153</v>
      </c>
      <c r="DH39" s="27">
        <f t="shared" ref="DH39" si="357">DH38+DG39</f>
        <v>281015.38890502107</v>
      </c>
      <c r="DI39" s="27">
        <f t="shared" ref="DI39" si="358">DI38+DH39</f>
        <v>289499.04491774947</v>
      </c>
    </row>
    <row r="40" spans="2:113" s="6" customFormat="1" x14ac:dyDescent="0.3">
      <c r="B40" s="107" t="s">
        <v>213</v>
      </c>
      <c r="D40" s="187">
        <f>SUM(F40:DI40)</f>
        <v>46477</v>
      </c>
      <c r="F40" s="187">
        <f>IF(AND(F39&gt;0,E39&lt;0),$F$9:$DI$9,0)</f>
        <v>0</v>
      </c>
      <c r="G40" s="187">
        <f t="shared" ref="G40:BR40" si="359">IF(AND(G39&gt;0,F39&lt;0),$F$9:$DI$9,0)</f>
        <v>0</v>
      </c>
      <c r="H40" s="187">
        <f t="shared" si="359"/>
        <v>0</v>
      </c>
      <c r="I40" s="187">
        <f t="shared" si="359"/>
        <v>0</v>
      </c>
      <c r="J40" s="187">
        <f t="shared" si="359"/>
        <v>0</v>
      </c>
      <c r="K40" s="187">
        <f t="shared" si="359"/>
        <v>0</v>
      </c>
      <c r="L40" s="187">
        <f t="shared" si="359"/>
        <v>0</v>
      </c>
      <c r="M40" s="187">
        <f t="shared" si="359"/>
        <v>0</v>
      </c>
      <c r="N40" s="187">
        <f t="shared" si="359"/>
        <v>0</v>
      </c>
      <c r="O40" s="187">
        <f t="shared" si="359"/>
        <v>0</v>
      </c>
      <c r="P40" s="187">
        <f t="shared" si="359"/>
        <v>0</v>
      </c>
      <c r="Q40" s="187">
        <f t="shared" si="359"/>
        <v>0</v>
      </c>
      <c r="R40" s="187">
        <f t="shared" si="359"/>
        <v>0</v>
      </c>
      <c r="S40" s="187">
        <f t="shared" si="359"/>
        <v>0</v>
      </c>
      <c r="T40" s="187">
        <f t="shared" si="359"/>
        <v>0</v>
      </c>
      <c r="U40" s="187">
        <f t="shared" si="359"/>
        <v>0</v>
      </c>
      <c r="V40" s="187">
        <f t="shared" si="359"/>
        <v>0</v>
      </c>
      <c r="W40" s="187">
        <f t="shared" si="359"/>
        <v>0</v>
      </c>
      <c r="X40" s="187">
        <f t="shared" si="359"/>
        <v>0</v>
      </c>
      <c r="Y40" s="187">
        <f t="shared" si="359"/>
        <v>0</v>
      </c>
      <c r="Z40" s="187">
        <f t="shared" si="359"/>
        <v>0</v>
      </c>
      <c r="AA40" s="187">
        <f>IF(AND(AA39&gt;0,Z39&lt;0),$F$9:$DI$9,0)</f>
        <v>0</v>
      </c>
      <c r="AB40" s="187">
        <f t="shared" si="359"/>
        <v>0</v>
      </c>
      <c r="AC40" s="187">
        <f t="shared" si="359"/>
        <v>0</v>
      </c>
      <c r="AD40" s="187">
        <f t="shared" si="359"/>
        <v>0</v>
      </c>
      <c r="AE40" s="187">
        <f t="shared" si="359"/>
        <v>0</v>
      </c>
      <c r="AF40" s="187">
        <f t="shared" si="359"/>
        <v>0</v>
      </c>
      <c r="AG40" s="187">
        <f t="shared" si="359"/>
        <v>0</v>
      </c>
      <c r="AH40" s="187">
        <f t="shared" si="359"/>
        <v>0</v>
      </c>
      <c r="AI40" s="187">
        <f t="shared" si="359"/>
        <v>0</v>
      </c>
      <c r="AJ40" s="187">
        <f t="shared" si="359"/>
        <v>0</v>
      </c>
      <c r="AK40" s="187">
        <f t="shared" si="359"/>
        <v>0</v>
      </c>
      <c r="AL40" s="187">
        <f t="shared" si="359"/>
        <v>0</v>
      </c>
      <c r="AM40" s="187">
        <f t="shared" si="359"/>
        <v>0</v>
      </c>
      <c r="AN40" s="187">
        <f t="shared" si="359"/>
        <v>0</v>
      </c>
      <c r="AO40" s="187">
        <f t="shared" si="359"/>
        <v>0</v>
      </c>
      <c r="AP40" s="187">
        <f t="shared" si="359"/>
        <v>0</v>
      </c>
      <c r="AQ40" s="187">
        <f t="shared" si="359"/>
        <v>0</v>
      </c>
      <c r="AR40" s="187">
        <f t="shared" si="359"/>
        <v>0</v>
      </c>
      <c r="AS40" s="187">
        <f t="shared" si="359"/>
        <v>0</v>
      </c>
      <c r="AT40" s="187">
        <f t="shared" si="359"/>
        <v>0</v>
      </c>
      <c r="AU40" s="187">
        <f t="shared" si="359"/>
        <v>0</v>
      </c>
      <c r="AV40" s="187">
        <f t="shared" si="359"/>
        <v>0</v>
      </c>
      <c r="AW40" s="187">
        <f t="shared" si="359"/>
        <v>0</v>
      </c>
      <c r="AX40" s="187">
        <f t="shared" si="359"/>
        <v>0</v>
      </c>
      <c r="AY40" s="187">
        <f t="shared" si="359"/>
        <v>0</v>
      </c>
      <c r="AZ40" s="187">
        <f t="shared" si="359"/>
        <v>0</v>
      </c>
      <c r="BA40" s="187">
        <f t="shared" si="359"/>
        <v>0</v>
      </c>
      <c r="BB40" s="187">
        <f t="shared" si="359"/>
        <v>0</v>
      </c>
      <c r="BC40" s="187">
        <f t="shared" si="359"/>
        <v>0</v>
      </c>
      <c r="BD40" s="187">
        <f t="shared" si="359"/>
        <v>0</v>
      </c>
      <c r="BE40" s="187">
        <f t="shared" si="359"/>
        <v>0</v>
      </c>
      <c r="BF40" s="187">
        <f t="shared" si="359"/>
        <v>0</v>
      </c>
      <c r="BG40" s="187">
        <f t="shared" si="359"/>
        <v>0</v>
      </c>
      <c r="BH40" s="187">
        <f t="shared" si="359"/>
        <v>0</v>
      </c>
      <c r="BI40" s="187">
        <f t="shared" si="359"/>
        <v>0</v>
      </c>
      <c r="BJ40" s="187">
        <f t="shared" si="359"/>
        <v>0</v>
      </c>
      <c r="BK40" s="187">
        <f t="shared" si="359"/>
        <v>0</v>
      </c>
      <c r="BL40" s="187">
        <f t="shared" si="359"/>
        <v>0</v>
      </c>
      <c r="BM40" s="187">
        <f t="shared" si="359"/>
        <v>0</v>
      </c>
      <c r="BN40" s="187">
        <f t="shared" si="359"/>
        <v>0</v>
      </c>
      <c r="BO40" s="187">
        <f t="shared" si="359"/>
        <v>0</v>
      </c>
      <c r="BP40" s="187">
        <f t="shared" si="359"/>
        <v>0</v>
      </c>
      <c r="BQ40" s="187">
        <f t="shared" si="359"/>
        <v>0</v>
      </c>
      <c r="BR40" s="187">
        <f t="shared" si="359"/>
        <v>0</v>
      </c>
      <c r="BS40" s="187">
        <f t="shared" ref="BS40:DI40" si="360">IF(AND(BS39&gt;0,BR39&lt;0),$F$9:$DI$9,0)</f>
        <v>0</v>
      </c>
      <c r="BT40" s="187">
        <f t="shared" si="360"/>
        <v>0</v>
      </c>
      <c r="BU40" s="187">
        <f t="shared" si="360"/>
        <v>0</v>
      </c>
      <c r="BV40" s="187">
        <f t="shared" si="360"/>
        <v>46477</v>
      </c>
      <c r="BW40" s="187">
        <f t="shared" si="360"/>
        <v>0</v>
      </c>
      <c r="BX40" s="187">
        <f t="shared" si="360"/>
        <v>0</v>
      </c>
      <c r="BY40" s="187">
        <f t="shared" si="360"/>
        <v>0</v>
      </c>
      <c r="BZ40" s="187">
        <f t="shared" si="360"/>
        <v>0</v>
      </c>
      <c r="CA40" s="187">
        <f t="shared" si="360"/>
        <v>0</v>
      </c>
      <c r="CB40" s="187">
        <f t="shared" si="360"/>
        <v>0</v>
      </c>
      <c r="CC40" s="187">
        <f t="shared" si="360"/>
        <v>0</v>
      </c>
      <c r="CD40" s="187">
        <f t="shared" si="360"/>
        <v>0</v>
      </c>
      <c r="CE40" s="187">
        <f t="shared" si="360"/>
        <v>0</v>
      </c>
      <c r="CF40" s="187">
        <f t="shared" si="360"/>
        <v>0</v>
      </c>
      <c r="CG40" s="187">
        <f t="shared" si="360"/>
        <v>0</v>
      </c>
      <c r="CH40" s="187">
        <f t="shared" si="360"/>
        <v>0</v>
      </c>
      <c r="CI40" s="187">
        <f t="shared" si="360"/>
        <v>0</v>
      </c>
      <c r="CJ40" s="187">
        <f t="shared" si="360"/>
        <v>0</v>
      </c>
      <c r="CK40" s="187">
        <f t="shared" si="360"/>
        <v>0</v>
      </c>
      <c r="CL40" s="187">
        <f t="shared" si="360"/>
        <v>0</v>
      </c>
      <c r="CM40" s="187">
        <f t="shared" si="360"/>
        <v>0</v>
      </c>
      <c r="CN40" s="187">
        <f t="shared" si="360"/>
        <v>0</v>
      </c>
      <c r="CO40" s="187">
        <f t="shared" si="360"/>
        <v>0</v>
      </c>
      <c r="CP40" s="187">
        <f t="shared" si="360"/>
        <v>0</v>
      </c>
      <c r="CQ40" s="187">
        <f t="shared" si="360"/>
        <v>0</v>
      </c>
      <c r="CR40" s="187">
        <f t="shared" si="360"/>
        <v>0</v>
      </c>
      <c r="CS40" s="187">
        <f t="shared" si="360"/>
        <v>0</v>
      </c>
      <c r="CT40" s="187">
        <f t="shared" si="360"/>
        <v>0</v>
      </c>
      <c r="CU40" s="187">
        <f t="shared" si="360"/>
        <v>0</v>
      </c>
      <c r="CV40" s="187">
        <f t="shared" si="360"/>
        <v>0</v>
      </c>
      <c r="CW40" s="187">
        <f t="shared" si="360"/>
        <v>0</v>
      </c>
      <c r="CX40" s="187">
        <f t="shared" si="360"/>
        <v>0</v>
      </c>
      <c r="CY40" s="187">
        <f t="shared" si="360"/>
        <v>0</v>
      </c>
      <c r="CZ40" s="187">
        <f t="shared" si="360"/>
        <v>0</v>
      </c>
      <c r="DA40" s="187">
        <f t="shared" si="360"/>
        <v>0</v>
      </c>
      <c r="DB40" s="187">
        <f t="shared" si="360"/>
        <v>0</v>
      </c>
      <c r="DC40" s="187">
        <f t="shared" si="360"/>
        <v>0</v>
      </c>
      <c r="DD40" s="187">
        <f t="shared" si="360"/>
        <v>0</v>
      </c>
      <c r="DE40" s="187">
        <f t="shared" si="360"/>
        <v>0</v>
      </c>
      <c r="DF40" s="187">
        <f t="shared" si="360"/>
        <v>0</v>
      </c>
      <c r="DG40" s="187">
        <f t="shared" si="360"/>
        <v>0</v>
      </c>
      <c r="DH40" s="187">
        <f t="shared" si="360"/>
        <v>0</v>
      </c>
      <c r="DI40" s="187">
        <f t="shared" si="360"/>
        <v>0</v>
      </c>
    </row>
    <row r="41" spans="2:113" s="186" customFormat="1" x14ac:dyDescent="0.3">
      <c r="B41" s="185" t="s">
        <v>203</v>
      </c>
      <c r="D41" s="31"/>
      <c r="F41" s="186">
        <v>1</v>
      </c>
      <c r="G41" s="186">
        <f t="shared" ref="G41:AL41" si="361">F41/(1+WACC/12)</f>
        <v>0.98975942113378756</v>
      </c>
      <c r="H41" s="186">
        <f t="shared" si="361"/>
        <v>0.97962371172309026</v>
      </c>
      <c r="I41" s="186">
        <f t="shared" si="361"/>
        <v>0.9695917978439782</v>
      </c>
      <c r="J41" s="186">
        <f t="shared" si="361"/>
        <v>0.95966261657012419</v>
      </c>
      <c r="K41" s="186">
        <f t="shared" si="361"/>
        <v>0.9498351158601821</v>
      </c>
      <c r="L41" s="186">
        <f t="shared" si="361"/>
        <v>0.94010825444631785</v>
      </c>
      <c r="M41" s="186">
        <f t="shared" si="361"/>
        <v>0.93048100172388304</v>
      </c>
      <c r="N41" s="186">
        <f t="shared" si="361"/>
        <v>0.92095233764221729</v>
      </c>
      <c r="O41" s="186">
        <f t="shared" si="361"/>
        <v>0.91152125259656946</v>
      </c>
      <c r="P41" s="186">
        <f t="shared" si="361"/>
        <v>0.90218674732112558</v>
      </c>
      <c r="Q41" s="186">
        <f t="shared" si="361"/>
        <v>0.89294783278313195</v>
      </c>
      <c r="R41" s="186">
        <f t="shared" si="361"/>
        <v>0.88380353007810286</v>
      </c>
      <c r="S41" s="186">
        <f t="shared" si="361"/>
        <v>0.87475287032610116</v>
      </c>
      <c r="T41" s="186">
        <f t="shared" si="361"/>
        <v>0.86579489456908099</v>
      </c>
      <c r="U41" s="186">
        <f t="shared" si="361"/>
        <v>0.85692865366928228</v>
      </c>
      <c r="V41" s="186">
        <f t="shared" si="361"/>
        <v>0.8481532082086648</v>
      </c>
      <c r="W41" s="186">
        <f t="shared" si="361"/>
        <v>0.83946762838937283</v>
      </c>
      <c r="X41" s="186">
        <f t="shared" si="361"/>
        <v>0.83087099393521913</v>
      </c>
      <c r="Y41" s="186">
        <f t="shared" si="361"/>
        <v>0.82236239399417721</v>
      </c>
      <c r="Z41" s="186">
        <f t="shared" si="361"/>
        <v>0.8139409270418726</v>
      </c>
      <c r="AA41" s="186">
        <f t="shared" si="361"/>
        <v>0.8056057007860622</v>
      </c>
      <c r="AB41" s="186">
        <f t="shared" si="361"/>
        <v>0.79735583207209215</v>
      </c>
      <c r="AC41" s="186">
        <f t="shared" si="361"/>
        <v>0.78919044678932349</v>
      </c>
      <c r="AD41" s="186">
        <f t="shared" si="361"/>
        <v>0.78110867977851595</v>
      </c>
      <c r="AE41" s="186">
        <f t="shared" si="361"/>
        <v>0.77310967474016101</v>
      </c>
      <c r="AF41" s="186">
        <f t="shared" si="361"/>
        <v>0.76519258414375257</v>
      </c>
      <c r="AG41" s="186">
        <f t="shared" si="361"/>
        <v>0.75735656913798755</v>
      </c>
      <c r="AH41" s="186">
        <f t="shared" si="361"/>
        <v>0.74960079946188596</v>
      </c>
      <c r="AI41" s="186">
        <f t="shared" si="361"/>
        <v>0.74192445335682067</v>
      </c>
      <c r="AJ41" s="186">
        <f t="shared" si="361"/>
        <v>0.73432671747944855</v>
      </c>
      <c r="AK41" s="186">
        <f t="shared" si="361"/>
        <v>0.72680678681553335</v>
      </c>
      <c r="AL41" s="186">
        <f t="shared" si="361"/>
        <v>0.7193638645946504</v>
      </c>
      <c r="AM41" s="186">
        <f t="shared" ref="AM41:BR41" si="362">AL41/(1+WACC/12)</f>
        <v>0.71199716220576559</v>
      </c>
      <c r="AN41" s="186">
        <f t="shared" si="362"/>
        <v>0.70470589911367798</v>
      </c>
      <c r="AO41" s="186">
        <f t="shared" si="362"/>
        <v>0.69748930277631926</v>
      </c>
      <c r="AP41" s="186">
        <f t="shared" si="362"/>
        <v>0.69034660856289887</v>
      </c>
      <c r="AQ41" s="186">
        <f t="shared" si="362"/>
        <v>0.68327705967288821</v>
      </c>
      <c r="AR41" s="186">
        <f t="shared" si="362"/>
        <v>0.6762799070558343</v>
      </c>
      <c r="AS41" s="186">
        <f t="shared" si="362"/>
        <v>0.66935440933199419</v>
      </c>
      <c r="AT41" s="186">
        <f t="shared" si="362"/>
        <v>0.66249983271378288</v>
      </c>
      <c r="AU41" s="186">
        <f t="shared" si="362"/>
        <v>0.65571545092802486</v>
      </c>
      <c r="AV41" s="186">
        <f t="shared" si="362"/>
        <v>0.6490005451390024</v>
      </c>
      <c r="AW41" s="186">
        <f t="shared" si="362"/>
        <v>0.64235440387229159</v>
      </c>
      <c r="AX41" s="186">
        <f t="shared" si="362"/>
        <v>0.63577632293937847</v>
      </c>
      <c r="AY41" s="186">
        <f t="shared" si="362"/>
        <v>0.62926560536304721</v>
      </c>
      <c r="AZ41" s="186">
        <f t="shared" si="362"/>
        <v>0.62282156130353206</v>
      </c>
      <c r="BA41" s="186">
        <f t="shared" si="362"/>
        <v>0.61644350798542569</v>
      </c>
      <c r="BB41" s="186">
        <f t="shared" si="362"/>
        <v>0.6101307696253363</v>
      </c>
      <c r="BC41" s="186">
        <f t="shared" si="362"/>
        <v>0.60388267736028511</v>
      </c>
      <c r="BD41" s="186">
        <f t="shared" si="362"/>
        <v>0.59769856917683761</v>
      </c>
      <c r="BE41" s="186">
        <f t="shared" si="362"/>
        <v>0.59157778984095988</v>
      </c>
      <c r="BF41" s="186">
        <f t="shared" si="362"/>
        <v>0.5855196908285939</v>
      </c>
      <c r="BG41" s="186">
        <f t="shared" si="362"/>
        <v>0.57952363025694342</v>
      </c>
      <c r="BH41" s="186">
        <f t="shared" si="362"/>
        <v>0.57358897281646348</v>
      </c>
      <c r="BI41" s="186">
        <f t="shared" si="362"/>
        <v>0.56771508970354667</v>
      </c>
      <c r="BJ41" s="186">
        <f t="shared" si="362"/>
        <v>0.56190135855389867</v>
      </c>
      <c r="BK41" s="186">
        <f t="shared" si="362"/>
        <v>0.55614716337659553</v>
      </c>
      <c r="BL41" s="186">
        <f t="shared" si="362"/>
        <v>0.55045189448881715</v>
      </c>
      <c r="BM41" s="186">
        <f t="shared" si="362"/>
        <v>0.54481494845124834</v>
      </c>
      <c r="BN41" s="186">
        <f t="shared" si="362"/>
        <v>0.53923572800414188</v>
      </c>
      <c r="BO41" s="186">
        <f t="shared" si="362"/>
        <v>0.53371364200403604</v>
      </c>
      <c r="BP41" s="186">
        <f t="shared" si="362"/>
        <v>0.52824810536112021</v>
      </c>
      <c r="BQ41" s="186">
        <f t="shared" si="362"/>
        <v>0.52283853897724242</v>
      </c>
      <c r="BR41" s="186">
        <f t="shared" si="362"/>
        <v>0.51748436968455069</v>
      </c>
      <c r="BS41" s="186">
        <f t="shared" ref="BS41:CX41" si="363">BR41/(1+WACC/12)</f>
        <v>0.5121850301847638</v>
      </c>
      <c r="BT41" s="186">
        <f t="shared" si="363"/>
        <v>0.5069399589890633</v>
      </c>
      <c r="BU41" s="186">
        <f t="shared" si="363"/>
        <v>0.50174860035860136</v>
      </c>
      <c r="BV41" s="186">
        <f t="shared" si="363"/>
        <v>0.49661040424561742</v>
      </c>
      <c r="BW41" s="186">
        <f t="shared" si="363"/>
        <v>0.49152482623515853</v>
      </c>
      <c r="BX41" s="186">
        <f t="shared" si="363"/>
        <v>0.48649132748739604</v>
      </c>
      <c r="BY41" s="186">
        <f t="shared" si="363"/>
        <v>0.48150937468053301</v>
      </c>
      <c r="BZ41" s="186">
        <f t="shared" si="363"/>
        <v>0.47657843995429638</v>
      </c>
      <c r="CA41" s="186">
        <f t="shared" si="363"/>
        <v>0.47169800085400793</v>
      </c>
      <c r="CB41" s="186">
        <f t="shared" si="363"/>
        <v>0.4668675402752277</v>
      </c>
      <c r="CC41" s="186">
        <f t="shared" si="363"/>
        <v>0.46208654640896463</v>
      </c>
      <c r="CD41" s="186">
        <f t="shared" si="363"/>
        <v>0.45735451268744792</v>
      </c>
      <c r="CE41" s="186">
        <f t="shared" si="363"/>
        <v>0.45267093773045397</v>
      </c>
      <c r="CF41" s="186">
        <f t="shared" si="363"/>
        <v>0.44803532529218293</v>
      </c>
      <c r="CG41" s="186">
        <f t="shared" si="363"/>
        <v>0.44344718420867918</v>
      </c>
      <c r="CH41" s="186">
        <f t="shared" si="363"/>
        <v>0.4389060283457904</v>
      </c>
      <c r="CI41" s="186">
        <f t="shared" si="363"/>
        <v>0.43441137654765927</v>
      </c>
      <c r="CJ41" s="186">
        <f t="shared" si="363"/>
        <v>0.42996275258574307</v>
      </c>
      <c r="CK41" s="186">
        <f t="shared" si="363"/>
        <v>0.42555968510835501</v>
      </c>
      <c r="CL41" s="186">
        <f t="shared" si="363"/>
        <v>0.4212017075907224</v>
      </c>
      <c r="CM41" s="186">
        <f t="shared" si="363"/>
        <v>0.41688835828555626</v>
      </c>
      <c r="CN41" s="186">
        <f t="shared" si="363"/>
        <v>0.41261918017412719</v>
      </c>
      <c r="CO41" s="186">
        <f t="shared" si="363"/>
        <v>0.40839372091784215</v>
      </c>
      <c r="CP41" s="186">
        <f t="shared" si="363"/>
        <v>0.40421153281031702</v>
      </c>
      <c r="CQ41" s="186">
        <f t="shared" si="363"/>
        <v>0.40007217272994033</v>
      </c>
      <c r="CR41" s="186">
        <f t="shared" si="363"/>
        <v>0.39597520209292242</v>
      </c>
      <c r="CS41" s="186">
        <f t="shared" si="363"/>
        <v>0.39192018680682544</v>
      </c>
      <c r="CT41" s="186">
        <f t="shared" si="363"/>
        <v>0.38790669722456944</v>
      </c>
      <c r="CU41" s="186">
        <f t="shared" si="363"/>
        <v>0.38393430809890927</v>
      </c>
      <c r="CV41" s="186">
        <f t="shared" si="363"/>
        <v>0.38000259853737767</v>
      </c>
      <c r="CW41" s="186">
        <f t="shared" si="363"/>
        <v>0.37611115195769002</v>
      </c>
      <c r="CX41" s="186">
        <f t="shared" si="363"/>
        <v>0.37225955604360528</v>
      </c>
      <c r="CY41" s="186">
        <f t="shared" ref="CY41:DI41" si="364">CX41/(1+WACC/12)</f>
        <v>0.36844740270123949</v>
      </c>
      <c r="CZ41" s="186">
        <f t="shared" si="364"/>
        <v>0.3646742880158263</v>
      </c>
      <c r="DA41" s="186">
        <f t="shared" si="364"/>
        <v>0.36093981220892035</v>
      </c>
      <c r="DB41" s="186">
        <f t="shared" si="364"/>
        <v>0.35724357959603903</v>
      </c>
      <c r="DC41" s="186">
        <f t="shared" si="364"/>
        <v>0.35358519854473774</v>
      </c>
      <c r="DD41" s="186">
        <f t="shared" si="364"/>
        <v>0.34996428143311498</v>
      </c>
      <c r="DE41" s="186">
        <f t="shared" si="364"/>
        <v>0.34638044460874179</v>
      </c>
      <c r="DF41" s="186">
        <f t="shared" si="364"/>
        <v>0.34283330834801223</v>
      </c>
      <c r="DG41" s="186">
        <f t="shared" si="364"/>
        <v>0.33932249681590987</v>
      </c>
      <c r="DH41" s="186">
        <f t="shared" si="364"/>
        <v>0.33584763802618645</v>
      </c>
      <c r="DI41" s="186">
        <f t="shared" si="364"/>
        <v>0.3324083638019481</v>
      </c>
    </row>
    <row r="42" spans="2:113" x14ac:dyDescent="0.3">
      <c r="B42" s="107" t="s">
        <v>197</v>
      </c>
      <c r="D42" s="27">
        <f>SUM(F42:DI42)</f>
        <v>87124.619797776031</v>
      </c>
      <c r="F42" s="27">
        <f t="shared" ref="F42:AK42" si="365">F38*F41</f>
        <v>-39325.026379959483</v>
      </c>
      <c r="G42" s="27">
        <f t="shared" si="365"/>
        <v>-4241.7614673006692</v>
      </c>
      <c r="H42" s="27">
        <f t="shared" si="365"/>
        <v>-3756.4136527733776</v>
      </c>
      <c r="I42" s="27">
        <f t="shared" si="365"/>
        <v>-6171.7906959174961</v>
      </c>
      <c r="J42" s="27">
        <f t="shared" si="365"/>
        <v>-2804.056780025056</v>
      </c>
      <c r="K42" s="27">
        <f t="shared" si="365"/>
        <v>-2332.498691228026</v>
      </c>
      <c r="L42" s="27">
        <f t="shared" si="365"/>
        <v>-4674.9195430330565</v>
      </c>
      <c r="M42" s="27">
        <f t="shared" si="365"/>
        <v>-1521.8283434235389</v>
      </c>
      <c r="N42" s="27">
        <f t="shared" si="365"/>
        <v>-1160.3281672227497</v>
      </c>
      <c r="O42" s="27">
        <f t="shared" si="365"/>
        <v>-3282.4096487733564</v>
      </c>
      <c r="P42" s="27">
        <f t="shared" si="365"/>
        <v>-443.49956637896253</v>
      </c>
      <c r="Q42" s="27">
        <f t="shared" si="365"/>
        <v>-102.05477747348787</v>
      </c>
      <c r="R42" s="27">
        <f t="shared" si="365"/>
        <v>-1194.6450466071581</v>
      </c>
      <c r="S42" s="27">
        <f t="shared" si="365"/>
        <v>784.83864848442317</v>
      </c>
      <c r="T42" s="27">
        <f t="shared" si="365"/>
        <v>815.87057144755863</v>
      </c>
      <c r="U42" s="27">
        <f t="shared" si="365"/>
        <v>-1618.1116755518626</v>
      </c>
      <c r="V42" s="27">
        <f t="shared" si="365"/>
        <v>460.98241530379306</v>
      </c>
      <c r="W42" s="27">
        <f t="shared" si="365"/>
        <v>488.99629909705868</v>
      </c>
      <c r="X42" s="27">
        <f t="shared" si="365"/>
        <v>-1471.7092821777655</v>
      </c>
      <c r="Y42" s="27">
        <f t="shared" si="365"/>
        <v>543.48860327700095</v>
      </c>
      <c r="Z42" s="27">
        <f t="shared" si="365"/>
        <v>569.98062653793409</v>
      </c>
      <c r="AA42" s="27">
        <f t="shared" si="365"/>
        <v>-1331.7687809583565</v>
      </c>
      <c r="AB42" s="27">
        <f t="shared" si="365"/>
        <v>621.48982040838939</v>
      </c>
      <c r="AC42" s="27">
        <f t="shared" si="365"/>
        <v>646.52011591155383</v>
      </c>
      <c r="AD42" s="27">
        <f t="shared" si="365"/>
        <v>-1198.0521095028691</v>
      </c>
      <c r="AE42" s="27">
        <f t="shared" si="365"/>
        <v>695.16433409142883</v>
      </c>
      <c r="AF42" s="27">
        <f t="shared" si="365"/>
        <v>718.79091954628643</v>
      </c>
      <c r="AG42" s="27">
        <f t="shared" si="365"/>
        <v>-1070.3293040903873</v>
      </c>
      <c r="AH42" s="27">
        <f t="shared" si="365"/>
        <v>764.68413727508323</v>
      </c>
      <c r="AI42" s="27">
        <f t="shared" si="365"/>
        <v>786.96298556683928</v>
      </c>
      <c r="AJ42" s="27">
        <f t="shared" si="365"/>
        <v>-948.37823562694098</v>
      </c>
      <c r="AK42" s="27">
        <f t="shared" si="365"/>
        <v>830.21515691186323</v>
      </c>
      <c r="AL42" s="27">
        <f t="shared" ref="AL42:BQ42" si="366">AL38*AL41</f>
        <v>851.20026408390697</v>
      </c>
      <c r="AM42" s="27">
        <f t="shared" si="366"/>
        <v>-831.98435399933533</v>
      </c>
      <c r="AN42" s="27">
        <f t="shared" si="366"/>
        <v>891.91745570229261</v>
      </c>
      <c r="AO42" s="27">
        <f t="shared" si="366"/>
        <v>911.66090675137912</v>
      </c>
      <c r="AP42" s="27">
        <f t="shared" si="366"/>
        <v>-720.94044056273572</v>
      </c>
      <c r="AQ42" s="27">
        <f t="shared" si="366"/>
        <v>949.94542734718061</v>
      </c>
      <c r="AR42" s="27">
        <f t="shared" si="366"/>
        <v>968.49745990039958</v>
      </c>
      <c r="AS42" s="27">
        <f t="shared" si="366"/>
        <v>-615.04636850720283</v>
      </c>
      <c r="AT42" s="27">
        <f t="shared" si="366"/>
        <v>1004.4479855124714</v>
      </c>
      <c r="AU42" s="27">
        <f t="shared" si="366"/>
        <v>1021.8570514528012</v>
      </c>
      <c r="AV42" s="27">
        <f t="shared" si="366"/>
        <v>-514.10887085638399</v>
      </c>
      <c r="AW42" s="27">
        <f t="shared" si="366"/>
        <v>1055.5687467051318</v>
      </c>
      <c r="AX42" s="27">
        <f t="shared" si="366"/>
        <v>1071.8815718103692</v>
      </c>
      <c r="AY42" s="27">
        <f t="shared" si="366"/>
        <v>-417.94131585906257</v>
      </c>
      <c r="AZ42" s="27">
        <f t="shared" si="366"/>
        <v>1103.4462072523163</v>
      </c>
      <c r="BA42" s="27">
        <f t="shared" si="366"/>
        <v>1118.70784891011</v>
      </c>
      <c r="BB42" s="27">
        <f t="shared" si="366"/>
        <v>-326.36348954181454</v>
      </c>
      <c r="BC42" s="27">
        <f t="shared" si="366"/>
        <v>1148.2139145700623</v>
      </c>
      <c r="BD42" s="27">
        <f t="shared" si="366"/>
        <v>1162.4678176298326</v>
      </c>
      <c r="BE42" s="27">
        <f t="shared" si="366"/>
        <v>-239.20138519812764</v>
      </c>
      <c r="BF42" s="27">
        <f t="shared" si="366"/>
        <v>1190.00063290194</v>
      </c>
      <c r="BG42" s="27">
        <f t="shared" si="366"/>
        <v>1203.2886837225794</v>
      </c>
      <c r="BH42" s="27">
        <f t="shared" si="366"/>
        <v>-156.28699959642321</v>
      </c>
      <c r="BI42" s="27">
        <f t="shared" si="366"/>
        <v>1228.9305037025222</v>
      </c>
      <c r="BJ42" s="27">
        <f t="shared" si="366"/>
        <v>1241.2930824529303</v>
      </c>
      <c r="BK42" s="27">
        <f t="shared" si="366"/>
        <v>-77.458135695993093</v>
      </c>
      <c r="BL42" s="27">
        <f t="shared" si="366"/>
        <v>1265.1232008349946</v>
      </c>
      <c r="BM42" s="27">
        <f t="shared" si="366"/>
        <v>1276.5992321027159</v>
      </c>
      <c r="BN42" s="27">
        <f t="shared" si="366"/>
        <v>-2.5582116666442412</v>
      </c>
      <c r="BO42" s="27">
        <f t="shared" si="366"/>
        <v>1821.821745714735</v>
      </c>
      <c r="BP42" s="27">
        <f t="shared" si="366"/>
        <v>3901.5440410066267</v>
      </c>
      <c r="BQ42" s="27">
        <f t="shared" si="366"/>
        <v>2619.1570731232055</v>
      </c>
      <c r="BR42" s="27">
        <f t="shared" ref="BR42:CW42" si="367">BR38*BR41</f>
        <v>3843.1497773942606</v>
      </c>
      <c r="BS42" s="27">
        <f t="shared" si="367"/>
        <v>3816.2240325000848</v>
      </c>
      <c r="BT42" s="27">
        <f t="shared" si="367"/>
        <v>2576.4224706677851</v>
      </c>
      <c r="BU42" s="27">
        <f t="shared" si="367"/>
        <v>3762.9395561539291</v>
      </c>
      <c r="BV42" s="27">
        <f t="shared" si="367"/>
        <v>3736.5781519478137</v>
      </c>
      <c r="BW42" s="27">
        <f t="shared" si="367"/>
        <v>2534.224069880755</v>
      </c>
      <c r="BX42" s="27">
        <f t="shared" si="367"/>
        <v>3684.4104009963435</v>
      </c>
      <c r="BY42" s="27">
        <f t="shared" si="367"/>
        <v>3658.6014383380111</v>
      </c>
      <c r="BZ42" s="27">
        <f t="shared" si="367"/>
        <v>2492.5613504250141</v>
      </c>
      <c r="CA42" s="27">
        <f t="shared" si="367"/>
        <v>3607.5268687489888</v>
      </c>
      <c r="CB42" s="27">
        <f t="shared" si="367"/>
        <v>3582.2587015232984</v>
      </c>
      <c r="CC42" s="27">
        <f t="shared" si="367"/>
        <v>2451.4334813617306</v>
      </c>
      <c r="CD42" s="27">
        <f t="shared" si="367"/>
        <v>3532.2542698440998</v>
      </c>
      <c r="CE42" s="27">
        <f t="shared" si="367"/>
        <v>3507.5154995171297</v>
      </c>
      <c r="CF42" s="27">
        <f t="shared" si="367"/>
        <v>2410.8393373456443</v>
      </c>
      <c r="CG42" s="27">
        <f t="shared" si="367"/>
        <v>3458.5586521064752</v>
      </c>
      <c r="CH42" s="27">
        <f t="shared" si="367"/>
        <v>3434.3381224005971</v>
      </c>
      <c r="CI42" s="27">
        <f t="shared" si="367"/>
        <v>2370.7775141882466</v>
      </c>
      <c r="CJ42" s="27">
        <f t="shared" si="367"/>
        <v>3386.4067848956638</v>
      </c>
      <c r="CK42" s="27">
        <f t="shared" si="367"/>
        <v>3362.6935765809626</v>
      </c>
      <c r="CL42" s="27">
        <f t="shared" si="367"/>
        <v>2331.2463438110458</v>
      </c>
      <c r="CM42" s="27">
        <f t="shared" si="367"/>
        <v>3315.7661435945329</v>
      </c>
      <c r="CN42" s="27">
        <f t="shared" si="367"/>
        <v>3292.5495693939924</v>
      </c>
      <c r="CO42" s="27">
        <f t="shared" si="367"/>
        <v>2292.2439086101913</v>
      </c>
      <c r="CP42" s="27">
        <f t="shared" si="367"/>
        <v>3246.6048944366225</v>
      </c>
      <c r="CQ42" s="27">
        <f t="shared" si="367"/>
        <v>3223.8744940425254</v>
      </c>
      <c r="CR42" s="27">
        <f t="shared" si="367"/>
        <v>2253.7680552532338</v>
      </c>
      <c r="CS42" s="27">
        <f t="shared" si="367"/>
        <v>3178.8918796646185</v>
      </c>
      <c r="CT42" s="27">
        <f t="shared" si="367"/>
        <v>3156.6374148637028</v>
      </c>
      <c r="CU42" s="27">
        <f t="shared" si="367"/>
        <v>2215.8164079279222</v>
      </c>
      <c r="CV42" s="27">
        <f t="shared" si="367"/>
        <v>3112.5966030126597</v>
      </c>
      <c r="CW42" s="27">
        <f t="shared" si="367"/>
        <v>3090.8080529175618</v>
      </c>
      <c r="CX42" s="27">
        <f t="shared" ref="CX42:EC42" si="368">CX38*CX41</f>
        <v>2178.3863810623675</v>
      </c>
      <c r="CY42" s="27">
        <f t="shared" si="368"/>
        <v>3047.6892155051787</v>
      </c>
      <c r="CZ42" s="27">
        <f t="shared" si="368"/>
        <v>3026.3567718898662</v>
      </c>
      <c r="DA42" s="27">
        <f t="shared" si="368"/>
        <v>2141.4751915352872</v>
      </c>
      <c r="DB42" s="27">
        <f t="shared" si="368"/>
        <v>2984.1405015653227</v>
      </c>
      <c r="DC42" s="27">
        <f t="shared" si="368"/>
        <v>2963.2545643021513</v>
      </c>
      <c r="DD42" s="27">
        <f t="shared" si="368"/>
        <v>2105.0798703943487</v>
      </c>
      <c r="DE42" s="27">
        <f t="shared" si="368"/>
        <v>2921.9218654259971</v>
      </c>
      <c r="DF42" s="27">
        <f t="shared" si="368"/>
        <v>2901.4730380221517</v>
      </c>
      <c r="DG42" s="27">
        <f t="shared" si="368"/>
        <v>2069.1972741000468</v>
      </c>
      <c r="DH42" s="27">
        <f t="shared" si="368"/>
        <v>2861.0053178368653</v>
      </c>
      <c r="DI42" s="27">
        <f t="shared" si="368"/>
        <v>2820.0382142496092</v>
      </c>
    </row>
    <row r="43" spans="2:113" x14ac:dyDescent="0.3">
      <c r="B43" s="107" t="s">
        <v>215</v>
      </c>
      <c r="D43" s="27"/>
      <c r="F43" s="27">
        <f>F42</f>
        <v>-39325.026379959483</v>
      </c>
      <c r="G43" s="27">
        <f>F43+G42</f>
        <v>-43566.787847260151</v>
      </c>
      <c r="H43" s="27">
        <f t="shared" ref="H43:BS43" si="369">G43+H42</f>
        <v>-47323.20150003353</v>
      </c>
      <c r="I43" s="27">
        <f t="shared" si="369"/>
        <v>-53494.992195951025</v>
      </c>
      <c r="J43" s="27">
        <f t="shared" si="369"/>
        <v>-56299.048975976082</v>
      </c>
      <c r="K43" s="27">
        <f t="shared" si="369"/>
        <v>-58631.547667204111</v>
      </c>
      <c r="L43" s="27">
        <f t="shared" si="369"/>
        <v>-63306.46721023717</v>
      </c>
      <c r="M43" s="27">
        <f t="shared" si="369"/>
        <v>-64828.295553660711</v>
      </c>
      <c r="N43" s="27">
        <f t="shared" si="369"/>
        <v>-65988.623720883465</v>
      </c>
      <c r="O43" s="27">
        <f t="shared" si="369"/>
        <v>-69271.033369656827</v>
      </c>
      <c r="P43" s="27">
        <f t="shared" si="369"/>
        <v>-69714.532936035786</v>
      </c>
      <c r="Q43" s="27">
        <f t="shared" si="369"/>
        <v>-69816.587713509274</v>
      </c>
      <c r="R43" s="27">
        <f t="shared" si="369"/>
        <v>-71011.232760116429</v>
      </c>
      <c r="S43" s="27">
        <f t="shared" si="369"/>
        <v>-70226.394111632006</v>
      </c>
      <c r="T43" s="27">
        <f t="shared" si="369"/>
        <v>-69410.52354018444</v>
      </c>
      <c r="U43" s="27">
        <f t="shared" si="369"/>
        <v>-71028.6352157363</v>
      </c>
      <c r="V43" s="27">
        <f t="shared" si="369"/>
        <v>-70567.652800432508</v>
      </c>
      <c r="W43" s="27">
        <f t="shared" si="369"/>
        <v>-70078.656501335456</v>
      </c>
      <c r="X43" s="27">
        <f t="shared" si="369"/>
        <v>-71550.365783513218</v>
      </c>
      <c r="Y43" s="27">
        <f t="shared" si="369"/>
        <v>-71006.877180236217</v>
      </c>
      <c r="Z43" s="27">
        <f t="shared" si="369"/>
        <v>-70436.896553698287</v>
      </c>
      <c r="AA43" s="27">
        <f t="shared" si="369"/>
        <v>-71768.665334656645</v>
      </c>
      <c r="AB43" s="27">
        <f t="shared" si="369"/>
        <v>-71147.175514248258</v>
      </c>
      <c r="AC43" s="27">
        <f t="shared" si="369"/>
        <v>-70500.655398336705</v>
      </c>
      <c r="AD43" s="27">
        <f t="shared" si="369"/>
        <v>-71698.707507839572</v>
      </c>
      <c r="AE43" s="27">
        <f t="shared" si="369"/>
        <v>-71003.543173748141</v>
      </c>
      <c r="AF43" s="27">
        <f t="shared" si="369"/>
        <v>-70284.752254201856</v>
      </c>
      <c r="AG43" s="27">
        <f t="shared" si="369"/>
        <v>-71355.081558292237</v>
      </c>
      <c r="AH43" s="27">
        <f t="shared" si="369"/>
        <v>-70590.397421017158</v>
      </c>
      <c r="AI43" s="27">
        <f t="shared" si="369"/>
        <v>-69803.434435450312</v>
      </c>
      <c r="AJ43" s="27">
        <f t="shared" si="369"/>
        <v>-70751.812671077249</v>
      </c>
      <c r="AK43" s="27">
        <f t="shared" si="369"/>
        <v>-69921.597514165391</v>
      </c>
      <c r="AL43" s="27">
        <f t="shared" si="369"/>
        <v>-69070.397250081485</v>
      </c>
      <c r="AM43" s="27">
        <f t="shared" si="369"/>
        <v>-69902.381604080816</v>
      </c>
      <c r="AN43" s="27">
        <f t="shared" si="369"/>
        <v>-69010.464148378524</v>
      </c>
      <c r="AO43" s="27">
        <f t="shared" si="369"/>
        <v>-68098.803241627145</v>
      </c>
      <c r="AP43" s="27">
        <f t="shared" si="369"/>
        <v>-68819.743682189888</v>
      </c>
      <c r="AQ43" s="27">
        <f t="shared" si="369"/>
        <v>-67869.79825484271</v>
      </c>
      <c r="AR43" s="27">
        <f t="shared" si="369"/>
        <v>-66901.300794942304</v>
      </c>
      <c r="AS43" s="27">
        <f t="shared" si="369"/>
        <v>-67516.347163449507</v>
      </c>
      <c r="AT43" s="27">
        <f t="shared" si="369"/>
        <v>-66511.899177937041</v>
      </c>
      <c r="AU43" s="27">
        <f t="shared" si="369"/>
        <v>-65490.042126484237</v>
      </c>
      <c r="AV43" s="27">
        <f t="shared" si="369"/>
        <v>-66004.150997340621</v>
      </c>
      <c r="AW43" s="27">
        <f t="shared" si="369"/>
        <v>-64948.582250635489</v>
      </c>
      <c r="AX43" s="27">
        <f t="shared" si="369"/>
        <v>-63876.700678825116</v>
      </c>
      <c r="AY43" s="27">
        <f t="shared" si="369"/>
        <v>-64294.641994684178</v>
      </c>
      <c r="AZ43" s="27">
        <f t="shared" si="369"/>
        <v>-63191.195787431861</v>
      </c>
      <c r="BA43" s="27">
        <f t="shared" si="369"/>
        <v>-62072.48793852175</v>
      </c>
      <c r="BB43" s="27">
        <f t="shared" si="369"/>
        <v>-62398.851428063565</v>
      </c>
      <c r="BC43" s="27">
        <f t="shared" si="369"/>
        <v>-61250.637513493501</v>
      </c>
      <c r="BD43" s="27">
        <f t="shared" si="369"/>
        <v>-60088.169695863668</v>
      </c>
      <c r="BE43" s="27">
        <f t="shared" si="369"/>
        <v>-60327.371081061792</v>
      </c>
      <c r="BF43" s="27">
        <f t="shared" si="369"/>
        <v>-59137.370448159854</v>
      </c>
      <c r="BG43" s="27">
        <f t="shared" si="369"/>
        <v>-57934.081764437273</v>
      </c>
      <c r="BH43" s="27">
        <f t="shared" si="369"/>
        <v>-58090.368764033694</v>
      </c>
      <c r="BI43" s="27">
        <f t="shared" si="369"/>
        <v>-56861.438260331175</v>
      </c>
      <c r="BJ43" s="27">
        <f t="shared" si="369"/>
        <v>-55620.145177878243</v>
      </c>
      <c r="BK43" s="27">
        <f t="shared" si="369"/>
        <v>-55697.603313574233</v>
      </c>
      <c r="BL43" s="27">
        <f t="shared" si="369"/>
        <v>-54432.480112739235</v>
      </c>
      <c r="BM43" s="27">
        <f t="shared" si="369"/>
        <v>-53155.88088063652</v>
      </c>
      <c r="BN43" s="27">
        <f t="shared" si="369"/>
        <v>-53158.439092303161</v>
      </c>
      <c r="BO43" s="27">
        <f t="shared" si="369"/>
        <v>-51336.617346588428</v>
      </c>
      <c r="BP43" s="27">
        <f t="shared" si="369"/>
        <v>-47435.073305581798</v>
      </c>
      <c r="BQ43" s="27">
        <f t="shared" si="369"/>
        <v>-44815.916232458592</v>
      </c>
      <c r="BR43" s="27">
        <f t="shared" si="369"/>
        <v>-40972.766455064331</v>
      </c>
      <c r="BS43" s="27">
        <f t="shared" si="369"/>
        <v>-37156.542422564249</v>
      </c>
      <c r="BT43" s="27">
        <f t="shared" ref="BT43:DI43" si="370">BS43+BT42</f>
        <v>-34580.119951896464</v>
      </c>
      <c r="BU43" s="27">
        <f t="shared" si="370"/>
        <v>-30817.180395742536</v>
      </c>
      <c r="BV43" s="27">
        <f t="shared" si="370"/>
        <v>-27080.602243794721</v>
      </c>
      <c r="BW43" s="27">
        <f t="shared" si="370"/>
        <v>-24546.378173913967</v>
      </c>
      <c r="BX43" s="27">
        <f t="shared" si="370"/>
        <v>-20861.967772917622</v>
      </c>
      <c r="BY43" s="27">
        <f t="shared" si="370"/>
        <v>-17203.366334579612</v>
      </c>
      <c r="BZ43" s="27">
        <f t="shared" si="370"/>
        <v>-14710.804984154598</v>
      </c>
      <c r="CA43" s="27">
        <f t="shared" si="370"/>
        <v>-11103.27811540561</v>
      </c>
      <c r="CB43" s="27">
        <f t="shared" si="370"/>
        <v>-7521.0194138823117</v>
      </c>
      <c r="CC43" s="27">
        <f t="shared" si="370"/>
        <v>-5069.5859325205811</v>
      </c>
      <c r="CD43" s="27">
        <f t="shared" si="370"/>
        <v>-1537.3316626764813</v>
      </c>
      <c r="CE43" s="27">
        <f t="shared" si="370"/>
        <v>1970.1838368406484</v>
      </c>
      <c r="CF43" s="27">
        <f t="shared" si="370"/>
        <v>4381.0231741862926</v>
      </c>
      <c r="CG43" s="27">
        <f>CF43+CG42</f>
        <v>7839.5818262927678</v>
      </c>
      <c r="CH43" s="27">
        <f t="shared" si="370"/>
        <v>11273.919948693365</v>
      </c>
      <c r="CI43" s="27">
        <f t="shared" si="370"/>
        <v>13644.697462881612</v>
      </c>
      <c r="CJ43" s="27">
        <f t="shared" si="370"/>
        <v>17031.104247777275</v>
      </c>
      <c r="CK43" s="27">
        <f t="shared" si="370"/>
        <v>20393.797824358237</v>
      </c>
      <c r="CL43" s="27">
        <f t="shared" si="370"/>
        <v>22725.044168169283</v>
      </c>
      <c r="CM43" s="27">
        <f t="shared" si="370"/>
        <v>26040.810311763817</v>
      </c>
      <c r="CN43" s="27">
        <f t="shared" si="370"/>
        <v>29333.359881157809</v>
      </c>
      <c r="CO43" s="27">
        <f t="shared" si="370"/>
        <v>31625.603789768</v>
      </c>
      <c r="CP43" s="27">
        <f t="shared" si="370"/>
        <v>34872.208684204619</v>
      </c>
      <c r="CQ43" s="27">
        <f t="shared" si="370"/>
        <v>38096.083178247143</v>
      </c>
      <c r="CR43" s="27">
        <f t="shared" si="370"/>
        <v>40349.851233500376</v>
      </c>
      <c r="CS43" s="27">
        <f t="shared" si="370"/>
        <v>43528.743113164994</v>
      </c>
      <c r="CT43" s="27">
        <f t="shared" si="370"/>
        <v>46685.380528028698</v>
      </c>
      <c r="CU43" s="27">
        <f t="shared" si="370"/>
        <v>48901.196935956621</v>
      </c>
      <c r="CV43" s="27">
        <f t="shared" si="370"/>
        <v>52013.793538969279</v>
      </c>
      <c r="CW43" s="27">
        <f t="shared" si="370"/>
        <v>55104.601591886843</v>
      </c>
      <c r="CX43" s="27">
        <f t="shared" si="370"/>
        <v>57282.98797294921</v>
      </c>
      <c r="CY43" s="27">
        <f t="shared" si="370"/>
        <v>60330.677188454385</v>
      </c>
      <c r="CZ43" s="27">
        <f t="shared" si="370"/>
        <v>63357.033960344248</v>
      </c>
      <c r="DA43" s="27">
        <f t="shared" si="370"/>
        <v>65498.509151879538</v>
      </c>
      <c r="DB43" s="27">
        <f t="shared" si="370"/>
        <v>68482.649653444867</v>
      </c>
      <c r="DC43" s="27">
        <f t="shared" si="370"/>
        <v>71445.904217747011</v>
      </c>
      <c r="DD43" s="27">
        <f t="shared" si="370"/>
        <v>73550.984088141355</v>
      </c>
      <c r="DE43" s="27">
        <f t="shared" si="370"/>
        <v>76472.905953567359</v>
      </c>
      <c r="DF43" s="27">
        <f t="shared" si="370"/>
        <v>79374.378991589503</v>
      </c>
      <c r="DG43" s="27">
        <f t="shared" si="370"/>
        <v>81443.576265689553</v>
      </c>
      <c r="DH43" s="27">
        <f t="shared" si="370"/>
        <v>84304.581583526422</v>
      </c>
      <c r="DI43" s="27">
        <f t="shared" si="370"/>
        <v>87124.619797776031</v>
      </c>
    </row>
    <row r="44" spans="2:113" s="6" customFormat="1" x14ac:dyDescent="0.3">
      <c r="B44" s="107" t="s">
        <v>213</v>
      </c>
      <c r="D44" s="187">
        <f>SUM(F44:DI44)</f>
        <v>46752</v>
      </c>
      <c r="F44" s="187">
        <f>IF(AND(F43&gt;=0,E43&lt;=0),$F$9:$DI$9,0)</f>
        <v>0</v>
      </c>
      <c r="G44" s="187">
        <f>IF(AND(G43&gt;=0,F43&lt;=0),$F$9:$DI$9,0)</f>
        <v>0</v>
      </c>
      <c r="H44" s="187">
        <f t="shared" ref="H44:BS44" si="371">IF(AND(H43&gt;=0,G43&lt;=0),$F$9:$DI$9,0)</f>
        <v>0</v>
      </c>
      <c r="I44" s="187">
        <f t="shared" si="371"/>
        <v>0</v>
      </c>
      <c r="J44" s="187">
        <f t="shared" si="371"/>
        <v>0</v>
      </c>
      <c r="K44" s="187">
        <f t="shared" si="371"/>
        <v>0</v>
      </c>
      <c r="L44" s="187">
        <f t="shared" si="371"/>
        <v>0</v>
      </c>
      <c r="M44" s="187">
        <f t="shared" si="371"/>
        <v>0</v>
      </c>
      <c r="N44" s="187">
        <f t="shared" si="371"/>
        <v>0</v>
      </c>
      <c r="O44" s="187">
        <f t="shared" si="371"/>
        <v>0</v>
      </c>
      <c r="P44" s="187">
        <f t="shared" si="371"/>
        <v>0</v>
      </c>
      <c r="Q44" s="187">
        <f t="shared" si="371"/>
        <v>0</v>
      </c>
      <c r="R44" s="187">
        <f t="shared" si="371"/>
        <v>0</v>
      </c>
      <c r="S44" s="187">
        <f t="shared" si="371"/>
        <v>0</v>
      </c>
      <c r="T44" s="187">
        <f t="shared" si="371"/>
        <v>0</v>
      </c>
      <c r="U44" s="187">
        <f t="shared" si="371"/>
        <v>0</v>
      </c>
      <c r="V44" s="187">
        <f t="shared" si="371"/>
        <v>0</v>
      </c>
      <c r="W44" s="187">
        <f t="shared" si="371"/>
        <v>0</v>
      </c>
      <c r="X44" s="187">
        <f t="shared" si="371"/>
        <v>0</v>
      </c>
      <c r="Y44" s="187">
        <f t="shared" si="371"/>
        <v>0</v>
      </c>
      <c r="Z44" s="187">
        <f t="shared" si="371"/>
        <v>0</v>
      </c>
      <c r="AA44" s="187">
        <f t="shared" si="371"/>
        <v>0</v>
      </c>
      <c r="AB44" s="187">
        <f t="shared" si="371"/>
        <v>0</v>
      </c>
      <c r="AC44" s="187">
        <f t="shared" si="371"/>
        <v>0</v>
      </c>
      <c r="AD44" s="187">
        <f t="shared" si="371"/>
        <v>0</v>
      </c>
      <c r="AE44" s="187">
        <f t="shared" si="371"/>
        <v>0</v>
      </c>
      <c r="AF44" s="187">
        <f t="shared" si="371"/>
        <v>0</v>
      </c>
      <c r="AG44" s="187">
        <f t="shared" si="371"/>
        <v>0</v>
      </c>
      <c r="AH44" s="187">
        <f t="shared" si="371"/>
        <v>0</v>
      </c>
      <c r="AI44" s="187">
        <f t="shared" si="371"/>
        <v>0</v>
      </c>
      <c r="AJ44" s="187">
        <f t="shared" si="371"/>
        <v>0</v>
      </c>
      <c r="AK44" s="187">
        <f t="shared" si="371"/>
        <v>0</v>
      </c>
      <c r="AL44" s="187">
        <f t="shared" si="371"/>
        <v>0</v>
      </c>
      <c r="AM44" s="187">
        <f t="shared" si="371"/>
        <v>0</v>
      </c>
      <c r="AN44" s="187">
        <f t="shared" si="371"/>
        <v>0</v>
      </c>
      <c r="AO44" s="187">
        <f t="shared" si="371"/>
        <v>0</v>
      </c>
      <c r="AP44" s="187">
        <f t="shared" si="371"/>
        <v>0</v>
      </c>
      <c r="AQ44" s="187">
        <f t="shared" si="371"/>
        <v>0</v>
      </c>
      <c r="AR44" s="187">
        <f t="shared" si="371"/>
        <v>0</v>
      </c>
      <c r="AS44" s="187">
        <f t="shared" si="371"/>
        <v>0</v>
      </c>
      <c r="AT44" s="187">
        <f t="shared" si="371"/>
        <v>0</v>
      </c>
      <c r="AU44" s="187">
        <f t="shared" si="371"/>
        <v>0</v>
      </c>
      <c r="AV44" s="187">
        <f t="shared" si="371"/>
        <v>0</v>
      </c>
      <c r="AW44" s="187">
        <f t="shared" si="371"/>
        <v>0</v>
      </c>
      <c r="AX44" s="187">
        <f t="shared" si="371"/>
        <v>0</v>
      </c>
      <c r="AY44" s="187">
        <f t="shared" si="371"/>
        <v>0</v>
      </c>
      <c r="AZ44" s="187">
        <f t="shared" si="371"/>
        <v>0</v>
      </c>
      <c r="BA44" s="187">
        <f t="shared" si="371"/>
        <v>0</v>
      </c>
      <c r="BB44" s="187">
        <f t="shared" si="371"/>
        <v>0</v>
      </c>
      <c r="BC44" s="187">
        <f t="shared" si="371"/>
        <v>0</v>
      </c>
      <c r="BD44" s="187">
        <f t="shared" si="371"/>
        <v>0</v>
      </c>
      <c r="BE44" s="187">
        <f t="shared" si="371"/>
        <v>0</v>
      </c>
      <c r="BF44" s="187">
        <f t="shared" si="371"/>
        <v>0</v>
      </c>
      <c r="BG44" s="187">
        <f t="shared" si="371"/>
        <v>0</v>
      </c>
      <c r="BH44" s="187">
        <f t="shared" si="371"/>
        <v>0</v>
      </c>
      <c r="BI44" s="187">
        <f t="shared" si="371"/>
        <v>0</v>
      </c>
      <c r="BJ44" s="187">
        <f t="shared" si="371"/>
        <v>0</v>
      </c>
      <c r="BK44" s="187">
        <f t="shared" si="371"/>
        <v>0</v>
      </c>
      <c r="BL44" s="187">
        <f t="shared" si="371"/>
        <v>0</v>
      </c>
      <c r="BM44" s="187">
        <f t="shared" si="371"/>
        <v>0</v>
      </c>
      <c r="BN44" s="187">
        <f t="shared" si="371"/>
        <v>0</v>
      </c>
      <c r="BO44" s="187">
        <f t="shared" si="371"/>
        <v>0</v>
      </c>
      <c r="BP44" s="187">
        <f t="shared" si="371"/>
        <v>0</v>
      </c>
      <c r="BQ44" s="187">
        <f t="shared" si="371"/>
        <v>0</v>
      </c>
      <c r="BR44" s="187">
        <f t="shared" si="371"/>
        <v>0</v>
      </c>
      <c r="BS44" s="187">
        <f t="shared" si="371"/>
        <v>0</v>
      </c>
      <c r="BT44" s="187">
        <f t="shared" ref="BT44:DI44" si="372">IF(AND(BT43&gt;=0,BS43&lt;=0),$F$9:$DI$9,0)</f>
        <v>0</v>
      </c>
      <c r="BU44" s="187">
        <f t="shared" si="372"/>
        <v>0</v>
      </c>
      <c r="BV44" s="187">
        <f t="shared" si="372"/>
        <v>0</v>
      </c>
      <c r="BW44" s="187">
        <f t="shared" si="372"/>
        <v>0</v>
      </c>
      <c r="BX44" s="187">
        <f t="shared" si="372"/>
        <v>0</v>
      </c>
      <c r="BY44" s="187">
        <f t="shared" si="372"/>
        <v>0</v>
      </c>
      <c r="BZ44" s="187">
        <f t="shared" si="372"/>
        <v>0</v>
      </c>
      <c r="CA44" s="187">
        <f t="shared" si="372"/>
        <v>0</v>
      </c>
      <c r="CB44" s="187">
        <f t="shared" si="372"/>
        <v>0</v>
      </c>
      <c r="CC44" s="187">
        <f t="shared" si="372"/>
        <v>0</v>
      </c>
      <c r="CD44" s="187">
        <f t="shared" si="372"/>
        <v>0</v>
      </c>
      <c r="CE44" s="187">
        <f t="shared" si="372"/>
        <v>46752</v>
      </c>
      <c r="CF44" s="187">
        <f t="shared" si="372"/>
        <v>0</v>
      </c>
      <c r="CG44" s="187">
        <f t="shared" si="372"/>
        <v>0</v>
      </c>
      <c r="CH44" s="187">
        <f t="shared" si="372"/>
        <v>0</v>
      </c>
      <c r="CI44" s="187">
        <f t="shared" si="372"/>
        <v>0</v>
      </c>
      <c r="CJ44" s="187">
        <f t="shared" si="372"/>
        <v>0</v>
      </c>
      <c r="CK44" s="187">
        <f t="shared" si="372"/>
        <v>0</v>
      </c>
      <c r="CL44" s="187">
        <f t="shared" si="372"/>
        <v>0</v>
      </c>
      <c r="CM44" s="187">
        <f t="shared" si="372"/>
        <v>0</v>
      </c>
      <c r="CN44" s="187">
        <f t="shared" si="372"/>
        <v>0</v>
      </c>
      <c r="CO44" s="187">
        <f t="shared" si="372"/>
        <v>0</v>
      </c>
      <c r="CP44" s="187">
        <f t="shared" si="372"/>
        <v>0</v>
      </c>
      <c r="CQ44" s="187">
        <f t="shared" si="372"/>
        <v>0</v>
      </c>
      <c r="CR44" s="187">
        <f t="shared" si="372"/>
        <v>0</v>
      </c>
      <c r="CS44" s="187">
        <f t="shared" si="372"/>
        <v>0</v>
      </c>
      <c r="CT44" s="187">
        <f t="shared" si="372"/>
        <v>0</v>
      </c>
      <c r="CU44" s="187">
        <f t="shared" si="372"/>
        <v>0</v>
      </c>
      <c r="CV44" s="187">
        <f t="shared" si="372"/>
        <v>0</v>
      </c>
      <c r="CW44" s="187">
        <f t="shared" si="372"/>
        <v>0</v>
      </c>
      <c r="CX44" s="187">
        <f t="shared" si="372"/>
        <v>0</v>
      </c>
      <c r="CY44" s="187">
        <f t="shared" si="372"/>
        <v>0</v>
      </c>
      <c r="CZ44" s="187">
        <f t="shared" si="372"/>
        <v>0</v>
      </c>
      <c r="DA44" s="187">
        <f t="shared" si="372"/>
        <v>0</v>
      </c>
      <c r="DB44" s="187">
        <f t="shared" si="372"/>
        <v>0</v>
      </c>
      <c r="DC44" s="187">
        <f t="shared" si="372"/>
        <v>0</v>
      </c>
      <c r="DD44" s="187">
        <f t="shared" si="372"/>
        <v>0</v>
      </c>
      <c r="DE44" s="187">
        <f t="shared" si="372"/>
        <v>0</v>
      </c>
      <c r="DF44" s="187">
        <f t="shared" si="372"/>
        <v>0</v>
      </c>
      <c r="DG44" s="187">
        <f t="shared" si="372"/>
        <v>0</v>
      </c>
      <c r="DH44" s="187">
        <f t="shared" si="372"/>
        <v>0</v>
      </c>
      <c r="DI44" s="187">
        <f t="shared" si="372"/>
        <v>0</v>
      </c>
    </row>
    <row r="45" spans="2:113" x14ac:dyDescent="0.3">
      <c r="B45" s="45" t="s">
        <v>249</v>
      </c>
      <c r="D45" s="27">
        <f>SUM(F45:DI45)</f>
        <v>1257221.3281329635</v>
      </c>
      <c r="E45" s="27"/>
      <c r="F45" s="27">
        <f t="shared" ref="F45:AK45" si="373">F38+IF(F9=Finish,TerminalValue,0)</f>
        <v>-39325.026379959483</v>
      </c>
      <c r="G45" s="27">
        <f t="shared" si="373"/>
        <v>-4285.6489938147333</v>
      </c>
      <c r="H45" s="27">
        <f t="shared" si="373"/>
        <v>-3834.5474980042145</v>
      </c>
      <c r="I45" s="27">
        <f t="shared" si="373"/>
        <v>-6365.3495312577197</v>
      </c>
      <c r="J45" s="27">
        <f t="shared" si="373"/>
        <v>-2921.919361667829</v>
      </c>
      <c r="K45" s="27">
        <f t="shared" si="373"/>
        <v>-2455.6879949797258</v>
      </c>
      <c r="L45" s="27">
        <f t="shared" si="373"/>
        <v>-4972.7459799684211</v>
      </c>
      <c r="M45" s="27">
        <f t="shared" si="373"/>
        <v>-1635.5286573332273</v>
      </c>
      <c r="N45" s="27">
        <f t="shared" si="373"/>
        <v>-1259.9220608890273</v>
      </c>
      <c r="O45" s="27">
        <f t="shared" si="373"/>
        <v>-3601.0237165870221</v>
      </c>
      <c r="P45" s="27">
        <f t="shared" si="373"/>
        <v>-491.58288757383252</v>
      </c>
      <c r="Q45" s="27">
        <f t="shared" si="373"/>
        <v>-114.28974205066879</v>
      </c>
      <c r="R45" s="27">
        <f t="shared" si="373"/>
        <v>-1351.7088424636477</v>
      </c>
      <c r="S45" s="27">
        <f t="shared" si="373"/>
        <v>897.21185846677054</v>
      </c>
      <c r="T45" s="27">
        <f t="shared" si="373"/>
        <v>942.33700910609969</v>
      </c>
      <c r="U45" s="27">
        <f t="shared" si="373"/>
        <v>-1888.2688408460508</v>
      </c>
      <c r="V45" s="27">
        <f t="shared" si="373"/>
        <v>543.51314225104124</v>
      </c>
      <c r="W45" s="27">
        <f t="shared" si="373"/>
        <v>582.50763050299065</v>
      </c>
      <c r="X45" s="27">
        <f t="shared" si="373"/>
        <v>-1771.2849442575571</v>
      </c>
      <c r="Y45" s="27">
        <f t="shared" si="373"/>
        <v>660.88698516149452</v>
      </c>
      <c r="Z45" s="27">
        <f t="shared" si="373"/>
        <v>700.27271955647939</v>
      </c>
      <c r="AA45" s="27">
        <f t="shared" si="373"/>
        <v>-1653.1273049072215</v>
      </c>
      <c r="AB45" s="27">
        <f t="shared" si="373"/>
        <v>779.43848330966739</v>
      </c>
      <c r="AC45" s="27">
        <f t="shared" si="373"/>
        <v>819.21938936514289</v>
      </c>
      <c r="AD45" s="27">
        <f t="shared" si="373"/>
        <v>-1533.784146199192</v>
      </c>
      <c r="AE45" s="27">
        <f t="shared" si="373"/>
        <v>899.17945254671758</v>
      </c>
      <c r="AF45" s="27">
        <f t="shared" si="373"/>
        <v>939.35949516631899</v>
      </c>
      <c r="AG45" s="27">
        <f t="shared" si="373"/>
        <v>-1413.2435733786806</v>
      </c>
      <c r="AH45" s="27">
        <f t="shared" si="373"/>
        <v>1020.1218272766318</v>
      </c>
      <c r="AI45" s="27">
        <f t="shared" si="373"/>
        <v>1060.70501114533</v>
      </c>
      <c r="AJ45" s="27">
        <f t="shared" si="373"/>
        <v>-1291.4935723464032</v>
      </c>
      <c r="AK45" s="27">
        <f t="shared" si="373"/>
        <v>1142.2776616456877</v>
      </c>
      <c r="AL45" s="27">
        <f t="shared" ref="AL45:BQ45" si="374">AL38+IF(AL9=Finish,TerminalValue,0)</f>
        <v>1183.2680316289507</v>
      </c>
      <c r="AM45" s="27">
        <f t="shared" si="374"/>
        <v>-1168.522008461171</v>
      </c>
      <c r="AN45" s="27">
        <f t="shared" si="374"/>
        <v>1265.6591307438666</v>
      </c>
      <c r="AO45" s="27">
        <f t="shared" si="374"/>
        <v>1307.060772290788</v>
      </c>
      <c r="AP45" s="27">
        <f t="shared" si="374"/>
        <v>-1044.3166253304616</v>
      </c>
      <c r="AQ45" s="27">
        <f t="shared" si="374"/>
        <v>1390.2785318183478</v>
      </c>
      <c r="AR45" s="27">
        <f t="shared" si="374"/>
        <v>1432.0955713688527</v>
      </c>
      <c r="AS45" s="27">
        <f t="shared" si="374"/>
        <v>-918.86504358880666</v>
      </c>
      <c r="AT45" s="27">
        <f t="shared" si="374"/>
        <v>1516.1482854991436</v>
      </c>
      <c r="AU45" s="27">
        <f t="shared" si="374"/>
        <v>1558.3848908952523</v>
      </c>
      <c r="AV45" s="27">
        <f t="shared" si="374"/>
        <v>-792.15475966398844</v>
      </c>
      <c r="AW45" s="27">
        <f t="shared" si="374"/>
        <v>1643.2809370370451</v>
      </c>
      <c r="AX45" s="27">
        <f t="shared" si="374"/>
        <v>1685.94131793828</v>
      </c>
      <c r="AY45" s="27">
        <f t="shared" si="374"/>
        <v>-664.17314453081599</v>
      </c>
      <c r="AZ45" s="27">
        <f t="shared" si="374"/>
        <v>1771.6891575539912</v>
      </c>
      <c r="BA45" s="27">
        <f t="shared" si="374"/>
        <v>1814.7775658569499</v>
      </c>
      <c r="BB45" s="27">
        <f t="shared" si="374"/>
        <v>-534.90744245241876</v>
      </c>
      <c r="BC45" s="27">
        <f t="shared" si="374"/>
        <v>1901.38574530599</v>
      </c>
      <c r="BD45" s="27">
        <f t="shared" si="374"/>
        <v>1944.906475568122</v>
      </c>
      <c r="BE45" s="27">
        <f t="shared" si="374"/>
        <v>-404.34476970887408</v>
      </c>
      <c r="BF45" s="27">
        <f t="shared" si="374"/>
        <v>2032.3836269586754</v>
      </c>
      <c r="BG45" s="27">
        <f t="shared" si="374"/>
        <v>2076.3410168263154</v>
      </c>
      <c r="BH45" s="27">
        <f t="shared" si="374"/>
        <v>-272.4721133131543</v>
      </c>
      <c r="BI45" s="27">
        <f t="shared" si="374"/>
        <v>2164.6958588757143</v>
      </c>
      <c r="BJ45" s="27">
        <f t="shared" si="374"/>
        <v>2209.0942895164098</v>
      </c>
      <c r="BK45" s="27">
        <f t="shared" si="374"/>
        <v>-139.2763297140873</v>
      </c>
      <c r="BL45" s="27">
        <f t="shared" si="374"/>
        <v>2298.3356284201082</v>
      </c>
      <c r="BM45" s="27">
        <f t="shared" si="374"/>
        <v>2343.1795249592897</v>
      </c>
      <c r="BN45" s="27">
        <f t="shared" si="374"/>
        <v>-4.7441434863985705</v>
      </c>
      <c r="BO45" s="27">
        <f t="shared" si="374"/>
        <v>3413.4816919312661</v>
      </c>
      <c r="BP45" s="27">
        <f t="shared" si="374"/>
        <v>7385.817386584773</v>
      </c>
      <c r="BQ45" s="27">
        <f t="shared" si="374"/>
        <v>5009.4950503203236</v>
      </c>
      <c r="BR45" s="27">
        <f t="shared" ref="BR45:CW45" si="375">BR38+IF(BR9=Finish,TerminalValue,0)</f>
        <v>7426.6006908324143</v>
      </c>
      <c r="BS45" s="27">
        <f t="shared" si="375"/>
        <v>7450.8699153574125</v>
      </c>
      <c r="BT45" s="27">
        <f t="shared" si="375"/>
        <v>5082.3029926574964</v>
      </c>
      <c r="BU45" s="27">
        <f t="shared" si="375"/>
        <v>7499.6513263107136</v>
      </c>
      <c r="BV45" s="27">
        <f t="shared" si="375"/>
        <v>7524.1640529539691</v>
      </c>
      <c r="BW45" s="27">
        <f t="shared" si="375"/>
        <v>5155.8414440460328</v>
      </c>
      <c r="BX45" s="27">
        <f t="shared" si="375"/>
        <v>7573.4349058705448</v>
      </c>
      <c r="BY45" s="27">
        <f t="shared" si="375"/>
        <v>7598.1935777790059</v>
      </c>
      <c r="BZ45" s="27">
        <f t="shared" si="375"/>
        <v>5230.1177339538262</v>
      </c>
      <c r="CA45" s="27">
        <f t="shared" si="375"/>
        <v>7647.958783411359</v>
      </c>
      <c r="CB45" s="27">
        <f t="shared" si="375"/>
        <v>7672.9658682449535</v>
      </c>
      <c r="CC45" s="27">
        <f t="shared" si="375"/>
        <v>5305.1392653879957</v>
      </c>
      <c r="CD45" s="27">
        <f t="shared" si="375"/>
        <v>7723.2303866169823</v>
      </c>
      <c r="CE45" s="27">
        <f t="shared" si="375"/>
        <v>7748.4883767945885</v>
      </c>
      <c r="CF45" s="27">
        <f t="shared" si="375"/>
        <v>5380.9135156327975</v>
      </c>
      <c r="CG45" s="27">
        <f t="shared" si="375"/>
        <v>7799.2572176959238</v>
      </c>
      <c r="CH45" s="27">
        <f t="shared" si="375"/>
        <v>7824.7686306437954</v>
      </c>
      <c r="CI45" s="27">
        <f t="shared" si="375"/>
        <v>5457.4480369948342</v>
      </c>
      <c r="CJ45" s="27">
        <f t="shared" si="375"/>
        <v>7876.0468541291775</v>
      </c>
      <c r="CK45" s="27">
        <f t="shared" si="375"/>
        <v>7901.8142325318277</v>
      </c>
      <c r="CL45" s="27">
        <f t="shared" si="375"/>
        <v>5534.7504575558251</v>
      </c>
      <c r="CM45" s="27">
        <f t="shared" si="375"/>
        <v>7953.6069494253679</v>
      </c>
      <c r="CN45" s="27">
        <f t="shared" si="375"/>
        <v>7979.6328614790073</v>
      </c>
      <c r="CO45" s="27">
        <f t="shared" si="375"/>
        <v>5612.8284819328292</v>
      </c>
      <c r="CP45" s="27">
        <f t="shared" si="375"/>
        <v>8031.9452338836309</v>
      </c>
      <c r="CQ45" s="27">
        <f t="shared" si="375"/>
        <v>8058.2322735521248</v>
      </c>
      <c r="CR45" s="27">
        <f t="shared" si="375"/>
        <v>5691.6898920461899</v>
      </c>
      <c r="CS45" s="27">
        <f t="shared" si="375"/>
        <v>8111.0695153640318</v>
      </c>
      <c r="CT45" s="27">
        <f t="shared" si="375"/>
        <v>8137.6203026374715</v>
      </c>
      <c r="CU45" s="27">
        <f t="shared" si="375"/>
        <v>5771.342547895154</v>
      </c>
      <c r="CV45" s="27">
        <f t="shared" si="375"/>
        <v>8190.987680065824</v>
      </c>
      <c r="CW45" s="27">
        <f t="shared" si="375"/>
        <v>8217.8048612216026</v>
      </c>
      <c r="CX45" s="27">
        <f t="shared" ref="CX45:DI45" si="376">CX38+IF(CX9=Finish,TerminalValue,0)</f>
        <v>5851.7943883412318</v>
      </c>
      <c r="CY45" s="27">
        <f t="shared" si="376"/>
        <v>8271.7076933133885</v>
      </c>
      <c r="CZ45" s="27">
        <f t="shared" si="376"/>
        <v>8298.7939411799907</v>
      </c>
      <c r="DA45" s="27">
        <f t="shared" si="376"/>
        <v>5933.053431899476</v>
      </c>
      <c r="DB45" s="27">
        <f t="shared" si="376"/>
        <v>8353.2376003501722</v>
      </c>
      <c r="DC45" s="27">
        <f t="shared" si="376"/>
        <v>8380.5956145735618</v>
      </c>
      <c r="DD45" s="27">
        <f t="shared" si="376"/>
        <v>6015.127777537693</v>
      </c>
      <c r="DE45" s="27">
        <f t="shared" si="376"/>
        <v>8435.5855271405089</v>
      </c>
      <c r="DF45" s="27">
        <f t="shared" si="376"/>
        <v>8463.2180344531989</v>
      </c>
      <c r="DG45" s="27">
        <f t="shared" si="376"/>
        <v>6098.0256054836027</v>
      </c>
      <c r="DH45" s="27">
        <f t="shared" si="376"/>
        <v>8518.7596811795629</v>
      </c>
      <c r="DI45" s="27">
        <f t="shared" si="376"/>
        <v>976205.93922794249</v>
      </c>
    </row>
    <row r="46" spans="2:113" x14ac:dyDescent="0.3">
      <c r="F46" s="27"/>
      <c r="G46" s="27"/>
      <c r="H46" s="27"/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/>
      <c r="V46" s="27"/>
      <c r="W46" s="27"/>
      <c r="X46" s="27"/>
      <c r="Y46" s="27"/>
      <c r="Z46" s="27"/>
      <c r="AA46" s="27"/>
      <c r="AB46" s="27"/>
      <c r="AC46" s="27"/>
      <c r="AD46" s="27"/>
      <c r="AE46" s="27"/>
      <c r="AF46" s="27"/>
      <c r="AG46" s="27"/>
      <c r="AH46" s="27"/>
      <c r="AI46" s="27"/>
      <c r="AJ46" s="27"/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/>
      <c r="AX46" s="27"/>
      <c r="AY46" s="27"/>
      <c r="AZ46" s="27"/>
      <c r="BA46" s="27"/>
      <c r="BB46" s="27"/>
      <c r="BC46" s="27"/>
      <c r="BD46" s="27"/>
      <c r="BE46" s="27"/>
      <c r="BF46" s="27"/>
      <c r="BG46" s="27"/>
      <c r="BH46" s="27"/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/>
      <c r="BV46" s="27"/>
      <c r="BW46" s="27"/>
      <c r="BX46" s="27"/>
      <c r="BY46" s="27"/>
      <c r="BZ46" s="27"/>
      <c r="CA46" s="27"/>
      <c r="CB46" s="27"/>
      <c r="CC46" s="27"/>
      <c r="CD46" s="27"/>
      <c r="CE46" s="27"/>
      <c r="CF46" s="27"/>
      <c r="CG46" s="27"/>
      <c r="CH46" s="27"/>
      <c r="CI46" s="27"/>
      <c r="CJ46" s="27"/>
      <c r="CK46" s="27"/>
      <c r="CL46" s="27"/>
      <c r="CM46" s="27"/>
      <c r="CN46" s="27"/>
      <c r="CO46" s="27"/>
      <c r="CP46" s="27"/>
      <c r="CQ46" s="27"/>
      <c r="CR46" s="27"/>
      <c r="CS46" s="27"/>
      <c r="CT46" s="27"/>
      <c r="CU46" s="27"/>
      <c r="CV46" s="27"/>
      <c r="CW46" s="27"/>
      <c r="CX46" s="27"/>
      <c r="CY46" s="27"/>
      <c r="CZ46" s="27"/>
      <c r="DA46" s="27"/>
      <c r="DB46" s="27"/>
      <c r="DC46" s="27"/>
      <c r="DD46" s="27"/>
      <c r="DE46" s="27"/>
      <c r="DF46" s="27"/>
      <c r="DG46" s="27"/>
      <c r="DH46" s="27"/>
      <c r="DI46" s="27"/>
    </row>
    <row r="47" spans="2:113" x14ac:dyDescent="0.3">
      <c r="B47" s="51"/>
      <c r="C47" s="18"/>
      <c r="F47" s="27"/>
      <c r="G47" s="27"/>
      <c r="H47" s="27"/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/>
      <c r="V47" s="27"/>
      <c r="W47" s="27"/>
      <c r="X47" s="27"/>
      <c r="Y47" s="27"/>
      <c r="Z47" s="27"/>
      <c r="AA47" s="27"/>
      <c r="AB47" s="27"/>
      <c r="AC47" s="27"/>
      <c r="AD47" s="27"/>
      <c r="AE47" s="27"/>
      <c r="AF47" s="27"/>
      <c r="AG47" s="27"/>
      <c r="AH47" s="27"/>
      <c r="AI47" s="27"/>
      <c r="AJ47" s="27"/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/>
      <c r="AX47" s="27"/>
      <c r="AY47" s="27"/>
      <c r="AZ47" s="27"/>
      <c r="BA47" s="27"/>
      <c r="BB47" s="27"/>
      <c r="BC47" s="27"/>
      <c r="BD47" s="27"/>
      <c r="BE47" s="27"/>
      <c r="BF47" s="27"/>
      <c r="BG47" s="27"/>
      <c r="BH47" s="27"/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/>
      <c r="BV47" s="27"/>
      <c r="BW47" s="27"/>
      <c r="BX47" s="27"/>
      <c r="BY47" s="27"/>
      <c r="BZ47" s="27"/>
      <c r="CA47" s="27"/>
      <c r="CB47" s="27"/>
      <c r="CC47" s="27"/>
      <c r="CD47" s="27"/>
      <c r="CE47" s="27"/>
      <c r="CF47" s="27"/>
      <c r="CG47" s="27"/>
      <c r="CH47" s="27"/>
      <c r="CI47" s="27"/>
      <c r="CJ47" s="27"/>
      <c r="CK47" s="27"/>
      <c r="CL47" s="27"/>
      <c r="CM47" s="27"/>
      <c r="CN47" s="27"/>
      <c r="CO47" s="27"/>
      <c r="CP47" s="27"/>
      <c r="CQ47" s="27"/>
      <c r="CR47" s="27"/>
      <c r="CS47" s="27"/>
      <c r="CT47" s="27"/>
      <c r="CU47" s="27"/>
      <c r="CV47" s="27"/>
      <c r="CW47" s="27"/>
      <c r="CX47" s="27"/>
      <c r="CY47" s="27"/>
      <c r="CZ47" s="27"/>
      <c r="DA47" s="27"/>
      <c r="DB47" s="27"/>
      <c r="DC47" s="27"/>
      <c r="DD47" s="27"/>
      <c r="DE47" s="27"/>
      <c r="DF47" s="27"/>
      <c r="DG47" s="27"/>
      <c r="DH47" s="27"/>
      <c r="DI47" s="27"/>
    </row>
    <row r="48" spans="2:113" ht="13" customHeight="1" x14ac:dyDescent="0.3">
      <c r="B48" s="232" t="s">
        <v>246</v>
      </c>
    </row>
    <row r="49" spans="2:33" ht="13" customHeight="1" x14ac:dyDescent="0.3">
      <c r="B49" s="232"/>
      <c r="G49" s="17"/>
    </row>
    <row r="50" spans="2:33" x14ac:dyDescent="0.3">
      <c r="B50" s="45" t="s">
        <v>244</v>
      </c>
      <c r="D50" s="27">
        <f>D15-D23</f>
        <v>91103.555308180774</v>
      </c>
      <c r="G50" s="27"/>
    </row>
    <row r="51" spans="2:33" x14ac:dyDescent="0.3">
      <c r="B51" s="45" t="s">
        <v>245</v>
      </c>
      <c r="D51" s="26">
        <f>(SUM(CX11:DI11)/(SUM(R11:AC11)+SUM(R22:AC22)))^(1/8)-1</f>
        <v>2.7433496840289395E-2</v>
      </c>
      <c r="G51" s="27"/>
    </row>
    <row r="52" spans="2:33" x14ac:dyDescent="0.3">
      <c r="D52" s="26"/>
      <c r="G52" s="27"/>
    </row>
    <row r="53" spans="2:33" ht="26" x14ac:dyDescent="0.3">
      <c r="B53" s="54" t="s">
        <v>253</v>
      </c>
      <c r="D53" s="55">
        <f>D50*(1+D51)/(WACC-D51)</f>
        <v>967722.28321521403</v>
      </c>
      <c r="E53" s="17"/>
      <c r="F53" s="17"/>
      <c r="G53" s="27"/>
      <c r="H53" s="27"/>
    </row>
    <row r="54" spans="2:33" x14ac:dyDescent="0.3">
      <c r="D54" s="56"/>
      <c r="E54" s="57"/>
      <c r="F54" s="17"/>
    </row>
    <row r="55" spans="2:33" ht="26" x14ac:dyDescent="0.3">
      <c r="B55" s="54" t="s">
        <v>254</v>
      </c>
      <c r="D55" s="55">
        <f>F45+NPV(WACC/12,G45:DI45)</f>
        <v>408803.60057603073</v>
      </c>
      <c r="E55" s="17"/>
      <c r="F55" s="17"/>
      <c r="G55" s="17"/>
    </row>
    <row r="56" spans="2:33" x14ac:dyDescent="0.3">
      <c r="B56" s="54"/>
      <c r="D56" s="17"/>
      <c r="E56" s="17"/>
      <c r="F56" s="17"/>
      <c r="G56" s="17"/>
    </row>
    <row r="57" spans="2:33" ht="26" x14ac:dyDescent="0.3">
      <c r="B57" s="54" t="s">
        <v>255</v>
      </c>
      <c r="C57" s="18"/>
      <c r="D57" s="221">
        <f>XIRR(F45:DI45,F8:DI8)</f>
        <v>0.45024506449699409</v>
      </c>
      <c r="E57" s="17"/>
      <c r="F57" s="17"/>
      <c r="G57" s="17"/>
    </row>
    <row r="58" spans="2:33" s="10" customFormat="1" x14ac:dyDescent="0.3">
      <c r="B58" s="119"/>
      <c r="D58" s="217"/>
      <c r="E58" s="217"/>
      <c r="F58" s="217"/>
      <c r="G58" s="217"/>
    </row>
    <row r="59" spans="2:33" s="219" customFormat="1" ht="12" x14ac:dyDescent="0.3">
      <c r="B59" s="218"/>
      <c r="AG59" s="220"/>
    </row>
  </sheetData>
  <mergeCells count="2">
    <mergeCell ref="B7:B8"/>
    <mergeCell ref="B48:B49"/>
  </mergeCells>
  <pageMargins left="0.7" right="0.7" top="0.75" bottom="0.75" header="0.3" footer="0.3"/>
  <drawing r:id="rId1"/>
  <legacyDrawing r:id="rId2"/>
  <controls>
    <mc:AlternateContent xmlns:mc="http://schemas.openxmlformats.org/markup-compatibility/2006">
      <mc:Choice Requires="x14">
        <control shapeId="14354" r:id="rId3" name="ScrollBar1">
          <controlPr defaultSize="0" autoFill="0" autoLine="0" autoPict="0" linkedCell="E4" r:id="rId4">
            <anchor moveWithCells="1" sizeWithCells="1">
              <from>
                <xdr:col>2</xdr:col>
                <xdr:colOff>44450</xdr:colOff>
                <xdr:row>3</xdr:row>
                <xdr:rowOff>6350</xdr:rowOff>
              </from>
              <to>
                <xdr:col>4</xdr:col>
                <xdr:colOff>285750</xdr:colOff>
                <xdr:row>4</xdr:row>
                <xdr:rowOff>44450</xdr:rowOff>
              </to>
            </anchor>
          </controlPr>
        </control>
      </mc:Choice>
      <mc:Fallback>
        <control shapeId="14354" r:id="rId3" name="ScrollBar1"/>
      </mc:Fallback>
    </mc:AlternateContent>
    <mc:AlternateContent xmlns:mc="http://schemas.openxmlformats.org/markup-compatibility/2006">
      <mc:Choice Requires="x14">
        <control shapeId="14353" r:id="rId5" name="CheckBox1">
          <controlPr defaultSize="0" autoLine="0" linkedCell="B3" r:id="rId6">
            <anchor moveWithCells="1">
              <from>
                <xdr:col>1</xdr:col>
                <xdr:colOff>920750</xdr:colOff>
                <xdr:row>1</xdr:row>
                <xdr:rowOff>95250</xdr:rowOff>
              </from>
              <to>
                <xdr:col>1</xdr:col>
                <xdr:colOff>2406650</xdr:colOff>
                <xdr:row>2</xdr:row>
                <xdr:rowOff>127000</xdr:rowOff>
              </to>
            </anchor>
          </controlPr>
        </control>
      </mc:Choice>
      <mc:Fallback>
        <control shapeId="14353" r:id="rId5" name="CheckBox1"/>
      </mc:Fallback>
    </mc:AlternateContent>
    <mc:AlternateContent xmlns:mc="http://schemas.openxmlformats.org/markup-compatibility/2006">
      <mc:Choice Requires="x14">
        <control shapeId="14352" r:id="rId7" name="CheckBox2">
          <controlPr defaultSize="0" autoLine="0" linkedCell="B4" r:id="rId8">
            <anchor moveWithCells="1">
              <from>
                <xdr:col>1</xdr:col>
                <xdr:colOff>927100</xdr:colOff>
                <xdr:row>2</xdr:row>
                <xdr:rowOff>114300</xdr:rowOff>
              </from>
              <to>
                <xdr:col>1</xdr:col>
                <xdr:colOff>2413000</xdr:colOff>
                <xdr:row>3</xdr:row>
                <xdr:rowOff>139700</xdr:rowOff>
              </to>
            </anchor>
          </controlPr>
        </control>
      </mc:Choice>
      <mc:Fallback>
        <control shapeId="14352" r:id="rId7" name="CheckBox2"/>
      </mc:Fallback>
    </mc:AlternateContent>
  </control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17"/>
  <sheetViews>
    <sheetView showGridLines="0" zoomScaleNormal="100" workbookViewId="0">
      <selection activeCell="E26" sqref="E26"/>
    </sheetView>
  </sheetViews>
  <sheetFormatPr defaultRowHeight="12.5" x14ac:dyDescent="0.25"/>
  <cols>
    <col min="2" max="2" width="50.90625" bestFit="1" customWidth="1"/>
    <col min="3" max="3" width="11.81640625" customWidth="1"/>
  </cols>
  <sheetData>
    <row r="2" spans="2:4" x14ac:dyDescent="0.25">
      <c r="B2" s="230" t="s">
        <v>241</v>
      </c>
    </row>
    <row r="3" spans="2:4" x14ac:dyDescent="0.25">
      <c r="B3" s="230"/>
    </row>
    <row r="5" spans="2:4" ht="13" x14ac:dyDescent="0.3">
      <c r="B5" s="203" t="s">
        <v>242</v>
      </c>
      <c r="C5" s="87">
        <f>(1-IncomeTax)*C6*Loan/(Loan+CapitalContribution)+C17*CapitalContribution/(Loan+CapitalContribution)</f>
        <v>0.12415840028456641</v>
      </c>
      <c r="D5" s="202"/>
    </row>
    <row r="6" spans="2:4" ht="13" x14ac:dyDescent="0.3">
      <c r="B6" s="1" t="s">
        <v>252</v>
      </c>
      <c r="C6" s="87">
        <f>LoanInterestRate</f>
        <v>0.115</v>
      </c>
      <c r="D6" s="87"/>
    </row>
    <row r="7" spans="2:4" ht="13" x14ac:dyDescent="0.3">
      <c r="B7" s="1" t="s">
        <v>243</v>
      </c>
      <c r="C7" s="87">
        <v>2.0119999999999999E-2</v>
      </c>
      <c r="D7" s="87"/>
    </row>
    <row r="8" spans="2:4" ht="13" x14ac:dyDescent="0.3">
      <c r="B8" s="1" t="s">
        <v>247</v>
      </c>
      <c r="C8" s="201">
        <v>0.94291564327271338</v>
      </c>
      <c r="D8" s="201"/>
    </row>
    <row r="9" spans="2:4" ht="13" x14ac:dyDescent="0.3">
      <c r="B9" s="1" t="s">
        <v>240</v>
      </c>
      <c r="C9" s="87">
        <v>4.4699999999999997E-2</v>
      </c>
      <c r="D9" s="87"/>
    </row>
    <row r="10" spans="2:4" ht="13" x14ac:dyDescent="0.3">
      <c r="B10" s="1" t="s">
        <v>239</v>
      </c>
      <c r="C10" s="87">
        <f>C9-C7</f>
        <v>2.4579999999999998E-2</v>
      </c>
      <c r="D10" s="87"/>
    </row>
    <row r="11" spans="2:4" ht="13" x14ac:dyDescent="0.3">
      <c r="B11" s="1" t="s">
        <v>232</v>
      </c>
      <c r="C11" s="87">
        <v>0.1114</v>
      </c>
      <c r="D11" s="87"/>
    </row>
    <row r="12" spans="2:4" ht="13" x14ac:dyDescent="0.3">
      <c r="B12" s="1" t="s">
        <v>233</v>
      </c>
      <c r="C12" s="87">
        <v>2.18E-2</v>
      </c>
      <c r="D12" s="87"/>
    </row>
    <row r="13" spans="2:4" ht="13" x14ac:dyDescent="0.3">
      <c r="B13" s="1" t="s">
        <v>234</v>
      </c>
      <c r="C13" s="87">
        <v>0</v>
      </c>
      <c r="D13" s="87"/>
    </row>
    <row r="14" spans="2:4" ht="13" x14ac:dyDescent="0.3">
      <c r="B14" s="1" t="s">
        <v>235</v>
      </c>
      <c r="C14" s="87">
        <f>C7+C8*C10+C11+C12+C13</f>
        <v>0.17649686651164326</v>
      </c>
      <c r="D14" s="87"/>
    </row>
    <row r="15" spans="2:4" ht="13" x14ac:dyDescent="0.3">
      <c r="B15" s="1" t="s">
        <v>237</v>
      </c>
      <c r="C15" s="87">
        <v>9.1700000000000004E-2</v>
      </c>
      <c r="D15" s="87"/>
    </row>
    <row r="16" spans="2:4" ht="13" x14ac:dyDescent="0.3">
      <c r="B16" s="1" t="s">
        <v>238</v>
      </c>
      <c r="C16" s="87">
        <f>C7+C12</f>
        <v>4.1919999999999999E-2</v>
      </c>
      <c r="D16" s="87"/>
    </row>
    <row r="17" spans="2:4" ht="13" x14ac:dyDescent="0.3">
      <c r="B17" s="1" t="s">
        <v>236</v>
      </c>
      <c r="C17" s="87">
        <f>(1+C14)*(1+C15)/(1+C16)-1</f>
        <v>0.23270656976616322</v>
      </c>
      <c r="D17" s="87"/>
    </row>
  </sheetData>
  <mergeCells count="1">
    <mergeCell ref="B2:B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7"/>
  <dimension ref="B2:K51"/>
  <sheetViews>
    <sheetView showGridLines="0" zoomScaleNormal="100" workbookViewId="0">
      <selection activeCell="F59" sqref="F59"/>
    </sheetView>
  </sheetViews>
  <sheetFormatPr defaultRowHeight="13" x14ac:dyDescent="0.3"/>
  <cols>
    <col min="1" max="1" width="3.6328125" style="1" customWidth="1"/>
    <col min="2" max="2" width="46.7265625" style="11" bestFit="1" customWidth="1"/>
    <col min="3" max="3" width="14.6328125" style="1" bestFit="1" customWidth="1"/>
    <col min="4" max="4" width="7.6328125" style="11" bestFit="1" customWidth="1"/>
    <col min="5" max="5" width="3.6328125" style="1" customWidth="1"/>
    <col min="6" max="6" width="52.81640625" style="1" bestFit="1" customWidth="1"/>
    <col min="7" max="7" width="11.26953125" style="1" customWidth="1"/>
    <col min="8" max="8" width="3.6328125" style="1" customWidth="1"/>
    <col min="9" max="9" width="46.90625" style="1" bestFit="1" customWidth="1"/>
    <col min="10" max="16384" width="8.7265625" style="1"/>
  </cols>
  <sheetData>
    <row r="2" spans="2:10" s="128" customFormat="1" x14ac:dyDescent="0.3">
      <c r="B2" s="164" t="s">
        <v>21</v>
      </c>
      <c r="C2" s="165"/>
      <c r="D2" s="166"/>
      <c r="F2" s="164" t="s">
        <v>103</v>
      </c>
      <c r="G2" s="167"/>
      <c r="I2" s="164" t="s">
        <v>104</v>
      </c>
      <c r="J2" s="167"/>
    </row>
    <row r="3" spans="2:10" x14ac:dyDescent="0.3">
      <c r="B3" s="78" t="s">
        <v>27</v>
      </c>
      <c r="C3" s="79">
        <v>12614.4</v>
      </c>
      <c r="D3" s="84" t="s">
        <v>23</v>
      </c>
      <c r="F3" s="70"/>
      <c r="G3" s="77"/>
      <c r="I3" s="70"/>
      <c r="J3" s="75"/>
    </row>
    <row r="4" spans="2:10" x14ac:dyDescent="0.3">
      <c r="B4" s="78" t="s">
        <v>24</v>
      </c>
      <c r="C4" s="79">
        <f>GLA</f>
        <v>10096.6</v>
      </c>
      <c r="D4" s="84" t="s">
        <v>23</v>
      </c>
      <c r="E4" s="10"/>
      <c r="F4" s="78" t="s">
        <v>83</v>
      </c>
      <c r="G4" s="75">
        <v>19669</v>
      </c>
      <c r="I4" s="70" t="s">
        <v>109</v>
      </c>
      <c r="J4" s="75">
        <v>354010</v>
      </c>
    </row>
    <row r="5" spans="2:10" ht="26" x14ac:dyDescent="0.3">
      <c r="B5" s="78" t="s">
        <v>25</v>
      </c>
      <c r="C5" s="80" t="s">
        <v>26</v>
      </c>
      <c r="D5" s="84"/>
      <c r="E5" s="10"/>
      <c r="F5" s="78" t="s">
        <v>84</v>
      </c>
      <c r="G5" s="75">
        <v>7053</v>
      </c>
      <c r="I5" s="195" t="s">
        <v>224</v>
      </c>
      <c r="J5" s="75">
        <v>350000</v>
      </c>
    </row>
    <row r="6" spans="2:10" x14ac:dyDescent="0.3">
      <c r="B6" s="78" t="s">
        <v>35</v>
      </c>
      <c r="C6" s="79" t="s">
        <v>34</v>
      </c>
      <c r="D6" s="84"/>
      <c r="E6" s="10"/>
      <c r="F6" s="78" t="s">
        <v>85</v>
      </c>
      <c r="G6" s="75">
        <v>5537</v>
      </c>
      <c r="I6" s="72" t="s">
        <v>110</v>
      </c>
      <c r="J6" s="75">
        <v>4000</v>
      </c>
    </row>
    <row r="7" spans="2:10" x14ac:dyDescent="0.3">
      <c r="B7" s="78" t="s">
        <v>31</v>
      </c>
      <c r="C7" s="71">
        <f>UnitsN</f>
        <v>90</v>
      </c>
      <c r="D7" s="84" t="s">
        <v>32</v>
      </c>
      <c r="E7" s="10"/>
      <c r="F7" s="78" t="s">
        <v>86</v>
      </c>
      <c r="G7" s="75">
        <v>5468</v>
      </c>
      <c r="I7" s="72" t="s">
        <v>111</v>
      </c>
      <c r="J7" s="75">
        <v>10</v>
      </c>
    </row>
    <row r="8" spans="2:10" x14ac:dyDescent="0.3">
      <c r="B8" s="78" t="s">
        <v>33</v>
      </c>
      <c r="C8" s="79">
        <f>C4/C7</f>
        <v>112.18444444444445</v>
      </c>
      <c r="D8" s="84" t="s">
        <v>23</v>
      </c>
      <c r="E8" s="10"/>
      <c r="F8" s="78" t="s">
        <v>87</v>
      </c>
      <c r="G8" s="75">
        <v>3777</v>
      </c>
      <c r="I8" s="70" t="s">
        <v>112</v>
      </c>
      <c r="J8" s="75">
        <v>8</v>
      </c>
    </row>
    <row r="9" spans="2:10" x14ac:dyDescent="0.3">
      <c r="B9" s="78" t="s">
        <v>42</v>
      </c>
      <c r="C9" s="81">
        <v>44378</v>
      </c>
      <c r="D9" s="84"/>
      <c r="E9" s="10"/>
      <c r="F9" s="78" t="s">
        <v>88</v>
      </c>
      <c r="G9" s="75">
        <v>2679</v>
      </c>
      <c r="I9" s="70" t="s">
        <v>113</v>
      </c>
      <c r="J9" s="75">
        <v>61</v>
      </c>
    </row>
    <row r="10" spans="2:10" x14ac:dyDescent="0.3">
      <c r="B10" s="78" t="s">
        <v>43</v>
      </c>
      <c r="C10" s="81">
        <v>47664</v>
      </c>
      <c r="D10" s="84"/>
      <c r="E10" s="10"/>
      <c r="F10" s="78" t="s">
        <v>89</v>
      </c>
      <c r="G10" s="75">
        <v>323</v>
      </c>
      <c r="I10" s="73" t="s">
        <v>101</v>
      </c>
      <c r="J10" s="76">
        <f>J4+J8+J9</f>
        <v>354079</v>
      </c>
    </row>
    <row r="11" spans="2:10" x14ac:dyDescent="0.3">
      <c r="B11" s="78" t="s">
        <v>45</v>
      </c>
      <c r="C11" s="81">
        <f>Start</f>
        <v>44378</v>
      </c>
      <c r="D11" s="84"/>
      <c r="F11" s="78" t="s">
        <v>90</v>
      </c>
      <c r="G11" s="75">
        <v>37</v>
      </c>
      <c r="I11" s="70" t="s">
        <v>114</v>
      </c>
      <c r="J11" s="75">
        <v>10</v>
      </c>
    </row>
    <row r="12" spans="2:10" ht="13" customHeight="1" x14ac:dyDescent="0.3">
      <c r="B12" s="78" t="s">
        <v>46</v>
      </c>
      <c r="C12" s="81">
        <f>EDATE(C11,12)-1</f>
        <v>44742</v>
      </c>
      <c r="D12" s="84"/>
      <c r="F12" s="78" t="s">
        <v>91</v>
      </c>
      <c r="G12" s="75">
        <v>395</v>
      </c>
      <c r="I12" s="74" t="s">
        <v>115</v>
      </c>
      <c r="J12" s="75">
        <v>338143</v>
      </c>
    </row>
    <row r="13" spans="2:10" x14ac:dyDescent="0.3">
      <c r="B13" s="78" t="s">
        <v>44</v>
      </c>
      <c r="C13" s="71">
        <v>1000</v>
      </c>
      <c r="D13" s="84" t="s">
        <v>29</v>
      </c>
      <c r="F13" s="78" t="s">
        <v>92</v>
      </c>
      <c r="G13" s="75">
        <v>187</v>
      </c>
      <c r="I13" s="70"/>
      <c r="J13" s="75">
        <v>0</v>
      </c>
    </row>
    <row r="14" spans="2:10" x14ac:dyDescent="0.3">
      <c r="B14" s="78" t="s">
        <v>57</v>
      </c>
      <c r="C14" s="71">
        <f>IF(AnchorRent=TRUE,AnchorRentStart,0)+IF(OtherRent=TRUE,OtherRentStart,0)</f>
        <v>7044716</v>
      </c>
      <c r="D14" s="84" t="s">
        <v>59</v>
      </c>
      <c r="F14" s="78" t="s">
        <v>93</v>
      </c>
      <c r="G14" s="75">
        <v>41</v>
      </c>
      <c r="I14" s="70" t="s">
        <v>116</v>
      </c>
      <c r="J14" s="75">
        <f>SUM(J16:J19)</f>
        <v>15926</v>
      </c>
    </row>
    <row r="15" spans="2:10" x14ac:dyDescent="0.3">
      <c r="B15" s="78" t="s">
        <v>222</v>
      </c>
      <c r="C15" s="71">
        <v>1893854</v>
      </c>
      <c r="D15" s="84" t="s">
        <v>59</v>
      </c>
      <c r="F15" s="78" t="s">
        <v>94</v>
      </c>
      <c r="G15" s="75">
        <v>40</v>
      </c>
      <c r="I15" s="72" t="s">
        <v>98</v>
      </c>
      <c r="J15" s="75"/>
    </row>
    <row r="16" spans="2:10" x14ac:dyDescent="0.3">
      <c r="B16" s="78" t="s">
        <v>223</v>
      </c>
      <c r="C16" s="71">
        <v>5150862</v>
      </c>
      <c r="D16" s="84" t="s">
        <v>59</v>
      </c>
      <c r="F16" s="78" t="s">
        <v>95</v>
      </c>
      <c r="G16" s="75">
        <v>8</v>
      </c>
      <c r="I16" s="72" t="s">
        <v>119</v>
      </c>
      <c r="J16" s="75">
        <v>3394</v>
      </c>
    </row>
    <row r="17" spans="2:11" x14ac:dyDescent="0.3">
      <c r="B17" s="78" t="s">
        <v>58</v>
      </c>
      <c r="C17" s="71">
        <f>TargetRentalValue</f>
        <v>13654003.285063952</v>
      </c>
      <c r="D17" s="84" t="s">
        <v>59</v>
      </c>
      <c r="F17" s="78" t="s">
        <v>96</v>
      </c>
      <c r="G17" s="75">
        <v>4</v>
      </c>
      <c r="I17" s="72" t="s">
        <v>118</v>
      </c>
      <c r="J17" s="75">
        <v>235</v>
      </c>
    </row>
    <row r="18" spans="2:11" x14ac:dyDescent="0.3">
      <c r="B18" s="78" t="s">
        <v>55</v>
      </c>
      <c r="C18" s="71">
        <f>WeightedAverageAnnualRent*12</f>
        <v>16228.041065385121</v>
      </c>
      <c r="D18" s="84" t="s">
        <v>29</v>
      </c>
      <c r="F18" s="78" t="s">
        <v>97</v>
      </c>
      <c r="G18" s="75">
        <v>2</v>
      </c>
      <c r="I18" s="72" t="s">
        <v>117</v>
      </c>
      <c r="J18" s="75">
        <v>5829</v>
      </c>
    </row>
    <row r="19" spans="2:11" x14ac:dyDescent="0.3">
      <c r="B19" s="78" t="s">
        <v>60</v>
      </c>
      <c r="C19" s="79">
        <f>C4*C14/C17</f>
        <v>5209.2912298773381</v>
      </c>
      <c r="D19" s="84" t="s">
        <v>23</v>
      </c>
      <c r="F19" s="70"/>
      <c r="G19" s="77"/>
      <c r="I19" s="72" t="s">
        <v>120</v>
      </c>
      <c r="J19" s="75">
        <v>6468</v>
      </c>
    </row>
    <row r="20" spans="2:11" x14ac:dyDescent="0.3">
      <c r="B20" s="89" t="s">
        <v>175</v>
      </c>
      <c r="C20" s="90">
        <v>0.03</v>
      </c>
      <c r="D20" s="85"/>
      <c r="F20" s="69" t="s">
        <v>74</v>
      </c>
      <c r="G20" s="76">
        <f>SUM(G4:G18)</f>
        <v>45220</v>
      </c>
      <c r="I20" s="73" t="s">
        <v>102</v>
      </c>
      <c r="J20" s="76">
        <f>SUM(J11:J14)</f>
        <v>354079</v>
      </c>
      <c r="K20" s="27"/>
    </row>
    <row r="21" spans="2:11" x14ac:dyDescent="0.3">
      <c r="B21" s="12"/>
      <c r="C21" s="19"/>
    </row>
    <row r="22" spans="2:11" s="132" customFormat="1" x14ac:dyDescent="0.3">
      <c r="B22" s="168" t="s">
        <v>176</v>
      </c>
      <c r="C22" s="169"/>
      <c r="D22" s="170"/>
      <c r="F22" s="168" t="s">
        <v>177</v>
      </c>
      <c r="G22" s="170"/>
      <c r="I22" s="168" t="s">
        <v>178</v>
      </c>
      <c r="J22" s="170"/>
    </row>
    <row r="23" spans="2:11" s="68" customFormat="1" x14ac:dyDescent="0.3">
      <c r="B23" s="78" t="s">
        <v>133</v>
      </c>
      <c r="C23" s="87">
        <v>0.04</v>
      </c>
      <c r="D23" s="84"/>
      <c r="F23" s="102" t="s">
        <v>181</v>
      </c>
      <c r="G23" s="75">
        <v>270000</v>
      </c>
      <c r="I23" s="86"/>
      <c r="J23" s="88"/>
    </row>
    <row r="24" spans="2:11" x14ac:dyDescent="0.3">
      <c r="B24" s="78" t="s">
        <v>77</v>
      </c>
      <c r="C24" s="83">
        <v>0.2</v>
      </c>
      <c r="D24" s="84"/>
      <c r="F24" s="78" t="s">
        <v>225</v>
      </c>
      <c r="G24" s="81">
        <v>44378</v>
      </c>
      <c r="H24" s="11"/>
      <c r="I24" s="78" t="s">
        <v>169</v>
      </c>
      <c r="J24" s="93">
        <v>0.91810000000000003</v>
      </c>
      <c r="K24" s="11"/>
    </row>
    <row r="25" spans="2:11" x14ac:dyDescent="0.3">
      <c r="B25" s="78" t="s">
        <v>135</v>
      </c>
      <c r="C25" s="87">
        <v>0.02</v>
      </c>
      <c r="D25" s="84"/>
      <c r="F25" s="78" t="s">
        <v>226</v>
      </c>
      <c r="G25" s="75">
        <v>4000</v>
      </c>
      <c r="H25" s="11"/>
      <c r="I25" s="78" t="s">
        <v>217</v>
      </c>
      <c r="J25" s="75">
        <v>30</v>
      </c>
      <c r="K25" s="11"/>
    </row>
    <row r="26" spans="2:11" x14ac:dyDescent="0.3">
      <c r="B26" s="78" t="s">
        <v>231</v>
      </c>
      <c r="C26" s="83">
        <v>0.2</v>
      </c>
      <c r="D26" s="84"/>
      <c r="F26" s="78"/>
      <c r="G26" s="75"/>
      <c r="H26" s="11"/>
      <c r="I26" s="78"/>
      <c r="J26" s="75"/>
      <c r="K26" s="11"/>
    </row>
    <row r="27" spans="2:11" x14ac:dyDescent="0.3">
      <c r="B27" s="78" t="s">
        <v>107</v>
      </c>
      <c r="C27" s="87">
        <f>1/40/12</f>
        <v>2.0833333333333333E-3</v>
      </c>
      <c r="D27" s="84"/>
      <c r="F27" s="78" t="s">
        <v>227</v>
      </c>
      <c r="G27" s="93">
        <v>0.115</v>
      </c>
      <c r="H27" s="11"/>
      <c r="I27" s="78" t="s">
        <v>218</v>
      </c>
      <c r="J27" s="75">
        <v>10</v>
      </c>
      <c r="K27" s="11"/>
    </row>
    <row r="28" spans="2:11" ht="26" x14ac:dyDescent="0.3">
      <c r="B28" s="78" t="s">
        <v>105</v>
      </c>
      <c r="C28" s="87">
        <f>1/12</f>
        <v>8.3333333333333329E-2</v>
      </c>
      <c r="D28" s="84"/>
      <c r="F28" s="82" t="s">
        <v>167</v>
      </c>
      <c r="G28" s="93">
        <v>0.01</v>
      </c>
      <c r="I28" s="78" t="s">
        <v>219</v>
      </c>
      <c r="J28" s="75">
        <v>30</v>
      </c>
      <c r="K28" s="11"/>
    </row>
    <row r="29" spans="2:11" x14ac:dyDescent="0.3">
      <c r="B29" s="89" t="s">
        <v>106</v>
      </c>
      <c r="C29" s="90">
        <v>1</v>
      </c>
      <c r="D29" s="85"/>
      <c r="F29" s="92"/>
      <c r="G29" s="94"/>
      <c r="I29" s="92"/>
      <c r="J29" s="94"/>
    </row>
    <row r="31" spans="2:11" x14ac:dyDescent="0.3">
      <c r="B31" s="168" t="s">
        <v>250</v>
      </c>
      <c r="C31" s="67"/>
      <c r="D31" s="95"/>
    </row>
    <row r="32" spans="2:11" x14ac:dyDescent="0.3">
      <c r="B32" s="78" t="s">
        <v>136</v>
      </c>
      <c r="C32" s="71">
        <f>598229261.16/1000</f>
        <v>598229.26115999999</v>
      </c>
      <c r="D32" s="84" t="s">
        <v>75</v>
      </c>
    </row>
    <row r="33" spans="2:7" x14ac:dyDescent="0.3">
      <c r="B33" s="78" t="s">
        <v>216</v>
      </c>
      <c r="C33" s="71">
        <v>300000</v>
      </c>
      <c r="D33" s="84" t="s">
        <v>75</v>
      </c>
    </row>
    <row r="34" spans="2:7" x14ac:dyDescent="0.3">
      <c r="B34" s="78" t="s">
        <v>182</v>
      </c>
      <c r="C34" s="71">
        <v>79990</v>
      </c>
      <c r="D34" s="84" t="s">
        <v>75</v>
      </c>
    </row>
    <row r="35" spans="2:7" x14ac:dyDescent="0.3">
      <c r="B35" s="92"/>
      <c r="C35" s="91"/>
      <c r="D35" s="85"/>
    </row>
    <row r="39" spans="2:7" x14ac:dyDescent="0.3">
      <c r="C39" s="65"/>
    </row>
    <row r="40" spans="2:7" x14ac:dyDescent="0.3">
      <c r="C40" s="65"/>
    </row>
    <row r="41" spans="2:7" x14ac:dyDescent="0.3">
      <c r="C41" s="65"/>
    </row>
    <row r="42" spans="2:7" x14ac:dyDescent="0.3">
      <c r="C42" s="65"/>
    </row>
    <row r="43" spans="2:7" x14ac:dyDescent="0.3">
      <c r="C43" s="65"/>
    </row>
    <row r="44" spans="2:7" x14ac:dyDescent="0.3">
      <c r="C44" s="65"/>
      <c r="G44" s="200"/>
    </row>
    <row r="45" spans="2:7" x14ac:dyDescent="0.3">
      <c r="C45" s="65"/>
      <c r="G45" s="26"/>
    </row>
    <row r="46" spans="2:7" x14ac:dyDescent="0.3">
      <c r="C46" s="65"/>
    </row>
    <row r="47" spans="2:7" x14ac:dyDescent="0.3">
      <c r="C47" s="65"/>
    </row>
    <row r="48" spans="2:7" x14ac:dyDescent="0.3">
      <c r="C48" s="65"/>
    </row>
    <row r="49" spans="3:3" x14ac:dyDescent="0.3">
      <c r="C49" s="65"/>
    </row>
    <row r="50" spans="3:3" x14ac:dyDescent="0.3">
      <c r="C50" s="65"/>
    </row>
    <row r="51" spans="3:3" x14ac:dyDescent="0.3">
      <c r="C51" s="6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B2:J115"/>
  <sheetViews>
    <sheetView showGridLines="0" zoomScaleNormal="100" workbookViewId="0">
      <pane ySplit="2" topLeftCell="A3" activePane="bottomLeft" state="frozen"/>
      <selection pane="bottomLeft" activeCell="H151" sqref="H151"/>
    </sheetView>
  </sheetViews>
  <sheetFormatPr defaultRowHeight="13" x14ac:dyDescent="0.3"/>
  <cols>
    <col min="1" max="1" width="8.7265625" style="1"/>
    <col min="2" max="2" width="8.81640625" style="1" bestFit="1" customWidth="1"/>
    <col min="3" max="3" width="12.08984375" style="1" bestFit="1" customWidth="1"/>
    <col min="4" max="4" width="14.90625" style="15" bestFit="1" customWidth="1"/>
    <col min="5" max="5" width="13.81640625" style="16" customWidth="1"/>
    <col min="6" max="6" width="16.1796875" style="1" bestFit="1" customWidth="1"/>
    <col min="7" max="7" width="18.81640625" style="16" bestFit="1" customWidth="1"/>
    <col min="8" max="8" width="16" style="16" bestFit="1" customWidth="1"/>
    <col min="9" max="9" width="20.54296875" style="16" customWidth="1"/>
    <col min="10" max="16384" width="8.7265625" style="1"/>
  </cols>
  <sheetData>
    <row r="2" spans="2:9" s="194" customFormat="1" ht="26" x14ac:dyDescent="0.3">
      <c r="B2" s="196" t="s">
        <v>54</v>
      </c>
      <c r="C2" s="196" t="s">
        <v>53</v>
      </c>
      <c r="D2" s="197" t="s">
        <v>1</v>
      </c>
      <c r="E2" s="198" t="s">
        <v>2</v>
      </c>
      <c r="F2" s="196" t="s">
        <v>221</v>
      </c>
      <c r="G2" s="198" t="s">
        <v>220</v>
      </c>
      <c r="H2" s="198" t="s">
        <v>229</v>
      </c>
      <c r="I2" s="198" t="s">
        <v>228</v>
      </c>
    </row>
    <row r="3" spans="2:9" x14ac:dyDescent="0.3">
      <c r="B3" s="210">
        <v>1</v>
      </c>
      <c r="C3" s="25" t="s">
        <v>47</v>
      </c>
      <c r="D3" s="204">
        <v>1064.3</v>
      </c>
      <c r="E3" s="60">
        <v>1064300</v>
      </c>
      <c r="F3" s="205"/>
      <c r="G3" s="60">
        <f t="shared" ref="G3:G66" si="0">IF(F3="+",E3,0)</f>
        <v>0</v>
      </c>
      <c r="H3" s="60">
        <f t="shared" ref="H3:H34" si="1">E3/D3</f>
        <v>1000</v>
      </c>
      <c r="I3" s="60"/>
    </row>
    <row r="4" spans="2:9" x14ac:dyDescent="0.3">
      <c r="B4" s="171">
        <v>2</v>
      </c>
      <c r="C4" s="103" t="s">
        <v>47</v>
      </c>
      <c r="D4" s="192">
        <v>1142.0999999999999</v>
      </c>
      <c r="E4" s="104">
        <v>1142100</v>
      </c>
      <c r="F4" s="193"/>
      <c r="G4" s="104">
        <f t="shared" si="0"/>
        <v>0</v>
      </c>
      <c r="H4" s="104">
        <f t="shared" si="1"/>
        <v>1000.0000000000001</v>
      </c>
      <c r="I4" s="104"/>
    </row>
    <row r="5" spans="2:9" x14ac:dyDescent="0.3">
      <c r="B5" s="210">
        <v>3</v>
      </c>
      <c r="C5" s="25" t="s">
        <v>47</v>
      </c>
      <c r="D5" s="204">
        <v>14.5</v>
      </c>
      <c r="E5" s="60">
        <v>4350</v>
      </c>
      <c r="F5" s="205"/>
      <c r="G5" s="60">
        <f t="shared" si="0"/>
        <v>0</v>
      </c>
      <c r="H5" s="60">
        <f t="shared" si="1"/>
        <v>300</v>
      </c>
      <c r="I5" s="60"/>
    </row>
    <row r="6" spans="2:9" x14ac:dyDescent="0.3">
      <c r="B6" s="171">
        <v>4</v>
      </c>
      <c r="C6" s="103" t="s">
        <v>47</v>
      </c>
      <c r="D6" s="192">
        <v>22.9</v>
      </c>
      <c r="E6" s="104">
        <v>6870</v>
      </c>
      <c r="F6" s="193"/>
      <c r="G6" s="104">
        <f t="shared" si="0"/>
        <v>0</v>
      </c>
      <c r="H6" s="104">
        <f t="shared" si="1"/>
        <v>300</v>
      </c>
      <c r="I6" s="104"/>
    </row>
    <row r="7" spans="2:9" x14ac:dyDescent="0.3">
      <c r="B7" s="210">
        <v>5</v>
      </c>
      <c r="C7" s="25" t="s">
        <v>47</v>
      </c>
      <c r="D7" s="204">
        <v>13.5</v>
      </c>
      <c r="E7" s="60">
        <v>4050</v>
      </c>
      <c r="F7" s="205"/>
      <c r="G7" s="60">
        <f t="shared" si="0"/>
        <v>0</v>
      </c>
      <c r="H7" s="60">
        <f t="shared" si="1"/>
        <v>300</v>
      </c>
      <c r="I7" s="60"/>
    </row>
    <row r="8" spans="2:9" x14ac:dyDescent="0.3">
      <c r="B8" s="171">
        <v>6</v>
      </c>
      <c r="C8" s="103" t="s">
        <v>47</v>
      </c>
      <c r="D8" s="192">
        <v>24.6</v>
      </c>
      <c r="E8" s="104">
        <v>7380</v>
      </c>
      <c r="F8" s="193"/>
      <c r="G8" s="104">
        <f t="shared" si="0"/>
        <v>0</v>
      </c>
      <c r="H8" s="104">
        <f t="shared" si="1"/>
        <v>300</v>
      </c>
      <c r="I8" s="104"/>
    </row>
    <row r="9" spans="2:9" x14ac:dyDescent="0.3">
      <c r="B9" s="210">
        <v>7</v>
      </c>
      <c r="C9" s="25" t="s">
        <v>47</v>
      </c>
      <c r="D9" s="204">
        <v>20.5</v>
      </c>
      <c r="E9" s="60">
        <v>6150</v>
      </c>
      <c r="F9" s="205"/>
      <c r="G9" s="60">
        <f t="shared" si="0"/>
        <v>0</v>
      </c>
      <c r="H9" s="60">
        <f t="shared" si="1"/>
        <v>300</v>
      </c>
      <c r="I9" s="60"/>
    </row>
    <row r="10" spans="2:9" x14ac:dyDescent="0.3">
      <c r="B10" s="171">
        <v>8</v>
      </c>
      <c r="C10" s="103" t="s">
        <v>47</v>
      </c>
      <c r="D10" s="192">
        <v>11.6</v>
      </c>
      <c r="E10" s="104">
        <v>3480</v>
      </c>
      <c r="F10" s="193"/>
      <c r="G10" s="104">
        <f t="shared" si="0"/>
        <v>0</v>
      </c>
      <c r="H10" s="104">
        <f t="shared" si="1"/>
        <v>300</v>
      </c>
      <c r="I10" s="104"/>
    </row>
    <row r="11" spans="2:9" x14ac:dyDescent="0.3">
      <c r="B11" s="210">
        <v>9</v>
      </c>
      <c r="C11" s="25" t="s">
        <v>47</v>
      </c>
      <c r="D11" s="204">
        <v>12</v>
      </c>
      <c r="E11" s="60">
        <v>3600</v>
      </c>
      <c r="F11" s="205"/>
      <c r="G11" s="60">
        <f t="shared" si="0"/>
        <v>0</v>
      </c>
      <c r="H11" s="60">
        <f t="shared" si="1"/>
        <v>300</v>
      </c>
      <c r="I11" s="60"/>
    </row>
    <row r="12" spans="2:9" x14ac:dyDescent="0.3">
      <c r="B12" s="171">
        <v>10</v>
      </c>
      <c r="C12" s="103" t="s">
        <v>3</v>
      </c>
      <c r="D12" s="192">
        <v>57.5</v>
      </c>
      <c r="E12" s="104">
        <v>145000</v>
      </c>
      <c r="F12" s="193"/>
      <c r="G12" s="104">
        <f t="shared" si="0"/>
        <v>0</v>
      </c>
      <c r="H12" s="104">
        <f t="shared" si="1"/>
        <v>2521.7391304347825</v>
      </c>
      <c r="I12" s="104"/>
    </row>
    <row r="13" spans="2:9" x14ac:dyDescent="0.3">
      <c r="B13" s="210">
        <v>11</v>
      </c>
      <c r="C13" s="25" t="s">
        <v>3</v>
      </c>
      <c r="D13" s="204">
        <v>88.9</v>
      </c>
      <c r="E13" s="60">
        <v>222250</v>
      </c>
      <c r="F13" s="205"/>
      <c r="G13" s="60">
        <f t="shared" si="0"/>
        <v>0</v>
      </c>
      <c r="H13" s="60">
        <f t="shared" si="1"/>
        <v>2500</v>
      </c>
      <c r="I13" s="60"/>
    </row>
    <row r="14" spans="2:9" x14ac:dyDescent="0.3">
      <c r="B14" s="171">
        <v>12</v>
      </c>
      <c r="C14" s="103" t="s">
        <v>3</v>
      </c>
      <c r="D14" s="192">
        <v>32.5</v>
      </c>
      <c r="E14" s="104">
        <v>84094</v>
      </c>
      <c r="F14" s="193"/>
      <c r="G14" s="104">
        <f t="shared" si="0"/>
        <v>0</v>
      </c>
      <c r="H14" s="104">
        <f t="shared" si="1"/>
        <v>2587.5076923076922</v>
      </c>
      <c r="I14" s="104"/>
    </row>
    <row r="15" spans="2:9" x14ac:dyDescent="0.3">
      <c r="B15" s="210">
        <v>13</v>
      </c>
      <c r="C15" s="25" t="s">
        <v>3</v>
      </c>
      <c r="D15" s="204">
        <v>32.4</v>
      </c>
      <c r="E15" s="60">
        <v>97200</v>
      </c>
      <c r="F15" s="205"/>
      <c r="G15" s="60">
        <f t="shared" si="0"/>
        <v>0</v>
      </c>
      <c r="H15" s="60">
        <f t="shared" si="1"/>
        <v>3000</v>
      </c>
      <c r="I15" s="60"/>
    </row>
    <row r="16" spans="2:9" x14ac:dyDescent="0.3">
      <c r="B16" s="171">
        <v>14</v>
      </c>
      <c r="C16" s="103" t="s">
        <v>3</v>
      </c>
      <c r="D16" s="192">
        <v>99.9</v>
      </c>
      <c r="E16" s="104">
        <v>211988</v>
      </c>
      <c r="F16" s="193"/>
      <c r="G16" s="104">
        <f t="shared" si="0"/>
        <v>0</v>
      </c>
      <c r="H16" s="104">
        <f t="shared" si="1"/>
        <v>2122.002002002002</v>
      </c>
      <c r="I16" s="104"/>
    </row>
    <row r="17" spans="2:9" x14ac:dyDescent="0.3">
      <c r="B17" s="210">
        <v>15</v>
      </c>
      <c r="C17" s="25" t="s">
        <v>3</v>
      </c>
      <c r="D17" s="204">
        <v>35.5</v>
      </c>
      <c r="E17" s="60">
        <v>106500</v>
      </c>
      <c r="F17" s="205"/>
      <c r="G17" s="60">
        <f t="shared" si="0"/>
        <v>0</v>
      </c>
      <c r="H17" s="60">
        <f t="shared" si="1"/>
        <v>3000</v>
      </c>
      <c r="I17" s="60"/>
    </row>
    <row r="18" spans="2:9" x14ac:dyDescent="0.3">
      <c r="B18" s="171">
        <v>16</v>
      </c>
      <c r="C18" s="103" t="s">
        <v>3</v>
      </c>
      <c r="D18" s="192">
        <v>8</v>
      </c>
      <c r="E18" s="104">
        <v>32500</v>
      </c>
      <c r="F18" s="193"/>
      <c r="G18" s="104">
        <f t="shared" si="0"/>
        <v>0</v>
      </c>
      <c r="H18" s="104">
        <f t="shared" si="1"/>
        <v>4062.5</v>
      </c>
      <c r="I18" s="104"/>
    </row>
    <row r="19" spans="2:9" x14ac:dyDescent="0.3">
      <c r="B19" s="210">
        <v>17</v>
      </c>
      <c r="C19" s="25" t="s">
        <v>3</v>
      </c>
      <c r="D19" s="204">
        <v>15.6</v>
      </c>
      <c r="E19" s="60">
        <v>25943</v>
      </c>
      <c r="F19" s="205"/>
      <c r="G19" s="60">
        <f t="shared" si="0"/>
        <v>0</v>
      </c>
      <c r="H19" s="60">
        <f t="shared" si="1"/>
        <v>1663.0128205128206</v>
      </c>
      <c r="I19" s="60"/>
    </row>
    <row r="20" spans="2:9" x14ac:dyDescent="0.3">
      <c r="B20" s="171">
        <v>18</v>
      </c>
      <c r="C20" s="103" t="s">
        <v>3</v>
      </c>
      <c r="D20" s="192">
        <v>10</v>
      </c>
      <c r="E20" s="104">
        <v>30000</v>
      </c>
      <c r="F20" s="193"/>
      <c r="G20" s="104">
        <f t="shared" si="0"/>
        <v>0</v>
      </c>
      <c r="H20" s="104">
        <f t="shared" si="1"/>
        <v>3000</v>
      </c>
      <c r="I20" s="104"/>
    </row>
    <row r="21" spans="2:9" x14ac:dyDescent="0.3">
      <c r="B21" s="210">
        <v>19</v>
      </c>
      <c r="C21" s="25" t="s">
        <v>3</v>
      </c>
      <c r="D21" s="204">
        <v>11.2</v>
      </c>
      <c r="E21" s="60">
        <v>28000</v>
      </c>
      <c r="F21" s="205"/>
      <c r="G21" s="60">
        <f t="shared" si="0"/>
        <v>0</v>
      </c>
      <c r="H21" s="60">
        <f t="shared" si="1"/>
        <v>2500</v>
      </c>
      <c r="I21" s="60"/>
    </row>
    <row r="22" spans="2:9" x14ac:dyDescent="0.3">
      <c r="B22" s="171">
        <v>20</v>
      </c>
      <c r="C22" s="103" t="s">
        <v>3</v>
      </c>
      <c r="D22" s="192">
        <v>16.100000000000001</v>
      </c>
      <c r="E22" s="104">
        <v>48300</v>
      </c>
      <c r="F22" s="193"/>
      <c r="G22" s="104">
        <f t="shared" si="0"/>
        <v>0</v>
      </c>
      <c r="H22" s="104">
        <f t="shared" si="1"/>
        <v>2999.9999999999995</v>
      </c>
      <c r="I22" s="104"/>
    </row>
    <row r="23" spans="2:9" x14ac:dyDescent="0.3">
      <c r="B23" s="210">
        <v>21</v>
      </c>
      <c r="C23" s="25" t="s">
        <v>3</v>
      </c>
      <c r="D23" s="204">
        <v>34.1</v>
      </c>
      <c r="E23" s="60">
        <v>109120</v>
      </c>
      <c r="F23" s="205"/>
      <c r="G23" s="60">
        <f t="shared" si="0"/>
        <v>0</v>
      </c>
      <c r="H23" s="60">
        <f t="shared" si="1"/>
        <v>3200</v>
      </c>
      <c r="I23" s="60"/>
    </row>
    <row r="24" spans="2:9" x14ac:dyDescent="0.3">
      <c r="B24" s="171">
        <v>22</v>
      </c>
      <c r="C24" s="103" t="s">
        <v>3</v>
      </c>
      <c r="D24" s="192">
        <v>48</v>
      </c>
      <c r="E24" s="104">
        <v>144000</v>
      </c>
      <c r="F24" s="193"/>
      <c r="G24" s="104">
        <f t="shared" si="0"/>
        <v>0</v>
      </c>
      <c r="H24" s="104">
        <f t="shared" si="1"/>
        <v>3000</v>
      </c>
      <c r="I24" s="104"/>
    </row>
    <row r="25" spans="2:9" x14ac:dyDescent="0.3">
      <c r="B25" s="210">
        <v>23</v>
      </c>
      <c r="C25" s="25" t="s">
        <v>3</v>
      </c>
      <c r="D25" s="204">
        <v>39.799999999999997</v>
      </c>
      <c r="E25" s="60">
        <v>119400</v>
      </c>
      <c r="F25" s="205"/>
      <c r="G25" s="60">
        <f t="shared" si="0"/>
        <v>0</v>
      </c>
      <c r="H25" s="60">
        <f t="shared" si="1"/>
        <v>3000</v>
      </c>
      <c r="I25" s="60"/>
    </row>
    <row r="26" spans="2:9" x14ac:dyDescent="0.3">
      <c r="B26" s="171">
        <v>24</v>
      </c>
      <c r="C26" s="103" t="s">
        <v>3</v>
      </c>
      <c r="D26" s="192">
        <v>41.7</v>
      </c>
      <c r="E26" s="104">
        <v>108800</v>
      </c>
      <c r="F26" s="193"/>
      <c r="G26" s="104">
        <f t="shared" si="0"/>
        <v>0</v>
      </c>
      <c r="H26" s="104">
        <f t="shared" si="1"/>
        <v>2609.112709832134</v>
      </c>
      <c r="I26" s="104"/>
    </row>
    <row r="27" spans="2:9" x14ac:dyDescent="0.3">
      <c r="B27" s="210">
        <v>25</v>
      </c>
      <c r="C27" s="25" t="s">
        <v>3</v>
      </c>
      <c r="D27" s="204">
        <v>88.7</v>
      </c>
      <c r="E27" s="60">
        <v>210000</v>
      </c>
      <c r="F27" s="205"/>
      <c r="G27" s="60">
        <f t="shared" si="0"/>
        <v>0</v>
      </c>
      <c r="H27" s="60">
        <f t="shared" si="1"/>
        <v>2367.531003382187</v>
      </c>
      <c r="I27" s="60"/>
    </row>
    <row r="28" spans="2:9" x14ac:dyDescent="0.3">
      <c r="B28" s="171">
        <v>26</v>
      </c>
      <c r="C28" s="103" t="s">
        <v>3</v>
      </c>
      <c r="D28" s="192">
        <v>1470</v>
      </c>
      <c r="E28" s="104">
        <f>SUM(E29:E40,E12:E27)/SUM(D12:D27,D29:D40)/2*D28</f>
        <v>1893853.5569649269</v>
      </c>
      <c r="F28" s="193" t="s">
        <v>48</v>
      </c>
      <c r="G28" s="104">
        <f t="shared" si="0"/>
        <v>1893853.5569649269</v>
      </c>
      <c r="H28" s="104">
        <f t="shared" si="1"/>
        <v>1288.3357530373653</v>
      </c>
      <c r="I28" s="104"/>
    </row>
    <row r="29" spans="2:9" x14ac:dyDescent="0.3">
      <c r="B29" s="210">
        <v>27</v>
      </c>
      <c r="C29" s="25" t="s">
        <v>3</v>
      </c>
      <c r="D29" s="204">
        <v>65.3</v>
      </c>
      <c r="E29" s="60">
        <v>173437</v>
      </c>
      <c r="F29" s="205"/>
      <c r="G29" s="60">
        <f t="shared" si="0"/>
        <v>0</v>
      </c>
      <c r="H29" s="60">
        <f t="shared" si="1"/>
        <v>2656.0030627871365</v>
      </c>
      <c r="I29" s="60"/>
    </row>
    <row r="30" spans="2:9" x14ac:dyDescent="0.3">
      <c r="B30" s="171">
        <v>28</v>
      </c>
      <c r="C30" s="103" t="s">
        <v>3</v>
      </c>
      <c r="D30" s="192">
        <v>78.900000000000006</v>
      </c>
      <c r="E30" s="104">
        <v>215213</v>
      </c>
      <c r="F30" s="193"/>
      <c r="G30" s="104">
        <f t="shared" si="0"/>
        <v>0</v>
      </c>
      <c r="H30" s="104">
        <f t="shared" si="1"/>
        <v>2727.6679340937894</v>
      </c>
      <c r="I30" s="104"/>
    </row>
    <row r="31" spans="2:9" x14ac:dyDescent="0.3">
      <c r="B31" s="210">
        <v>29</v>
      </c>
      <c r="C31" s="25" t="s">
        <v>3</v>
      </c>
      <c r="D31" s="204">
        <v>77.099999999999994</v>
      </c>
      <c r="E31" s="60">
        <v>205625</v>
      </c>
      <c r="F31" s="205"/>
      <c r="G31" s="60">
        <f t="shared" si="0"/>
        <v>0</v>
      </c>
      <c r="H31" s="60">
        <f t="shared" si="1"/>
        <v>2666.9909208819718</v>
      </c>
      <c r="I31" s="60"/>
    </row>
    <row r="32" spans="2:9" x14ac:dyDescent="0.3">
      <c r="B32" s="171">
        <v>30</v>
      </c>
      <c r="C32" s="103" t="s">
        <v>3</v>
      </c>
      <c r="D32" s="192">
        <v>44.9</v>
      </c>
      <c r="E32" s="104">
        <v>135777</v>
      </c>
      <c r="F32" s="193"/>
      <c r="G32" s="104">
        <f t="shared" si="0"/>
        <v>0</v>
      </c>
      <c r="H32" s="104">
        <f t="shared" si="1"/>
        <v>3023.9866369710467</v>
      </c>
      <c r="I32" s="104"/>
    </row>
    <row r="33" spans="2:9" x14ac:dyDescent="0.3">
      <c r="B33" s="210">
        <v>31</v>
      </c>
      <c r="C33" s="25" t="s">
        <v>3</v>
      </c>
      <c r="D33" s="204">
        <v>12.3</v>
      </c>
      <c r="E33" s="60">
        <v>60000</v>
      </c>
      <c r="F33" s="205"/>
      <c r="G33" s="60">
        <f t="shared" si="0"/>
        <v>0</v>
      </c>
      <c r="H33" s="60">
        <f t="shared" si="1"/>
        <v>4878.0487804878048</v>
      </c>
      <c r="I33" s="60"/>
    </row>
    <row r="34" spans="2:9" x14ac:dyDescent="0.3">
      <c r="B34" s="171">
        <v>32</v>
      </c>
      <c r="C34" s="103" t="s">
        <v>3</v>
      </c>
      <c r="D34" s="192">
        <v>48.1</v>
      </c>
      <c r="E34" s="104">
        <v>123039</v>
      </c>
      <c r="F34" s="193"/>
      <c r="G34" s="104">
        <f t="shared" si="0"/>
        <v>0</v>
      </c>
      <c r="H34" s="104">
        <f t="shared" si="1"/>
        <v>2557.9833679833678</v>
      </c>
      <c r="I34" s="104"/>
    </row>
    <row r="35" spans="2:9" x14ac:dyDescent="0.3">
      <c r="B35" s="210">
        <v>33</v>
      </c>
      <c r="C35" s="25" t="s">
        <v>3</v>
      </c>
      <c r="D35" s="204">
        <v>55.7</v>
      </c>
      <c r="E35" s="60">
        <v>167100</v>
      </c>
      <c r="F35" s="205"/>
      <c r="G35" s="60">
        <f t="shared" si="0"/>
        <v>0</v>
      </c>
      <c r="H35" s="60">
        <f t="shared" ref="H35:H66" si="2">E35/D35</f>
        <v>3000</v>
      </c>
      <c r="I35" s="60"/>
    </row>
    <row r="36" spans="2:9" x14ac:dyDescent="0.3">
      <c r="B36" s="171">
        <v>34</v>
      </c>
      <c r="C36" s="103" t="s">
        <v>3</v>
      </c>
      <c r="D36" s="192">
        <v>128.30000000000001</v>
      </c>
      <c r="E36" s="104">
        <v>228000</v>
      </c>
      <c r="F36" s="193"/>
      <c r="G36" s="104">
        <f t="shared" si="0"/>
        <v>0</v>
      </c>
      <c r="H36" s="104">
        <f t="shared" si="2"/>
        <v>1777.0849571317224</v>
      </c>
      <c r="I36" s="104"/>
    </row>
    <row r="37" spans="2:9" x14ac:dyDescent="0.3">
      <c r="B37" s="210">
        <v>35</v>
      </c>
      <c r="C37" s="25" t="s">
        <v>3</v>
      </c>
      <c r="D37" s="204">
        <v>41.4</v>
      </c>
      <c r="E37" s="60">
        <v>103500</v>
      </c>
      <c r="F37" s="205"/>
      <c r="G37" s="60">
        <f t="shared" si="0"/>
        <v>0</v>
      </c>
      <c r="H37" s="60">
        <f t="shared" si="2"/>
        <v>2500</v>
      </c>
      <c r="I37" s="60"/>
    </row>
    <row r="38" spans="2:9" x14ac:dyDescent="0.3">
      <c r="B38" s="171">
        <v>36</v>
      </c>
      <c r="C38" s="103" t="s">
        <v>3</v>
      </c>
      <c r="D38" s="192">
        <v>34.299999999999997</v>
      </c>
      <c r="E38" s="104">
        <v>68600</v>
      </c>
      <c r="F38" s="193"/>
      <c r="G38" s="104">
        <f t="shared" si="0"/>
        <v>0</v>
      </c>
      <c r="H38" s="104">
        <f t="shared" si="2"/>
        <v>2000.0000000000002</v>
      </c>
      <c r="I38" s="104"/>
    </row>
    <row r="39" spans="2:9" x14ac:dyDescent="0.3">
      <c r="B39" s="210">
        <v>37</v>
      </c>
      <c r="C39" s="25" t="s">
        <v>3</v>
      </c>
      <c r="D39" s="204">
        <v>23.2</v>
      </c>
      <c r="E39" s="60">
        <v>69600</v>
      </c>
      <c r="F39" s="205"/>
      <c r="G39" s="60">
        <f t="shared" si="0"/>
        <v>0</v>
      </c>
      <c r="H39" s="60">
        <f t="shared" si="2"/>
        <v>3000</v>
      </c>
      <c r="I39" s="60"/>
    </row>
    <row r="40" spans="2:9" x14ac:dyDescent="0.3">
      <c r="B40" s="171">
        <v>38</v>
      </c>
      <c r="C40" s="103" t="s">
        <v>3</v>
      </c>
      <c r="D40" s="192">
        <v>39.299999999999997</v>
      </c>
      <c r="E40" s="104">
        <v>99104</v>
      </c>
      <c r="F40" s="193"/>
      <c r="G40" s="104">
        <f t="shared" si="0"/>
        <v>0</v>
      </c>
      <c r="H40" s="104">
        <f t="shared" si="2"/>
        <v>2521.7302798982191</v>
      </c>
      <c r="I40" s="104"/>
    </row>
    <row r="41" spans="2:9" x14ac:dyDescent="0.3">
      <c r="B41" s="210">
        <v>39</v>
      </c>
      <c r="C41" s="25" t="s">
        <v>4</v>
      </c>
      <c r="D41" s="204">
        <v>36.4</v>
      </c>
      <c r="E41" s="60">
        <v>65520</v>
      </c>
      <c r="F41" s="205"/>
      <c r="G41" s="60">
        <f t="shared" si="0"/>
        <v>0</v>
      </c>
      <c r="H41" s="60">
        <f t="shared" si="2"/>
        <v>1800</v>
      </c>
      <c r="I41" s="60"/>
    </row>
    <row r="42" spans="2:9" x14ac:dyDescent="0.3">
      <c r="B42" s="171">
        <v>40</v>
      </c>
      <c r="C42" s="103" t="s">
        <v>4</v>
      </c>
      <c r="D42" s="192">
        <v>24.9</v>
      </c>
      <c r="E42" s="104">
        <v>38660</v>
      </c>
      <c r="F42" s="193"/>
      <c r="G42" s="104">
        <f t="shared" si="0"/>
        <v>0</v>
      </c>
      <c r="H42" s="104">
        <f t="shared" si="2"/>
        <v>1552.6104417670683</v>
      </c>
      <c r="I42" s="104"/>
    </row>
    <row r="43" spans="2:9" x14ac:dyDescent="0.3">
      <c r="B43" s="210">
        <v>41</v>
      </c>
      <c r="C43" s="25" t="s">
        <v>4</v>
      </c>
      <c r="D43" s="204">
        <v>34.4</v>
      </c>
      <c r="E43" s="60">
        <v>50000</v>
      </c>
      <c r="F43" s="205"/>
      <c r="G43" s="60">
        <f t="shared" si="0"/>
        <v>0</v>
      </c>
      <c r="H43" s="60">
        <f t="shared" si="2"/>
        <v>1453.4883720930234</v>
      </c>
      <c r="I43" s="60"/>
    </row>
    <row r="44" spans="2:9" x14ac:dyDescent="0.3">
      <c r="B44" s="171">
        <v>42</v>
      </c>
      <c r="C44" s="103" t="s">
        <v>4</v>
      </c>
      <c r="D44" s="192">
        <v>163.80000000000001</v>
      </c>
      <c r="E44" s="104">
        <v>294840</v>
      </c>
      <c r="F44" s="193"/>
      <c r="G44" s="104">
        <f t="shared" si="0"/>
        <v>0</v>
      </c>
      <c r="H44" s="104">
        <f t="shared" si="2"/>
        <v>1799.9999999999998</v>
      </c>
      <c r="I44" s="104"/>
    </row>
    <row r="45" spans="2:9" x14ac:dyDescent="0.3">
      <c r="B45" s="210">
        <v>43</v>
      </c>
      <c r="C45" s="25" t="s">
        <v>4</v>
      </c>
      <c r="D45" s="204">
        <v>39.299999999999997</v>
      </c>
      <c r="E45" s="60">
        <v>51090</v>
      </c>
      <c r="F45" s="205"/>
      <c r="G45" s="60">
        <f t="shared" si="0"/>
        <v>0</v>
      </c>
      <c r="H45" s="60">
        <f t="shared" si="2"/>
        <v>1300</v>
      </c>
      <c r="I45" s="60"/>
    </row>
    <row r="46" spans="2:9" x14ac:dyDescent="0.3">
      <c r="B46" s="171">
        <v>44</v>
      </c>
      <c r="C46" s="103" t="s">
        <v>4</v>
      </c>
      <c r="D46" s="192">
        <v>39.9</v>
      </c>
      <c r="E46" s="104">
        <v>74000</v>
      </c>
      <c r="F46" s="193"/>
      <c r="G46" s="104">
        <f t="shared" si="0"/>
        <v>0</v>
      </c>
      <c r="H46" s="104">
        <f t="shared" si="2"/>
        <v>1854.6365914786968</v>
      </c>
      <c r="I46" s="104"/>
    </row>
    <row r="47" spans="2:9" x14ac:dyDescent="0.3">
      <c r="B47" s="210">
        <v>45</v>
      </c>
      <c r="C47" s="25" t="s">
        <v>4</v>
      </c>
      <c r="D47" s="204">
        <v>33.9</v>
      </c>
      <c r="E47" s="60">
        <v>66800</v>
      </c>
      <c r="F47" s="205"/>
      <c r="G47" s="60">
        <f t="shared" si="0"/>
        <v>0</v>
      </c>
      <c r="H47" s="60">
        <f t="shared" si="2"/>
        <v>1970.5014749262539</v>
      </c>
      <c r="I47" s="60"/>
    </row>
    <row r="48" spans="2:9" x14ac:dyDescent="0.3">
      <c r="B48" s="171">
        <v>46</v>
      </c>
      <c r="C48" s="103" t="s">
        <v>4</v>
      </c>
      <c r="D48" s="192">
        <v>42.2</v>
      </c>
      <c r="E48" s="104">
        <v>70000</v>
      </c>
      <c r="F48" s="193"/>
      <c r="G48" s="104">
        <f t="shared" si="0"/>
        <v>0</v>
      </c>
      <c r="H48" s="104">
        <f t="shared" si="2"/>
        <v>1658.7677725118483</v>
      </c>
      <c r="I48" s="104"/>
    </row>
    <row r="49" spans="2:9" x14ac:dyDescent="0.3">
      <c r="B49" s="210">
        <v>47</v>
      </c>
      <c r="C49" s="25" t="s">
        <v>4</v>
      </c>
      <c r="D49" s="204">
        <v>8.1</v>
      </c>
      <c r="E49" s="60">
        <v>20250</v>
      </c>
      <c r="F49" s="205"/>
      <c r="G49" s="60">
        <f t="shared" si="0"/>
        <v>0</v>
      </c>
      <c r="H49" s="60">
        <f t="shared" si="2"/>
        <v>2500</v>
      </c>
      <c r="I49" s="60"/>
    </row>
    <row r="50" spans="2:9" x14ac:dyDescent="0.3">
      <c r="B50" s="171">
        <v>48</v>
      </c>
      <c r="C50" s="103" t="s">
        <v>4</v>
      </c>
      <c r="D50" s="192">
        <v>5.3</v>
      </c>
      <c r="E50" s="104">
        <v>18800</v>
      </c>
      <c r="F50" s="193"/>
      <c r="G50" s="104">
        <f t="shared" si="0"/>
        <v>0</v>
      </c>
      <c r="H50" s="104">
        <f t="shared" si="2"/>
        <v>3547.1698113207549</v>
      </c>
      <c r="I50" s="104"/>
    </row>
    <row r="51" spans="2:9" x14ac:dyDescent="0.3">
      <c r="B51" s="210">
        <v>49</v>
      </c>
      <c r="C51" s="25" t="s">
        <v>4</v>
      </c>
      <c r="D51" s="204">
        <v>6.1</v>
      </c>
      <c r="E51" s="60">
        <v>25800</v>
      </c>
      <c r="F51" s="205"/>
      <c r="G51" s="60">
        <f t="shared" si="0"/>
        <v>0</v>
      </c>
      <c r="H51" s="60">
        <f t="shared" si="2"/>
        <v>4229.5081967213118</v>
      </c>
      <c r="I51" s="60"/>
    </row>
    <row r="52" spans="2:9" x14ac:dyDescent="0.3">
      <c r="B52" s="171">
        <v>50</v>
      </c>
      <c r="C52" s="103" t="s">
        <v>4</v>
      </c>
      <c r="D52" s="192">
        <v>1365</v>
      </c>
      <c r="E52" s="104">
        <f>SUM(E41:E51,E53:E69)/SUM(D41:D51,D53:D69)/2*D52</f>
        <v>1194394.9453404048</v>
      </c>
      <c r="F52" s="193" t="s">
        <v>48</v>
      </c>
      <c r="G52" s="104">
        <f t="shared" si="0"/>
        <v>1194394.9453404048</v>
      </c>
      <c r="H52" s="104">
        <f t="shared" si="2"/>
        <v>875.01461197099252</v>
      </c>
      <c r="I52" s="104"/>
    </row>
    <row r="53" spans="2:9" x14ac:dyDescent="0.3">
      <c r="B53" s="210">
        <v>51</v>
      </c>
      <c r="C53" s="25" t="s">
        <v>4</v>
      </c>
      <c r="D53" s="204">
        <v>24.7</v>
      </c>
      <c r="E53" s="60">
        <v>24700</v>
      </c>
      <c r="F53" s="205"/>
      <c r="G53" s="60">
        <f t="shared" si="0"/>
        <v>0</v>
      </c>
      <c r="H53" s="60">
        <f t="shared" si="2"/>
        <v>1000</v>
      </c>
      <c r="I53" s="60"/>
    </row>
    <row r="54" spans="2:9" x14ac:dyDescent="0.3">
      <c r="B54" s="171">
        <v>52</v>
      </c>
      <c r="C54" s="103" t="s">
        <v>4</v>
      </c>
      <c r="D54" s="192">
        <v>17.899999999999999</v>
      </c>
      <c r="E54" s="104">
        <v>17900</v>
      </c>
      <c r="F54" s="193"/>
      <c r="G54" s="104">
        <f t="shared" si="0"/>
        <v>0</v>
      </c>
      <c r="H54" s="104">
        <f t="shared" si="2"/>
        <v>1000.0000000000001</v>
      </c>
      <c r="I54" s="104"/>
    </row>
    <row r="55" spans="2:9" x14ac:dyDescent="0.3">
      <c r="B55" s="210">
        <v>53</v>
      </c>
      <c r="C55" s="25" t="s">
        <v>4</v>
      </c>
      <c r="D55" s="204">
        <v>5.8</v>
      </c>
      <c r="E55" s="60">
        <v>5800</v>
      </c>
      <c r="F55" s="205"/>
      <c r="G55" s="60">
        <f t="shared" si="0"/>
        <v>0</v>
      </c>
      <c r="H55" s="60">
        <f t="shared" si="2"/>
        <v>1000</v>
      </c>
      <c r="I55" s="60"/>
    </row>
    <row r="56" spans="2:9" x14ac:dyDescent="0.3">
      <c r="B56" s="171">
        <v>54</v>
      </c>
      <c r="C56" s="103" t="s">
        <v>4</v>
      </c>
      <c r="D56" s="192">
        <v>25.2</v>
      </c>
      <c r="E56" s="104">
        <v>25200</v>
      </c>
      <c r="F56" s="193"/>
      <c r="G56" s="104">
        <f t="shared" si="0"/>
        <v>0</v>
      </c>
      <c r="H56" s="104">
        <f t="shared" si="2"/>
        <v>1000</v>
      </c>
      <c r="I56" s="104"/>
    </row>
    <row r="57" spans="2:9" x14ac:dyDescent="0.3">
      <c r="B57" s="210">
        <v>55</v>
      </c>
      <c r="C57" s="25" t="s">
        <v>4</v>
      </c>
      <c r="D57" s="204">
        <v>9.3000000000000007</v>
      </c>
      <c r="E57" s="60">
        <v>9300</v>
      </c>
      <c r="F57" s="205"/>
      <c r="G57" s="60">
        <f t="shared" si="0"/>
        <v>0</v>
      </c>
      <c r="H57" s="60">
        <f t="shared" si="2"/>
        <v>999.99999999999989</v>
      </c>
      <c r="I57" s="60"/>
    </row>
    <row r="58" spans="2:9" x14ac:dyDescent="0.3">
      <c r="B58" s="171">
        <v>56</v>
      </c>
      <c r="C58" s="103" t="s">
        <v>4</v>
      </c>
      <c r="D58" s="192">
        <v>50</v>
      </c>
      <c r="E58" s="104">
        <v>105000</v>
      </c>
      <c r="F58" s="193"/>
      <c r="G58" s="104">
        <f t="shared" si="0"/>
        <v>0</v>
      </c>
      <c r="H58" s="104">
        <f t="shared" si="2"/>
        <v>2100</v>
      </c>
      <c r="I58" s="104"/>
    </row>
    <row r="59" spans="2:9" x14ac:dyDescent="0.3">
      <c r="B59" s="210">
        <v>57</v>
      </c>
      <c r="C59" s="25" t="s">
        <v>4</v>
      </c>
      <c r="D59" s="204">
        <v>50</v>
      </c>
      <c r="E59" s="60">
        <v>105000</v>
      </c>
      <c r="F59" s="205"/>
      <c r="G59" s="60">
        <f t="shared" si="0"/>
        <v>0</v>
      </c>
      <c r="H59" s="60">
        <f t="shared" si="2"/>
        <v>2100</v>
      </c>
      <c r="I59" s="60"/>
    </row>
    <row r="60" spans="2:9" x14ac:dyDescent="0.3">
      <c r="B60" s="171">
        <v>58</v>
      </c>
      <c r="C60" s="103" t="s">
        <v>4</v>
      </c>
      <c r="D60" s="192">
        <v>23.2</v>
      </c>
      <c r="E60" s="104">
        <v>64700</v>
      </c>
      <c r="F60" s="193"/>
      <c r="G60" s="104">
        <f t="shared" si="0"/>
        <v>0</v>
      </c>
      <c r="H60" s="104">
        <f t="shared" si="2"/>
        <v>2788.7931034482758</v>
      </c>
      <c r="I60" s="104"/>
    </row>
    <row r="61" spans="2:9" x14ac:dyDescent="0.3">
      <c r="B61" s="210">
        <v>59</v>
      </c>
      <c r="C61" s="25" t="s">
        <v>4</v>
      </c>
      <c r="D61" s="204">
        <v>34.6</v>
      </c>
      <c r="E61" s="60">
        <v>63242</v>
      </c>
      <c r="F61" s="205"/>
      <c r="G61" s="60">
        <f t="shared" si="0"/>
        <v>0</v>
      </c>
      <c r="H61" s="60">
        <f t="shared" si="2"/>
        <v>1827.8034682080925</v>
      </c>
      <c r="I61" s="60"/>
    </row>
    <row r="62" spans="2:9" x14ac:dyDescent="0.3">
      <c r="B62" s="171">
        <v>60</v>
      </c>
      <c r="C62" s="103" t="s">
        <v>4</v>
      </c>
      <c r="D62" s="192">
        <v>23.7</v>
      </c>
      <c r="E62" s="104">
        <v>61700</v>
      </c>
      <c r="F62" s="193"/>
      <c r="G62" s="104">
        <f t="shared" si="0"/>
        <v>0</v>
      </c>
      <c r="H62" s="104">
        <f t="shared" si="2"/>
        <v>2603.3755274261603</v>
      </c>
      <c r="I62" s="104"/>
    </row>
    <row r="63" spans="2:9" x14ac:dyDescent="0.3">
      <c r="B63" s="210">
        <v>61</v>
      </c>
      <c r="C63" s="25" t="s">
        <v>4</v>
      </c>
      <c r="D63" s="204">
        <v>35.1</v>
      </c>
      <c r="E63" s="60">
        <v>54400</v>
      </c>
      <c r="F63" s="205"/>
      <c r="G63" s="60">
        <f t="shared" si="0"/>
        <v>0</v>
      </c>
      <c r="H63" s="60">
        <f t="shared" si="2"/>
        <v>1549.8575498575499</v>
      </c>
      <c r="I63" s="60"/>
    </row>
    <row r="64" spans="2:9" x14ac:dyDescent="0.3">
      <c r="B64" s="171">
        <v>62</v>
      </c>
      <c r="C64" s="103" t="s">
        <v>4</v>
      </c>
      <c r="D64" s="192">
        <v>35.9</v>
      </c>
      <c r="E64" s="104">
        <v>50000</v>
      </c>
      <c r="F64" s="193"/>
      <c r="G64" s="104">
        <f t="shared" si="0"/>
        <v>0</v>
      </c>
      <c r="H64" s="104">
        <f t="shared" si="2"/>
        <v>1392.757660167131</v>
      </c>
      <c r="I64" s="104"/>
    </row>
    <row r="65" spans="2:10" x14ac:dyDescent="0.3">
      <c r="B65" s="210">
        <v>63</v>
      </c>
      <c r="C65" s="25" t="s">
        <v>4</v>
      </c>
      <c r="D65" s="204">
        <v>34.299999999999997</v>
      </c>
      <c r="E65" s="60">
        <v>61740</v>
      </c>
      <c r="F65" s="205"/>
      <c r="G65" s="60">
        <f t="shared" si="0"/>
        <v>0</v>
      </c>
      <c r="H65" s="60">
        <f t="shared" si="2"/>
        <v>1800.0000000000002</v>
      </c>
      <c r="I65" s="60"/>
    </row>
    <row r="66" spans="2:10" x14ac:dyDescent="0.3">
      <c r="B66" s="171">
        <v>64</v>
      </c>
      <c r="C66" s="103" t="s">
        <v>4</v>
      </c>
      <c r="D66" s="192">
        <v>39.1</v>
      </c>
      <c r="E66" s="104">
        <v>55773</v>
      </c>
      <c r="F66" s="193"/>
      <c r="G66" s="104">
        <f t="shared" si="0"/>
        <v>0</v>
      </c>
      <c r="H66" s="104">
        <f t="shared" si="2"/>
        <v>1426.4194373401533</v>
      </c>
      <c r="I66" s="104"/>
    </row>
    <row r="67" spans="2:10" x14ac:dyDescent="0.3">
      <c r="B67" s="210">
        <v>65</v>
      </c>
      <c r="C67" s="25" t="s">
        <v>4</v>
      </c>
      <c r="D67" s="204">
        <v>17.899999999999999</v>
      </c>
      <c r="E67" s="60">
        <v>47500</v>
      </c>
      <c r="F67" s="205"/>
      <c r="G67" s="60">
        <f t="shared" ref="G67:G69" si="3">IF(F67="+",E67,0)</f>
        <v>0</v>
      </c>
      <c r="H67" s="60">
        <f t="shared" ref="H67:H92" si="4">E67/D67</f>
        <v>2653.6312849162014</v>
      </c>
      <c r="I67" s="60"/>
    </row>
    <row r="68" spans="2:10" x14ac:dyDescent="0.3">
      <c r="B68" s="171">
        <v>66</v>
      </c>
      <c r="C68" s="103" t="s">
        <v>4</v>
      </c>
      <c r="D68" s="192">
        <v>31.3</v>
      </c>
      <c r="E68" s="104">
        <v>44637</v>
      </c>
      <c r="F68" s="193"/>
      <c r="G68" s="104">
        <f t="shared" si="3"/>
        <v>0</v>
      </c>
      <c r="H68" s="104">
        <f t="shared" si="4"/>
        <v>1426.1022364217251</v>
      </c>
      <c r="I68" s="104"/>
    </row>
    <row r="69" spans="2:10" x14ac:dyDescent="0.3">
      <c r="B69" s="210">
        <v>67</v>
      </c>
      <c r="C69" s="25" t="s">
        <v>4</v>
      </c>
      <c r="D69" s="204">
        <v>31.6</v>
      </c>
      <c r="E69" s="60">
        <v>44500</v>
      </c>
      <c r="F69" s="205"/>
      <c r="G69" s="60">
        <f t="shared" si="3"/>
        <v>0</v>
      </c>
      <c r="H69" s="60">
        <f t="shared" si="4"/>
        <v>1408.2278481012659</v>
      </c>
      <c r="I69" s="60"/>
    </row>
    <row r="70" spans="2:10" x14ac:dyDescent="0.3">
      <c r="B70" s="171">
        <v>68</v>
      </c>
      <c r="C70" s="103" t="s">
        <v>5</v>
      </c>
      <c r="D70" s="192">
        <v>963</v>
      </c>
      <c r="E70" s="104">
        <f>SUM(E71:E92)/SUM(D71:D92)/2*D70</f>
        <v>722744.78275862068</v>
      </c>
      <c r="F70" s="193" t="s">
        <v>48</v>
      </c>
      <c r="G70" s="104">
        <f>IF(F70="+",E70,0)</f>
        <v>722744.78275862068</v>
      </c>
      <c r="H70" s="104">
        <f t="shared" si="4"/>
        <v>750.51379310344828</v>
      </c>
      <c r="I70" s="104"/>
      <c r="J70" s="16"/>
    </row>
    <row r="71" spans="2:10" x14ac:dyDescent="0.3">
      <c r="B71" s="210">
        <v>69</v>
      </c>
      <c r="C71" s="25" t="s">
        <v>5</v>
      </c>
      <c r="D71" s="204">
        <v>40</v>
      </c>
      <c r="E71" s="60">
        <v>60000</v>
      </c>
      <c r="F71" s="205"/>
      <c r="G71" s="60">
        <f t="shared" ref="G71:G92" si="5">IF(F71="+",E71,0)</f>
        <v>0</v>
      </c>
      <c r="H71" s="60">
        <f t="shared" si="4"/>
        <v>1500</v>
      </c>
      <c r="I71" s="60"/>
    </row>
    <row r="72" spans="2:10" x14ac:dyDescent="0.3">
      <c r="B72" s="171">
        <v>70</v>
      </c>
      <c r="C72" s="103" t="s">
        <v>5</v>
      </c>
      <c r="D72" s="192">
        <v>39.5</v>
      </c>
      <c r="E72" s="104">
        <v>58460</v>
      </c>
      <c r="F72" s="193"/>
      <c r="G72" s="104">
        <f t="shared" si="5"/>
        <v>0</v>
      </c>
      <c r="H72" s="104">
        <f t="shared" si="4"/>
        <v>1480</v>
      </c>
      <c r="I72" s="104"/>
    </row>
    <row r="73" spans="2:10" x14ac:dyDescent="0.3">
      <c r="B73" s="210">
        <v>71</v>
      </c>
      <c r="C73" s="25" t="s">
        <v>5</v>
      </c>
      <c r="D73" s="204">
        <v>56</v>
      </c>
      <c r="E73" s="60">
        <v>103936</v>
      </c>
      <c r="F73" s="205"/>
      <c r="G73" s="60">
        <f t="shared" si="5"/>
        <v>0</v>
      </c>
      <c r="H73" s="60">
        <f t="shared" si="4"/>
        <v>1856</v>
      </c>
      <c r="I73" s="60"/>
    </row>
    <row r="74" spans="2:10" x14ac:dyDescent="0.3">
      <c r="B74" s="171">
        <v>72</v>
      </c>
      <c r="C74" s="103" t="s">
        <v>5</v>
      </c>
      <c r="D74" s="192">
        <v>13.2</v>
      </c>
      <c r="E74" s="104">
        <v>27000</v>
      </c>
      <c r="F74" s="193"/>
      <c r="G74" s="104">
        <f t="shared" si="5"/>
        <v>0</v>
      </c>
      <c r="H74" s="104">
        <f t="shared" si="4"/>
        <v>2045.4545454545455</v>
      </c>
      <c r="I74" s="104"/>
    </row>
    <row r="75" spans="2:10" x14ac:dyDescent="0.3">
      <c r="B75" s="210">
        <v>73</v>
      </c>
      <c r="C75" s="25" t="s">
        <v>5</v>
      </c>
      <c r="D75" s="204">
        <v>65</v>
      </c>
      <c r="E75" s="60">
        <v>155025</v>
      </c>
      <c r="F75" s="205"/>
      <c r="G75" s="60">
        <f t="shared" si="5"/>
        <v>0</v>
      </c>
      <c r="H75" s="60">
        <f t="shared" si="4"/>
        <v>2385</v>
      </c>
      <c r="I75" s="60"/>
    </row>
    <row r="76" spans="2:10" x14ac:dyDescent="0.3">
      <c r="B76" s="171">
        <v>74</v>
      </c>
      <c r="C76" s="103" t="s">
        <v>5</v>
      </c>
      <c r="D76" s="192">
        <v>121.8</v>
      </c>
      <c r="E76" s="104">
        <v>109535</v>
      </c>
      <c r="F76" s="193"/>
      <c r="G76" s="104">
        <f t="shared" si="5"/>
        <v>0</v>
      </c>
      <c r="H76" s="104">
        <f t="shared" si="4"/>
        <v>899.30213464696226</v>
      </c>
      <c r="I76" s="104"/>
    </row>
    <row r="77" spans="2:10" x14ac:dyDescent="0.3">
      <c r="B77" s="210">
        <v>75</v>
      </c>
      <c r="C77" s="25" t="s">
        <v>5</v>
      </c>
      <c r="D77" s="204">
        <v>43.9</v>
      </c>
      <c r="E77" s="60">
        <v>57070</v>
      </c>
      <c r="F77" s="205"/>
      <c r="G77" s="60">
        <f t="shared" si="5"/>
        <v>0</v>
      </c>
      <c r="H77" s="60">
        <f t="shared" si="4"/>
        <v>1300</v>
      </c>
      <c r="I77" s="60"/>
    </row>
    <row r="78" spans="2:10" x14ac:dyDescent="0.3">
      <c r="B78" s="171">
        <v>76</v>
      </c>
      <c r="C78" s="103" t="s">
        <v>5</v>
      </c>
      <c r="D78" s="192">
        <v>119</v>
      </c>
      <c r="E78" s="104">
        <v>154700</v>
      </c>
      <c r="F78" s="193"/>
      <c r="G78" s="104">
        <f t="shared" si="5"/>
        <v>0</v>
      </c>
      <c r="H78" s="104">
        <f t="shared" si="4"/>
        <v>1300</v>
      </c>
      <c r="I78" s="104"/>
    </row>
    <row r="79" spans="2:10" x14ac:dyDescent="0.3">
      <c r="B79" s="210">
        <v>77</v>
      </c>
      <c r="C79" s="25" t="s">
        <v>5</v>
      </c>
      <c r="D79" s="204">
        <v>56.4</v>
      </c>
      <c r="E79" s="60">
        <v>84600</v>
      </c>
      <c r="F79" s="205"/>
      <c r="G79" s="60">
        <f t="shared" si="5"/>
        <v>0</v>
      </c>
      <c r="H79" s="60">
        <f t="shared" si="4"/>
        <v>1500</v>
      </c>
      <c r="I79" s="60"/>
    </row>
    <row r="80" spans="2:10" x14ac:dyDescent="0.3">
      <c r="B80" s="171">
        <v>78</v>
      </c>
      <c r="C80" s="103" t="s">
        <v>5</v>
      </c>
      <c r="D80" s="192">
        <v>31</v>
      </c>
      <c r="E80" s="104">
        <v>108500</v>
      </c>
      <c r="F80" s="193"/>
      <c r="G80" s="104">
        <f t="shared" si="5"/>
        <v>0</v>
      </c>
      <c r="H80" s="104">
        <f t="shared" si="4"/>
        <v>3500</v>
      </c>
      <c r="I80" s="104"/>
    </row>
    <row r="81" spans="2:9" x14ac:dyDescent="0.3">
      <c r="B81" s="210">
        <v>79</v>
      </c>
      <c r="C81" s="25" t="s">
        <v>5</v>
      </c>
      <c r="D81" s="204">
        <v>121</v>
      </c>
      <c r="E81" s="60">
        <v>157300</v>
      </c>
      <c r="F81" s="205"/>
      <c r="G81" s="60">
        <f t="shared" si="5"/>
        <v>0</v>
      </c>
      <c r="H81" s="60">
        <f t="shared" si="4"/>
        <v>1300</v>
      </c>
      <c r="I81" s="60"/>
    </row>
    <row r="82" spans="2:9" x14ac:dyDescent="0.3">
      <c r="B82" s="171">
        <v>80</v>
      </c>
      <c r="C82" s="103" t="s">
        <v>5</v>
      </c>
      <c r="D82" s="192">
        <v>30</v>
      </c>
      <c r="E82" s="104">
        <v>105000</v>
      </c>
      <c r="F82" s="193"/>
      <c r="G82" s="104">
        <f t="shared" si="5"/>
        <v>0</v>
      </c>
      <c r="H82" s="104">
        <f t="shared" si="4"/>
        <v>3500</v>
      </c>
      <c r="I82" s="104"/>
    </row>
    <row r="83" spans="2:9" x14ac:dyDescent="0.3">
      <c r="B83" s="210">
        <v>81</v>
      </c>
      <c r="C83" s="25" t="s">
        <v>5</v>
      </c>
      <c r="D83" s="204">
        <v>38</v>
      </c>
      <c r="E83" s="60">
        <v>133000</v>
      </c>
      <c r="F83" s="205"/>
      <c r="G83" s="60">
        <f t="shared" si="5"/>
        <v>0</v>
      </c>
      <c r="H83" s="60">
        <f t="shared" si="4"/>
        <v>3500</v>
      </c>
      <c r="I83" s="60"/>
    </row>
    <row r="84" spans="2:9" x14ac:dyDescent="0.3">
      <c r="B84" s="171">
        <v>82</v>
      </c>
      <c r="C84" s="103" t="s">
        <v>5</v>
      </c>
      <c r="D84" s="192">
        <v>63</v>
      </c>
      <c r="E84" s="104">
        <v>189000</v>
      </c>
      <c r="F84" s="193"/>
      <c r="G84" s="104">
        <f t="shared" si="5"/>
        <v>0</v>
      </c>
      <c r="H84" s="104">
        <f t="shared" si="4"/>
        <v>3000</v>
      </c>
      <c r="I84" s="104"/>
    </row>
    <row r="85" spans="2:9" x14ac:dyDescent="0.3">
      <c r="B85" s="210">
        <v>83</v>
      </c>
      <c r="C85" s="25" t="s">
        <v>5</v>
      </c>
      <c r="D85" s="204">
        <v>56</v>
      </c>
      <c r="E85" s="60">
        <v>168000</v>
      </c>
      <c r="F85" s="205"/>
      <c r="G85" s="60">
        <f t="shared" si="5"/>
        <v>0</v>
      </c>
      <c r="H85" s="60">
        <f t="shared" si="4"/>
        <v>3000</v>
      </c>
      <c r="I85" s="60"/>
    </row>
    <row r="86" spans="2:9" x14ac:dyDescent="0.3">
      <c r="B86" s="171">
        <v>84</v>
      </c>
      <c r="C86" s="103" t="s">
        <v>5</v>
      </c>
      <c r="D86" s="192">
        <v>107</v>
      </c>
      <c r="E86" s="104">
        <v>139100</v>
      </c>
      <c r="F86" s="193"/>
      <c r="G86" s="104">
        <f t="shared" si="5"/>
        <v>0</v>
      </c>
      <c r="H86" s="104">
        <f t="shared" si="4"/>
        <v>1300</v>
      </c>
      <c r="I86" s="104"/>
    </row>
    <row r="87" spans="2:9" x14ac:dyDescent="0.3">
      <c r="B87" s="210">
        <v>85</v>
      </c>
      <c r="C87" s="25" t="s">
        <v>5</v>
      </c>
      <c r="D87" s="204">
        <v>110</v>
      </c>
      <c r="E87" s="60">
        <v>143000</v>
      </c>
      <c r="F87" s="205"/>
      <c r="G87" s="60">
        <f t="shared" si="5"/>
        <v>0</v>
      </c>
      <c r="H87" s="60">
        <f t="shared" si="4"/>
        <v>1300</v>
      </c>
      <c r="I87" s="60"/>
    </row>
    <row r="88" spans="2:9" x14ac:dyDescent="0.3">
      <c r="B88" s="171">
        <v>86</v>
      </c>
      <c r="C88" s="103" t="s">
        <v>5</v>
      </c>
      <c r="D88" s="192">
        <v>100</v>
      </c>
      <c r="E88" s="104">
        <v>120000</v>
      </c>
      <c r="F88" s="193"/>
      <c r="G88" s="104">
        <f t="shared" si="5"/>
        <v>0</v>
      </c>
      <c r="H88" s="104">
        <f t="shared" si="4"/>
        <v>1200</v>
      </c>
      <c r="I88" s="104"/>
    </row>
    <row r="89" spans="2:9" x14ac:dyDescent="0.3">
      <c r="B89" s="210">
        <v>87</v>
      </c>
      <c r="C89" s="25" t="s">
        <v>5</v>
      </c>
      <c r="D89" s="204">
        <v>112.9</v>
      </c>
      <c r="E89" s="60">
        <v>81627</v>
      </c>
      <c r="F89" s="205"/>
      <c r="G89" s="60">
        <f t="shared" si="5"/>
        <v>0</v>
      </c>
      <c r="H89" s="60">
        <f t="shared" si="4"/>
        <v>723.0026572187777</v>
      </c>
      <c r="I89" s="60"/>
    </row>
    <row r="90" spans="2:9" x14ac:dyDescent="0.3">
      <c r="B90" s="171">
        <v>88</v>
      </c>
      <c r="C90" s="103" t="s">
        <v>5</v>
      </c>
      <c r="D90" s="192">
        <v>106.5</v>
      </c>
      <c r="E90" s="104">
        <v>159750</v>
      </c>
      <c r="F90" s="193"/>
      <c r="G90" s="104">
        <f t="shared" si="5"/>
        <v>0</v>
      </c>
      <c r="H90" s="104">
        <f t="shared" si="4"/>
        <v>1500</v>
      </c>
      <c r="I90" s="104"/>
    </row>
    <row r="91" spans="2:9" x14ac:dyDescent="0.3">
      <c r="B91" s="210">
        <v>89</v>
      </c>
      <c r="C91" s="25" t="s">
        <v>5</v>
      </c>
      <c r="D91" s="204">
        <v>176.8</v>
      </c>
      <c r="E91" s="60">
        <v>164185</v>
      </c>
      <c r="F91" s="205"/>
      <c r="G91" s="60">
        <f t="shared" si="5"/>
        <v>0</v>
      </c>
      <c r="H91" s="60">
        <f t="shared" si="4"/>
        <v>928.64819004524884</v>
      </c>
      <c r="I91" s="60"/>
    </row>
    <row r="92" spans="2:9" x14ac:dyDescent="0.3">
      <c r="B92" s="171">
        <v>90</v>
      </c>
      <c r="C92" s="103" t="s">
        <v>5</v>
      </c>
      <c r="D92" s="192">
        <v>133</v>
      </c>
      <c r="E92" s="104">
        <v>133000</v>
      </c>
      <c r="F92" s="193"/>
      <c r="G92" s="104">
        <f t="shared" si="5"/>
        <v>0</v>
      </c>
      <c r="H92" s="104">
        <f t="shared" si="4"/>
        <v>1000</v>
      </c>
      <c r="I92" s="104"/>
    </row>
    <row r="93" spans="2:9" s="132" customFormat="1" x14ac:dyDescent="0.3">
      <c r="B93" s="210"/>
      <c r="C93" s="25" t="s">
        <v>50</v>
      </c>
      <c r="D93" s="204">
        <f>SUM(D3:D11)</f>
        <v>2325.9999999999995</v>
      </c>
      <c r="E93" s="60">
        <f>SUM(E3:E11)</f>
        <v>2242280</v>
      </c>
      <c r="F93" s="205"/>
      <c r="G93" s="60">
        <f t="shared" ref="G93" si="6">SUM(G3:G11)</f>
        <v>0</v>
      </c>
      <c r="H93" s="60"/>
      <c r="I93" s="60">
        <f>E93/D93</f>
        <v>964.00687876182303</v>
      </c>
    </row>
    <row r="94" spans="2:9" s="132" customFormat="1" x14ac:dyDescent="0.3">
      <c r="B94" s="171"/>
      <c r="C94" s="103" t="s">
        <v>49</v>
      </c>
      <c r="D94" s="192">
        <f>SUM(D12:D40)</f>
        <v>2778.7000000000007</v>
      </c>
      <c r="E94" s="104">
        <f>SUM(E12:E40)</f>
        <v>5265943.5569649264</v>
      </c>
      <c r="F94" s="193"/>
      <c r="G94" s="104">
        <f t="shared" ref="G94" si="7">SUM(G12:G40)</f>
        <v>1893853.5569649269</v>
      </c>
      <c r="H94" s="104"/>
      <c r="I94" s="104">
        <f>E94/D94</f>
        <v>1895.1105038201047</v>
      </c>
    </row>
    <row r="95" spans="2:9" s="132" customFormat="1" x14ac:dyDescent="0.3">
      <c r="B95" s="210"/>
      <c r="C95" s="25" t="s">
        <v>51</v>
      </c>
      <c r="D95" s="204">
        <f>SUM(D41:D69)</f>
        <v>2288.9</v>
      </c>
      <c r="E95" s="60">
        <f>SUM(E41:E69)</f>
        <v>2811246.9453404048</v>
      </c>
      <c r="F95" s="205"/>
      <c r="G95" s="60">
        <f t="shared" ref="G95" si="8">SUM(G41:G69)</f>
        <v>1194394.9453404048</v>
      </c>
      <c r="H95" s="60"/>
      <c r="I95" s="60">
        <f>E95/D95</f>
        <v>1228.208722679193</v>
      </c>
    </row>
    <row r="96" spans="2:9" s="132" customFormat="1" x14ac:dyDescent="0.3">
      <c r="B96" s="171"/>
      <c r="C96" s="103" t="s">
        <v>52</v>
      </c>
      <c r="D96" s="192">
        <f>SUM(D70:D92)</f>
        <v>2703.0000000000005</v>
      </c>
      <c r="E96" s="104">
        <f>SUM(E70:E92)</f>
        <v>3334532.7827586206</v>
      </c>
      <c r="F96" s="193"/>
      <c r="G96" s="104">
        <f t="shared" ref="G96" si="9">SUM(G70:G92)</f>
        <v>722744.78275862068</v>
      </c>
      <c r="H96" s="104"/>
      <c r="I96" s="104">
        <f>E96/D96</f>
        <v>1233.6414290634925</v>
      </c>
    </row>
    <row r="97" spans="2:9" s="132" customFormat="1" x14ac:dyDescent="0.3">
      <c r="B97" s="206"/>
      <c r="C97" s="206" t="s">
        <v>40</v>
      </c>
      <c r="D97" s="207">
        <f>D93+D94+D95+D96</f>
        <v>10096.6</v>
      </c>
      <c r="E97" s="208">
        <f>(IF(AnchorRent=TRUE,G97,0)+IF(OtherRent=TRUE,SUM(E93:E96)-G97,0))*(1+RentRate)*(1+Проверка)</f>
        <v>13654003.285063952</v>
      </c>
      <c r="F97" s="208"/>
      <c r="G97" s="208">
        <f>SUM(G93:G96)</f>
        <v>3810993.2850639522</v>
      </c>
      <c r="H97" s="208"/>
      <c r="I97" s="208">
        <f>E97/D97</f>
        <v>1352.3367554487602</v>
      </c>
    </row>
    <row r="98" spans="2:9" x14ac:dyDescent="0.3">
      <c r="B98" s="171"/>
      <c r="C98" s="103" t="s">
        <v>186</v>
      </c>
      <c r="D98" s="192"/>
      <c r="E98" s="104"/>
      <c r="F98" s="193"/>
      <c r="G98" s="104"/>
      <c r="H98" s="104"/>
      <c r="I98" s="104">
        <f>(E28+E52+E70)/(D28+D52+D70)</f>
        <v>1003.4210861147847</v>
      </c>
    </row>
    <row r="99" spans="2:9" x14ac:dyDescent="0.3">
      <c r="B99" s="25"/>
      <c r="C99" s="25" t="s">
        <v>187</v>
      </c>
      <c r="D99" s="209"/>
      <c r="E99" s="209"/>
      <c r="F99" s="210"/>
      <c r="G99" s="209"/>
      <c r="H99" s="209"/>
      <c r="I99" s="209">
        <f>(TargetRentalValue-(E28+E52+E70))/(GLA-(D28+D52+D70))</f>
        <v>1562.7298129743117</v>
      </c>
    </row>
    <row r="100" spans="2:9" x14ac:dyDescent="0.3">
      <c r="B100" s="171"/>
      <c r="C100" s="103" t="s">
        <v>188</v>
      </c>
      <c r="D100" s="192"/>
      <c r="E100" s="104"/>
      <c r="F100" s="193"/>
      <c r="G100" s="104"/>
      <c r="H100" s="104"/>
      <c r="I100" s="104">
        <f>D97/UnitsN</f>
        <v>112.18444444444445</v>
      </c>
    </row>
    <row r="101" spans="2:9" x14ac:dyDescent="0.3">
      <c r="B101" s="211"/>
      <c r="C101" s="211" t="s">
        <v>189</v>
      </c>
      <c r="D101" s="212"/>
      <c r="E101" s="213"/>
      <c r="F101" s="214"/>
      <c r="G101" s="213"/>
      <c r="H101" s="213"/>
      <c r="I101" s="212">
        <f>(D97-D28-D52-D70)/(UnitsN-3)</f>
        <v>72.397701149425288</v>
      </c>
    </row>
    <row r="102" spans="2:9" x14ac:dyDescent="0.3">
      <c r="F102" s="14"/>
    </row>
    <row r="103" spans="2:9" x14ac:dyDescent="0.3">
      <c r="E103" s="1"/>
      <c r="F103" s="14"/>
      <c r="G103" s="1"/>
    </row>
    <row r="104" spans="2:9" x14ac:dyDescent="0.3">
      <c r="F104" s="14"/>
    </row>
    <row r="105" spans="2:9" x14ac:dyDescent="0.3">
      <c r="F105" s="14"/>
    </row>
    <row r="106" spans="2:9" x14ac:dyDescent="0.3">
      <c r="F106" s="14"/>
    </row>
    <row r="107" spans="2:9" x14ac:dyDescent="0.3">
      <c r="F107" s="14"/>
    </row>
    <row r="108" spans="2:9" x14ac:dyDescent="0.3">
      <c r="F108" s="14"/>
    </row>
    <row r="109" spans="2:9" x14ac:dyDescent="0.3">
      <c r="F109" s="14"/>
    </row>
    <row r="110" spans="2:9" x14ac:dyDescent="0.3">
      <c r="F110" s="14"/>
    </row>
    <row r="111" spans="2:9" x14ac:dyDescent="0.3">
      <c r="F111" s="14"/>
    </row>
    <row r="112" spans="2:9" x14ac:dyDescent="0.3">
      <c r="F112" s="14"/>
    </row>
    <row r="113" spans="6:6" x14ac:dyDescent="0.3">
      <c r="F113" s="14"/>
    </row>
    <row r="114" spans="6:6" x14ac:dyDescent="0.3">
      <c r="F114" s="14"/>
    </row>
    <row r="115" spans="6:6" x14ac:dyDescent="0.3">
      <c r="F115" s="14"/>
    </row>
  </sheetData>
  <autoFilter ref="B2:I101"/>
  <pageMargins left="0.7" right="0.7" top="0.75" bottom="0.75" header="0.3" footer="0.3"/>
  <pageSetup paperSize="9" orientation="portrait" r:id="rId1"/>
  <ignoredErrors>
    <ignoredError sqref="D93:D96 E93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8</vt:i4>
      </vt:variant>
      <vt:variant>
        <vt:lpstr>Именованные диапазоны</vt:lpstr>
      </vt:variant>
      <vt:variant>
        <vt:i4>98</vt:i4>
      </vt:variant>
    </vt:vector>
  </HeadingPairs>
  <TitlesOfParts>
    <vt:vector size="106" baseType="lpstr">
      <vt:lpstr>Dashboard</vt:lpstr>
      <vt:lpstr>График</vt:lpstr>
      <vt:lpstr>PL</vt:lpstr>
      <vt:lpstr>BS</vt:lpstr>
      <vt:lpstr>CF</vt:lpstr>
      <vt:lpstr>WACC</vt:lpstr>
      <vt:lpstr>Input</vt:lpstr>
      <vt:lpstr>Арендаторы</vt:lpstr>
      <vt:lpstr>AccumulatedDeprication</vt:lpstr>
      <vt:lpstr>AdministrativeExpences</vt:lpstr>
      <vt:lpstr>AdvancesPayments</vt:lpstr>
      <vt:lpstr>AnchorRent</vt:lpstr>
      <vt:lpstr>AnchorRentStart</vt:lpstr>
      <vt:lpstr>AverageS</vt:lpstr>
      <vt:lpstr>AverageSwithoutAnchors</vt:lpstr>
      <vt:lpstr>BankInterestHistory</vt:lpstr>
      <vt:lpstr>Building</vt:lpstr>
      <vt:lpstr>BuildingDepreciationRate</vt:lpstr>
      <vt:lpstr>CadastralValueOfRealEstate</vt:lpstr>
      <vt:lpstr>CapitalContribution</vt:lpstr>
      <vt:lpstr>CAPM</vt:lpstr>
      <vt:lpstr>DebtToSuppliers</vt:lpstr>
      <vt:lpstr>DPP</vt:lpstr>
      <vt:lpstr>Ebitda</vt:lpstr>
      <vt:lpstr>EbitdaMargin</vt:lpstr>
      <vt:lpstr>ElectricityCosts</vt:lpstr>
      <vt:lpstr>EndDebt</vt:lpstr>
      <vt:lpstr>Equipment</vt:lpstr>
      <vt:lpstr>EquipmetDepreciationRate</vt:lpstr>
      <vt:lpstr>Equity</vt:lpstr>
      <vt:lpstr>FeeForGarbageCollection</vt:lpstr>
      <vt:lpstr>Finish</vt:lpstr>
      <vt:lpstr>FinishReconception</vt:lpstr>
      <vt:lpstr>Furniture</vt:lpstr>
      <vt:lpstr>FurnitureDepreciationRate</vt:lpstr>
      <vt:lpstr>GBA</vt:lpstr>
      <vt:lpstr>GLA</vt:lpstr>
      <vt:lpstr>IncomeTax</vt:lpstr>
      <vt:lpstr>IncomeVAT</vt:lpstr>
      <vt:lpstr>InflationRate</vt:lpstr>
      <vt:lpstr>InsurancePremiums</vt:lpstr>
      <vt:lpstr>IRR</vt:lpstr>
      <vt:lpstr>IRR_FCFE</vt:lpstr>
      <vt:lpstr>IRR_FCFE_TV</vt:lpstr>
      <vt:lpstr>IT_expences</vt:lpstr>
      <vt:lpstr>LaborCosts</vt:lpstr>
      <vt:lpstr>LaborCostsHistory</vt:lpstr>
      <vt:lpstr>LandRent</vt:lpstr>
      <vt:lpstr>Loan</vt:lpstr>
      <vt:lpstr>LoanDate</vt:lpstr>
      <vt:lpstr>LoanHistory</vt:lpstr>
      <vt:lpstr>LoanInterestRate</vt:lpstr>
      <vt:lpstr>LoanPayment</vt:lpstr>
      <vt:lpstr>LoanPaymentGrow</vt:lpstr>
      <vt:lpstr>LoanPaymentHistory</vt:lpstr>
      <vt:lpstr>MarketingCosts</vt:lpstr>
      <vt:lpstr>MonthlyInflation</vt:lpstr>
      <vt:lpstr>NCF</vt:lpstr>
      <vt:lpstr>NPV</vt:lpstr>
      <vt:lpstr>NPV_FCFE</vt:lpstr>
      <vt:lpstr>NPV_FCFE_TV</vt:lpstr>
      <vt:lpstr>OfficeSuppliesExpences</vt:lpstr>
      <vt:lpstr>OperatingCosts</vt:lpstr>
      <vt:lpstr>OperationCostsHistory</vt:lpstr>
      <vt:lpstr>OtherAssets</vt:lpstr>
      <vt:lpstr>OtherRent</vt:lpstr>
      <vt:lpstr>OtherRentStart</vt:lpstr>
      <vt:lpstr>PaimentForEnvironmentalPollution</vt:lpstr>
      <vt:lpstr>PP</vt:lpstr>
      <vt:lpstr>PrepaymentPercentage</vt:lpstr>
      <vt:lpstr>ProfitOrLoss</vt:lpstr>
      <vt:lpstr>PropertyTax</vt:lpstr>
      <vt:lpstr>PropertyTaxHistory</vt:lpstr>
      <vt:lpstr>PropertyTaxRate</vt:lpstr>
      <vt:lpstr>RatioOfFreeSpaces</vt:lpstr>
      <vt:lpstr>ReconceptionCosts</vt:lpstr>
      <vt:lpstr>RentedSpacesAtStart</vt:lpstr>
      <vt:lpstr>RentRate</vt:lpstr>
      <vt:lpstr>RetainetProfitOrUncoveredLoss</vt:lpstr>
      <vt:lpstr>RevenueCash</vt:lpstr>
      <vt:lpstr>RevenueWithVatHistory</vt:lpstr>
      <vt:lpstr>SecurityCosts</vt:lpstr>
      <vt:lpstr>SENEJ</vt:lpstr>
      <vt:lpstr>ServiceCosts</vt:lpstr>
      <vt:lpstr>Start</vt:lpstr>
      <vt:lpstr>StartReconception</vt:lpstr>
      <vt:lpstr>StartRentalValue</vt:lpstr>
      <vt:lpstr>TargetRentalValue</vt:lpstr>
      <vt:lpstr>TaxDebt</vt:lpstr>
      <vt:lpstr>TaxOnProfitHistory</vt:lpstr>
      <vt:lpstr>TelecommunicationCosts</vt:lpstr>
      <vt:lpstr>TerminalValue</vt:lpstr>
      <vt:lpstr>TurnaroundLabor</vt:lpstr>
      <vt:lpstr>TurnaroundSuppliers</vt:lpstr>
      <vt:lpstr>TurnaroundTax</vt:lpstr>
      <vt:lpstr>UnitsN</vt:lpstr>
      <vt:lpstr>VAT</vt:lpstr>
      <vt:lpstr>VATincome</vt:lpstr>
      <vt:lpstr>VATrevenue</vt:lpstr>
      <vt:lpstr>WACC</vt:lpstr>
      <vt:lpstr>WageArrears</vt:lpstr>
      <vt:lpstr>WaterSupplyCosts</vt:lpstr>
      <vt:lpstr>WeightedAverageAnchor</vt:lpstr>
      <vt:lpstr>WeightedAverageAnnualRent</vt:lpstr>
      <vt:lpstr>WeightedAverageOthers</vt:lpstr>
      <vt:lpstr>Проверка</vt:lpstr>
    </vt:vector>
  </TitlesOfParts>
  <Company>hbhg9o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tyetg7</dc:creator>
  <cp:lastModifiedBy>APalitsyna</cp:lastModifiedBy>
  <dcterms:created xsi:type="dcterms:W3CDTF">2016-07-14T07:15:34Z</dcterms:created>
  <dcterms:modified xsi:type="dcterms:W3CDTF">2022-02-14T06:56:38Z</dcterms:modified>
</cp:coreProperties>
</file>