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KB\Catalogs\Website_PDL\"/>
    </mc:Choice>
  </mc:AlternateContent>
  <bookViews>
    <workbookView xWindow="0" yWindow="0" windowWidth="24000" windowHeight="9735"/>
  </bookViews>
  <sheets>
    <sheet name="Order" sheetId="1" r:id="rId1"/>
    <sheet name="BOM" sheetId="2" r:id="rId2"/>
    <sheet name="List" sheetId="3" r:id="rId3"/>
    <sheet name="Pricing" sheetId="4" r:id="rId4"/>
  </sheets>
  <definedNames>
    <definedName name="AddOffset">BOM!$P$9</definedName>
    <definedName name="Backer">BOM!$G$7</definedName>
    <definedName name="BackMTL">BOM!$D$10</definedName>
    <definedName name="BottomDepth">BOM!$P$6</definedName>
    <definedName name="Depth">Order!$D$8</definedName>
    <definedName name="Direction">BOM!$BZ$1:$BZ$3</definedName>
    <definedName name="DoorStyle">Order!$D$10</definedName>
    <definedName name="DoorStyleList">List!$K$4:$K$5</definedName>
    <definedName name="DowelDia">BOM!$G$6</definedName>
    <definedName name="DrawerHeight">BOM!$M$5</definedName>
    <definedName name="DrawerStyle">Order!$D$11</definedName>
    <definedName name="DrawerStyleList">List!$E$4:$E$6</definedName>
    <definedName name="Edge">BOM!$BW$1:$BW$4</definedName>
    <definedName name="EdgeDepth">BOM!$G$8</definedName>
    <definedName name="End">BOM!$P$15</definedName>
    <definedName name="Face">BOM!$BW$1:$BW$6</definedName>
    <definedName name="FaceDepth">BOM!$G$9</definedName>
    <definedName name="Finish">Order!$D$13</definedName>
    <definedName name="FinishList">List!$N$4:$N$16</definedName>
    <definedName name="FrontVertStretcher">BOM!$M$8</definedName>
    <definedName name="Ganno">BOM!$P$5</definedName>
    <definedName name="GannoOffset">BOM!$M$10</definedName>
    <definedName name="Height">Order!$D$6</definedName>
    <definedName name="Hinge">Order!$D$9</definedName>
    <definedName name="HingeList">List!$B$4:$B$6</definedName>
    <definedName name="HingeLocation">BOM!$J$10</definedName>
    <definedName name="HIngeLogic">BOM!$P$8</definedName>
    <definedName name="HingeType">Order!$D$12</definedName>
    <definedName name="HingeTypeList">List!$H$4:$H$5</definedName>
    <definedName name="InteriorColor">Order!$D$15</definedName>
    <definedName name="InteriorColorList">List!$T$4:$T$5</definedName>
    <definedName name="LDHeight">BOM!$P$7</definedName>
    <definedName name="LeadIn">BOM!$BY$1:$BY$4</definedName>
    <definedName name="Model">BOM!#REF!</definedName>
    <definedName name="MTLCode">Order!$D$14</definedName>
    <definedName name="MTLCodeList">List!$Q$4:$Q$25</definedName>
    <definedName name="NailerHeight">BOM!$G$5</definedName>
    <definedName name="OffsetX">BOM!$J$8</definedName>
    <definedName name="OMPPN">Order!$D$17</definedName>
    <definedName name="Quantity">BOM!$D$5</definedName>
    <definedName name="Reveal">BOM!$J$5</definedName>
    <definedName name="Rotation">BOM!$CB$1:$CB$4</definedName>
    <definedName name="ShelfBores">BOM!$J$9</definedName>
    <definedName name="ShelfGap">BOM!$J$7</definedName>
    <definedName name="ShelfSpacing">BOM!$M$6</definedName>
    <definedName name="ShelfThickness">BOM!$J$6</definedName>
    <definedName name="Start">BOM!$C$15</definedName>
    <definedName name="Thickness">BOM!$G$10</definedName>
    <definedName name="ToeKick">BOM!$P$10</definedName>
    <definedName name="ToolComp">BOM!$BX$1:$BX$3</definedName>
    <definedName name="Variables">Order!$D$5</definedName>
    <definedName name="Width">Order!$D$7</definedName>
    <definedName name="WONumber">Order!$D$16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44" i="2"/>
  <c r="I74" i="2"/>
  <c r="I94" i="2"/>
  <c r="I100" i="2"/>
  <c r="I103" i="2"/>
  <c r="U5" i="3" l="1"/>
  <c r="E103" i="2" l="1"/>
  <c r="F103" i="2"/>
  <c r="O103" i="2" l="1"/>
  <c r="O100" i="2"/>
  <c r="O94" i="2"/>
  <c r="O89" i="2"/>
  <c r="O84" i="2"/>
  <c r="O74" i="2"/>
  <c r="O73" i="2"/>
  <c r="O44" i="2"/>
  <c r="O15" i="2"/>
  <c r="H94" i="2" l="1"/>
  <c r="H89" i="2"/>
  <c r="H84" i="2"/>
  <c r="H74" i="2"/>
  <c r="H44" i="2"/>
  <c r="H15" i="2"/>
  <c r="E82" i="2"/>
  <c r="E81" i="2"/>
  <c r="E80" i="2"/>
  <c r="E79" i="2"/>
  <c r="E78" i="2"/>
  <c r="E92" i="2"/>
  <c r="E91" i="2" s="1"/>
  <c r="F89" i="2"/>
  <c r="H93" i="2"/>
  <c r="G93" i="2"/>
  <c r="H92" i="2"/>
  <c r="G92" i="2"/>
  <c r="H91" i="2"/>
  <c r="G91" i="2"/>
  <c r="G90" i="2"/>
  <c r="N89" i="2"/>
  <c r="E87" i="2"/>
  <c r="E86" i="2" s="1"/>
  <c r="F66" i="2"/>
  <c r="F65" i="2"/>
  <c r="F60" i="2"/>
  <c r="F59" i="2" s="1"/>
  <c r="G55" i="2"/>
  <c r="G54" i="2" s="1"/>
  <c r="G53" i="2"/>
  <c r="G52" i="2"/>
  <c r="G51" i="2"/>
  <c r="F48" i="2"/>
  <c r="F49" i="2" s="1"/>
  <c r="F37" i="2"/>
  <c r="F36" i="2"/>
  <c r="F31" i="2"/>
  <c r="F32" i="2" s="1"/>
  <c r="F30" i="2"/>
  <c r="G26" i="2"/>
  <c r="G25" i="2" s="1"/>
  <c r="G24" i="2"/>
  <c r="G23" i="2"/>
  <c r="G22" i="2"/>
  <c r="M8" i="2"/>
  <c r="F94" i="2" s="1"/>
  <c r="E98" i="2" s="1"/>
  <c r="E97" i="2" s="1"/>
  <c r="J100" i="2"/>
  <c r="J103" i="2"/>
  <c r="J15" i="2"/>
  <c r="J44" i="2"/>
  <c r="E93" i="2" l="1"/>
  <c r="F19" i="2"/>
  <c r="F20" i="2" s="1"/>
  <c r="F61" i="2"/>
  <c r="F18" i="2"/>
  <c r="F47" i="2"/>
  <c r="E99" i="2"/>
  <c r="E88" i="2"/>
  <c r="E73" i="2"/>
  <c r="C103" i="2" l="1"/>
  <c r="G10" i="2" l="1"/>
  <c r="F93" i="2" l="1"/>
  <c r="F92" i="2"/>
  <c r="F91" i="2"/>
  <c r="F90" i="2"/>
  <c r="G89" i="2"/>
  <c r="F52" i="2"/>
  <c r="F50" i="2"/>
  <c r="F22" i="2"/>
  <c r="F26" i="2"/>
  <c r="F53" i="2"/>
  <c r="F23" i="2"/>
  <c r="F21" i="2"/>
  <c r="H90" i="2"/>
  <c r="E89" i="2"/>
  <c r="C89" i="2" s="1"/>
  <c r="F54" i="2"/>
  <c r="F24" i="2"/>
  <c r="F51" i="2"/>
  <c r="F55" i="2"/>
  <c r="F25" i="2"/>
  <c r="H66" i="2"/>
  <c r="H67" i="2"/>
  <c r="H68" i="2"/>
  <c r="H65" i="2"/>
  <c r="H37" i="2"/>
  <c r="H38" i="2"/>
  <c r="H39" i="2"/>
  <c r="H36" i="2"/>
  <c r="G48" i="2" l="1"/>
  <c r="G49" i="2"/>
  <c r="G47" i="2"/>
  <c r="G19" i="2"/>
  <c r="G20" i="2"/>
  <c r="G18" i="2"/>
  <c r="G95" i="2"/>
  <c r="F68" i="2"/>
  <c r="F67" i="2"/>
  <c r="F39" i="2"/>
  <c r="F38" i="2"/>
  <c r="J8" i="2" l="1"/>
  <c r="P8" i="2" l="1"/>
  <c r="F104" i="2" l="1"/>
  <c r="G104" i="2"/>
  <c r="H103" i="2"/>
  <c r="H104" i="2"/>
  <c r="N103" i="2"/>
  <c r="G103" i="2"/>
  <c r="I68" i="2" l="1"/>
  <c r="G68" i="2"/>
  <c r="I67" i="2"/>
  <c r="G67" i="2"/>
  <c r="I66" i="2"/>
  <c r="G66" i="2"/>
  <c r="I65" i="2"/>
  <c r="G65" i="2"/>
  <c r="G37" i="2"/>
  <c r="G38" i="2"/>
  <c r="G39" i="2"/>
  <c r="G36" i="2"/>
  <c r="I39" i="2"/>
  <c r="I38" i="2"/>
  <c r="I37" i="2"/>
  <c r="I36" i="2"/>
  <c r="F34" i="2" l="1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F33" i="2" l="1"/>
  <c r="F35" i="2"/>
  <c r="F100" i="2"/>
  <c r="E100" i="2"/>
  <c r="C100" i="2" s="1"/>
  <c r="F63" i="2" l="1"/>
  <c r="I62" i="2"/>
  <c r="H62" i="2"/>
  <c r="G62" i="2"/>
  <c r="I60" i="2"/>
  <c r="H60" i="2"/>
  <c r="G60" i="2"/>
  <c r="I57" i="2"/>
  <c r="H57" i="2"/>
  <c r="G57" i="2"/>
  <c r="F57" i="2"/>
  <c r="I49" i="2"/>
  <c r="H49" i="2"/>
  <c r="F64" i="2" l="1"/>
  <c r="F62" i="2"/>
  <c r="F58" i="2"/>
  <c r="F56" i="2"/>
  <c r="I35" i="2"/>
  <c r="H35" i="2"/>
  <c r="G35" i="2"/>
  <c r="G28" i="2"/>
  <c r="G29" i="2"/>
  <c r="G27" i="2"/>
  <c r="I32" i="2"/>
  <c r="H32" i="2"/>
  <c r="G32" i="2"/>
  <c r="I29" i="2"/>
  <c r="H29" i="2"/>
  <c r="F28" i="2"/>
  <c r="F27" i="2" l="1"/>
  <c r="F29" i="2"/>
  <c r="M103" i="2"/>
  <c r="H100" i="2"/>
  <c r="G101" i="2" l="1"/>
  <c r="F101" i="2"/>
  <c r="H101" i="2" l="1"/>
  <c r="N100" i="2"/>
  <c r="G100" i="2"/>
  <c r="M100" i="2" s="1"/>
  <c r="H88" i="2"/>
  <c r="G88" i="2"/>
  <c r="F88" i="2"/>
  <c r="H87" i="2"/>
  <c r="G87" i="2"/>
  <c r="F87" i="2"/>
  <c r="H86" i="2"/>
  <c r="G86" i="2"/>
  <c r="F86" i="2"/>
  <c r="H99" i="2"/>
  <c r="F99" i="2"/>
  <c r="H98" i="2"/>
  <c r="F98" i="2"/>
  <c r="H97" i="2"/>
  <c r="F97" i="2"/>
  <c r="H95" i="2"/>
  <c r="F95" i="2"/>
  <c r="N94" i="2"/>
  <c r="G94" i="2"/>
  <c r="E94" i="2"/>
  <c r="C94" i="2" s="1"/>
  <c r="M94" i="2" l="1"/>
  <c r="N84" i="2"/>
  <c r="N74" i="2"/>
  <c r="N73" i="2"/>
  <c r="H73" i="2"/>
  <c r="N44" i="2"/>
  <c r="N15" i="2"/>
  <c r="M7" i="2" l="1"/>
  <c r="D9" i="2"/>
  <c r="G40" i="2" l="1"/>
  <c r="H40" i="2"/>
  <c r="E44" i="2"/>
  <c r="F44" i="2"/>
  <c r="G44" i="2"/>
  <c r="C44" i="2" l="1"/>
  <c r="M44" i="2"/>
  <c r="H69" i="2" l="1"/>
  <c r="G69" i="2"/>
  <c r="H83" i="2"/>
  <c r="G83" i="2"/>
  <c r="M6" i="2" l="1"/>
  <c r="G64" i="2" l="1"/>
  <c r="G63" i="2"/>
  <c r="G58" i="2"/>
  <c r="G56" i="2"/>
  <c r="H55" i="2"/>
  <c r="I55" i="2"/>
  <c r="H56" i="2"/>
  <c r="I56" i="2"/>
  <c r="G34" i="2" l="1"/>
  <c r="G33" i="2"/>
  <c r="F73" i="2" l="1"/>
  <c r="C73" i="2" s="1"/>
  <c r="F75" i="2"/>
  <c r="E74" i="2"/>
  <c r="F85" i="2" l="1"/>
  <c r="E84" i="2"/>
  <c r="F71" i="2" l="1"/>
  <c r="F70" i="2"/>
  <c r="F42" i="2"/>
  <c r="F41" i="2"/>
  <c r="F43" i="2"/>
  <c r="G43" i="2"/>
  <c r="G42" i="2"/>
  <c r="H41" i="2"/>
  <c r="F72" i="2" l="1"/>
  <c r="I64" i="2"/>
  <c r="H64" i="2"/>
  <c r="I63" i="2"/>
  <c r="H63" i="2"/>
  <c r="I61" i="2"/>
  <c r="H61" i="2"/>
  <c r="G61" i="2"/>
  <c r="I59" i="2"/>
  <c r="H59" i="2"/>
  <c r="G59" i="2"/>
  <c r="I58" i="2"/>
  <c r="H58" i="2"/>
  <c r="I54" i="2"/>
  <c r="H54" i="2"/>
  <c r="I53" i="2"/>
  <c r="H53" i="2"/>
  <c r="I52" i="2"/>
  <c r="H52" i="2"/>
  <c r="I51" i="2"/>
  <c r="H51" i="2"/>
  <c r="I50" i="2"/>
  <c r="H50" i="2"/>
  <c r="I48" i="2"/>
  <c r="H48" i="2"/>
  <c r="I47" i="2"/>
  <c r="H47" i="2"/>
  <c r="G72" i="2"/>
  <c r="G71" i="2"/>
  <c r="H70" i="2"/>
  <c r="H45" i="2"/>
  <c r="G45" i="2"/>
  <c r="F45" i="2"/>
  <c r="G31" i="2" l="1"/>
  <c r="G30" i="2"/>
  <c r="I31" i="2"/>
  <c r="H31" i="2"/>
  <c r="I30" i="2"/>
  <c r="H30" i="2"/>
  <c r="I28" i="2"/>
  <c r="H28" i="2"/>
  <c r="I27" i="2"/>
  <c r="H27" i="2"/>
  <c r="I26" i="2"/>
  <c r="H26" i="2"/>
  <c r="I25" i="2"/>
  <c r="H25" i="2"/>
  <c r="H85" i="2" l="1"/>
  <c r="G85" i="2"/>
  <c r="H75" i="2"/>
  <c r="G75" i="2"/>
  <c r="I33" i="2" l="1"/>
  <c r="I34" i="2"/>
  <c r="H33" i="2"/>
  <c r="H34" i="2"/>
  <c r="I24" i="2" l="1"/>
  <c r="H24" i="2"/>
  <c r="I23" i="2"/>
  <c r="H23" i="2"/>
  <c r="I22" i="2"/>
  <c r="H22" i="2"/>
  <c r="I21" i="2"/>
  <c r="H21" i="2"/>
  <c r="I19" i="2"/>
  <c r="I20" i="2"/>
  <c r="H19" i="2"/>
  <c r="H20" i="2"/>
  <c r="I18" i="2"/>
  <c r="H18" i="2"/>
  <c r="H16" i="2"/>
  <c r="G16" i="2"/>
  <c r="F16" i="2"/>
  <c r="F84" i="2"/>
  <c r="C84" i="2" s="1"/>
  <c r="F74" i="2"/>
  <c r="C74" i="2" s="1"/>
  <c r="G73" i="2"/>
  <c r="G74" i="2"/>
  <c r="M74" i="2" s="1"/>
  <c r="G84" i="2"/>
  <c r="F15" i="2"/>
  <c r="G15" i="2"/>
  <c r="M15" i="2" s="1"/>
  <c r="E15" i="2"/>
  <c r="D8" i="2"/>
  <c r="D7" i="2"/>
  <c r="D6" i="2"/>
  <c r="D5" i="2"/>
  <c r="D89" i="2" s="1"/>
  <c r="C15" i="2" l="1"/>
  <c r="D84" i="2"/>
  <c r="D103" i="2"/>
  <c r="D100" i="2"/>
  <c r="D94" i="2"/>
  <c r="G99" i="2"/>
  <c r="G98" i="2"/>
  <c r="G97" i="2"/>
  <c r="D44" i="2"/>
  <c r="D74" i="2"/>
  <c r="D15" i="2"/>
  <c r="D73" i="2"/>
</calcChain>
</file>

<file path=xl/comments1.xml><?xml version="1.0" encoding="utf-8"?>
<comments xmlns="http://schemas.openxmlformats.org/spreadsheetml/2006/main">
  <authors>
    <author>Josh Stepp</author>
    <author>Nathan Gower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Edgeband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Side 1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Side 2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Side 3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Side 4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SawX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X-Start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Y-Start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X-End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Tool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Tool Compensation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Direction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Edgeband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Side 1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Side 2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Side 3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Side 4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4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5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8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2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4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5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6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>Bore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8" authorId="0" shapeId="0">
      <text>
        <r>
          <rPr>
            <b/>
            <sz val="9"/>
            <color indexed="81"/>
            <rFont val="Tahoma"/>
            <family val="2"/>
          </rPr>
          <t>Free ViewBore Number(FreeView Only)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>SawX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X-Start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Y-Start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X-End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69" authorId="0" shapeId="0">
      <text>
        <r>
          <rPr>
            <b/>
            <sz val="9"/>
            <color indexed="81"/>
            <rFont val="Tahoma"/>
            <family val="2"/>
          </rPr>
          <t>Tool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Tool Compensation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Direction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StartLine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Position X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Position Y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Tool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</rPr>
          <t>Tool Compensation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Lead In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Lead Out</t>
        </r>
      </text>
    </comment>
    <comment ref="M70" authorId="0" shapeId="0">
      <text>
        <r>
          <rPr>
            <b/>
            <sz val="9"/>
            <color indexed="81"/>
            <rFont val="Tahoma"/>
            <family val="2"/>
          </rPr>
          <t>Direction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C Axis Tilt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Steps</t>
        </r>
      </text>
    </comment>
    <comment ref="P70" authorId="0" shapeId="0">
      <text>
        <r>
          <rPr>
            <b/>
            <sz val="9"/>
            <color indexed="81"/>
            <rFont val="Tahoma"/>
            <family val="2"/>
          </rPr>
          <t>Contour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Line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Position X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Position Y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Change in Z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Radius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Line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Position X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Position Y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Change in Z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Radius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75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7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7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75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Edgeband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Side 1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Side 2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Side 3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Side 4</t>
        </r>
      </text>
    </comment>
    <comment ref="C77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7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77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77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77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8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78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78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79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79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79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79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0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80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80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80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81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1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81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81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81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82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2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82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82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82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SawX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Face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X-Start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Y-Start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X-End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J83" authorId="0" shapeId="0">
      <text>
        <r>
          <rPr>
            <b/>
            <sz val="9"/>
            <color indexed="81"/>
            <rFont val="Tahoma"/>
            <family val="2"/>
          </rPr>
          <t>Tool</t>
        </r>
      </text>
    </comment>
    <comment ref="K83" authorId="0" shapeId="0">
      <text>
        <r>
          <rPr>
            <b/>
            <sz val="9"/>
            <color indexed="81"/>
            <rFont val="Tahoma"/>
            <family val="2"/>
          </rPr>
          <t>Tool Compensation</t>
        </r>
      </text>
    </comment>
    <comment ref="L83" authorId="0" shapeId="0">
      <text>
        <r>
          <rPr>
            <b/>
            <sz val="9"/>
            <color indexed="81"/>
            <rFont val="Tahoma"/>
            <family val="2"/>
          </rPr>
          <t>Direction</t>
        </r>
      </text>
    </comment>
    <comment ref="C8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5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8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8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85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86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6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86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86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86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87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7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87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87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87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87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88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88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88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88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88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88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91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1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91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91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91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91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92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2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92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92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92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93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3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93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93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93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93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95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95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95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Edgeband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Side 1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Side 2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Side 3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Side 4</t>
        </r>
      </text>
    </comment>
    <comment ref="C97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7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97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97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97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97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98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8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98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98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98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98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99" authorId="1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99" authorId="1" shapeId="0">
      <text>
        <r>
          <rPr>
            <b/>
            <sz val="9"/>
            <color indexed="81"/>
            <rFont val="Tahoma"/>
            <family val="2"/>
          </rPr>
          <t>BoreAndDowel</t>
        </r>
      </text>
    </comment>
    <comment ref="E99" authorId="1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Diameter</t>
        </r>
      </text>
    </comment>
    <comment ref="H99" authorId="1" shapeId="0">
      <text>
        <r>
          <rPr>
            <b/>
            <sz val="9"/>
            <color indexed="81"/>
            <rFont val="Tahoma"/>
            <family val="2"/>
          </rPr>
          <t>Depth</t>
        </r>
      </text>
    </comment>
    <comment ref="I99" authorId="1" shapeId="0">
      <text>
        <r>
          <rPr>
            <b/>
            <sz val="9"/>
            <color indexed="81"/>
            <rFont val="Tahoma"/>
            <family val="2"/>
          </rPr>
          <t>Insert Dowel</t>
        </r>
      </text>
    </comment>
    <comment ref="J99" authorId="1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101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101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02" authorId="0" shapeId="0">
      <text>
        <r>
          <rPr>
            <b/>
            <sz val="9"/>
            <color indexed="81"/>
            <rFont val="Tahoma"/>
            <family val="2"/>
          </rPr>
          <t>Edgeband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</rPr>
          <t>Side 1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Side 2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Side 3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Side 4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04" authorId="0" shapeId="0">
      <text>
        <r>
          <rPr>
            <b/>
            <sz val="9"/>
            <color indexed="81"/>
            <rFont val="Tahoma"/>
            <family val="2"/>
          </rPr>
          <t>Border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Josh Stepp: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DimX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DimY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DimZ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Zone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</rPr>
          <t>X-Offset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Y-Offset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Rotation</t>
        </r>
      </text>
    </comment>
    <comment ref="C105" authorId="0" shapeId="0">
      <text>
        <r>
          <rPr>
            <b/>
            <sz val="9"/>
            <color indexed="81"/>
            <rFont val="Tahoma"/>
            <family val="2"/>
          </rPr>
          <t>INSTR</t>
        </r>
      </text>
    </comment>
    <comment ref="D105" authorId="0" shapeId="0">
      <text>
        <r>
          <rPr>
            <b/>
            <sz val="9"/>
            <color indexed="81"/>
            <rFont val="Tahoma"/>
            <family val="2"/>
          </rPr>
          <t>Edgeband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</rPr>
          <t>Side 1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Side 2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Side 3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Side 4</t>
        </r>
      </text>
    </comment>
  </commentList>
</comments>
</file>

<file path=xl/sharedStrings.xml><?xml version="1.0" encoding="utf-8"?>
<sst xmlns="http://schemas.openxmlformats.org/spreadsheetml/2006/main" count="465" uniqueCount="216">
  <si>
    <t>Quantity</t>
  </si>
  <si>
    <t>Width</t>
  </si>
  <si>
    <t>Depth</t>
  </si>
  <si>
    <t>Material</t>
  </si>
  <si>
    <t>Color</t>
  </si>
  <si>
    <t>Min</t>
  </si>
  <si>
    <t>Max</t>
  </si>
  <si>
    <t>Nailer Height</t>
  </si>
  <si>
    <t>Dowel Diameter</t>
  </si>
  <si>
    <t>Edge Dowel Depth</t>
  </si>
  <si>
    <t>Face Dowel Depth</t>
  </si>
  <si>
    <t>Material Thickness</t>
  </si>
  <si>
    <t>Shelf Thickness</t>
  </si>
  <si>
    <t>Part Description</t>
  </si>
  <si>
    <t>Thickness</t>
  </si>
  <si>
    <t>End</t>
  </si>
  <si>
    <t>Back</t>
  </si>
  <si>
    <t>Shelf Gap</t>
  </si>
  <si>
    <t>INSTR</t>
  </si>
  <si>
    <t>Border</t>
  </si>
  <si>
    <t>Auto</t>
  </si>
  <si>
    <t>Bore</t>
  </si>
  <si>
    <t>Top</t>
  </si>
  <si>
    <t>Left</t>
  </si>
  <si>
    <t>Right</t>
  </si>
  <si>
    <t>Bottom</t>
  </si>
  <si>
    <t>Edgeband</t>
  </si>
  <si>
    <t>Center</t>
  </si>
  <si>
    <t>Neutral</t>
  </si>
  <si>
    <t>ClimbCut</t>
  </si>
  <si>
    <t>PowerCut</t>
  </si>
  <si>
    <t>Backer</t>
  </si>
  <si>
    <t>StartLine</t>
  </si>
  <si>
    <t>Line</t>
  </si>
  <si>
    <t>Backer Thickness</t>
  </si>
  <si>
    <t>Type</t>
  </si>
  <si>
    <t>Reveal</t>
  </si>
  <si>
    <t>Top Offset</t>
  </si>
  <si>
    <t>Shelf Bores</t>
  </si>
  <si>
    <t>HingeLocation</t>
  </si>
  <si>
    <t>DrawerStyle</t>
  </si>
  <si>
    <t>HingeType</t>
  </si>
  <si>
    <t>DoorStyle</t>
  </si>
  <si>
    <t>DrawerHeight</t>
  </si>
  <si>
    <t>ShelfSpacing</t>
  </si>
  <si>
    <t>Height</t>
  </si>
  <si>
    <t>SawX</t>
  </si>
  <si>
    <t>Hinge</t>
  </si>
  <si>
    <t>Logic</t>
  </si>
  <si>
    <t>Drawer</t>
  </si>
  <si>
    <t>Grain</t>
  </si>
  <si>
    <t>Finish</t>
  </si>
  <si>
    <t>MTLCode</t>
  </si>
  <si>
    <t>InteriorColor</t>
  </si>
  <si>
    <t>L</t>
  </si>
  <si>
    <t>Z</t>
  </si>
  <si>
    <t>E</t>
  </si>
  <si>
    <t>801UPT</t>
  </si>
  <si>
    <t>Vertical</t>
  </si>
  <si>
    <t>BE</t>
  </si>
  <si>
    <t>Bonex</t>
  </si>
  <si>
    <t>BEW</t>
  </si>
  <si>
    <t>W</t>
  </si>
  <si>
    <t>R</t>
  </si>
  <si>
    <t>G</t>
  </si>
  <si>
    <t>802CRT</t>
  </si>
  <si>
    <t>Horizontal</t>
  </si>
  <si>
    <t>CP</t>
  </si>
  <si>
    <t>Champagnex</t>
  </si>
  <si>
    <t>CPW</t>
  </si>
  <si>
    <t>Champagne</t>
  </si>
  <si>
    <t>S</t>
  </si>
  <si>
    <t>V</t>
  </si>
  <si>
    <t>ML</t>
  </si>
  <si>
    <t>Moonlightx</t>
  </si>
  <si>
    <t>MLW</t>
  </si>
  <si>
    <t>Moonlight</t>
  </si>
  <si>
    <t>SE</t>
  </si>
  <si>
    <t>Seasidex</t>
  </si>
  <si>
    <t>SEW</t>
  </si>
  <si>
    <t>Seaside</t>
  </si>
  <si>
    <t>ST</t>
  </si>
  <si>
    <t>Steelx</t>
  </si>
  <si>
    <t>STW</t>
  </si>
  <si>
    <t>Steel</t>
  </si>
  <si>
    <t>SU</t>
  </si>
  <si>
    <t>Sunsetx</t>
  </si>
  <si>
    <t>SUW</t>
  </si>
  <si>
    <t>Sunset</t>
  </si>
  <si>
    <t>EM</t>
  </si>
  <si>
    <t>Emberx</t>
  </si>
  <si>
    <t>EMW</t>
  </si>
  <si>
    <t>Ember</t>
  </si>
  <si>
    <t>JV</t>
  </si>
  <si>
    <t>Javax</t>
  </si>
  <si>
    <t>JVW</t>
  </si>
  <si>
    <t>Java</t>
  </si>
  <si>
    <t>BR</t>
  </si>
  <si>
    <t>Brownstonex</t>
  </si>
  <si>
    <t>BRW</t>
  </si>
  <si>
    <t>Brownstone</t>
  </si>
  <si>
    <t>WB</t>
  </si>
  <si>
    <t>WBW</t>
  </si>
  <si>
    <t>ES</t>
  </si>
  <si>
    <t>Espressox</t>
  </si>
  <si>
    <t>ESW</t>
  </si>
  <si>
    <t>Espresso</t>
  </si>
  <si>
    <t>BES</t>
  </si>
  <si>
    <t>Bone2</t>
  </si>
  <si>
    <t>CPS</t>
  </si>
  <si>
    <t>Champagne2</t>
  </si>
  <si>
    <t>MLS</t>
  </si>
  <si>
    <t>Moonlight2</t>
  </si>
  <si>
    <t>SES</t>
  </si>
  <si>
    <t>Seaside2</t>
  </si>
  <si>
    <t>STS</t>
  </si>
  <si>
    <t>Steel2</t>
  </si>
  <si>
    <t>SUS</t>
  </si>
  <si>
    <t>Sunset2</t>
  </si>
  <si>
    <t>EMS</t>
  </si>
  <si>
    <t>Ember2</t>
  </si>
  <si>
    <t>JVS</t>
  </si>
  <si>
    <t>Java2</t>
  </si>
  <si>
    <t>BRS</t>
  </si>
  <si>
    <t>Brownstone2</t>
  </si>
  <si>
    <t>WBS</t>
  </si>
  <si>
    <t>ESS</t>
  </si>
  <si>
    <t>Espresso2</t>
  </si>
  <si>
    <t>HEIGHT</t>
  </si>
  <si>
    <t>WIDTH</t>
  </si>
  <si>
    <t>DEPTH</t>
  </si>
  <si>
    <t>HINGE SIDE</t>
  </si>
  <si>
    <t>HINGE TYPE</t>
  </si>
  <si>
    <t>FINISH</t>
  </si>
  <si>
    <t>INTERIOR</t>
  </si>
  <si>
    <t>Edgebanding</t>
  </si>
  <si>
    <t>Info 1</t>
  </si>
  <si>
    <t>Turning</t>
  </si>
  <si>
    <t>W O Number</t>
  </si>
  <si>
    <t>Cabinet Type</t>
  </si>
  <si>
    <t>BackMTL</t>
  </si>
  <si>
    <t>EdgebandColor</t>
  </si>
  <si>
    <t>Front Stretcher</t>
  </si>
  <si>
    <t>BoreAndDowel</t>
  </si>
  <si>
    <t>GannoOffset</t>
  </si>
  <si>
    <t>GannoDia</t>
  </si>
  <si>
    <t>WinterBark2</t>
  </si>
  <si>
    <t>WinterBark</t>
  </si>
  <si>
    <t>WinterBarkx</t>
  </si>
  <si>
    <t>LargeDrawer Height</t>
  </si>
  <si>
    <t>OMON</t>
  </si>
  <si>
    <t>Drawer Bottom Length</t>
  </si>
  <si>
    <t>Hinge Logic</t>
  </si>
  <si>
    <t>DV</t>
  </si>
  <si>
    <t>AV</t>
  </si>
  <si>
    <t>Additional Offset</t>
  </si>
  <si>
    <t>Front Vert. Stretcher</t>
  </si>
  <si>
    <t>Rear Lower Nailer</t>
  </si>
  <si>
    <t>ToeKick</t>
  </si>
  <si>
    <t>Rear Upper Nailer</t>
  </si>
  <si>
    <t>Lower Hinge</t>
  </si>
  <si>
    <t>Upper Hinge</t>
  </si>
  <si>
    <t>Back Dado</t>
  </si>
  <si>
    <t>Toekick Routing</t>
  </si>
  <si>
    <t>Base</t>
  </si>
  <si>
    <t>Base SC</t>
  </si>
  <si>
    <t>Base DT</t>
  </si>
  <si>
    <t>LU</t>
  </si>
  <si>
    <t>Lusterx</t>
  </si>
  <si>
    <t>BI</t>
  </si>
  <si>
    <t>Bistrox</t>
  </si>
  <si>
    <t>STD Hinge</t>
  </si>
  <si>
    <t>STD SC Hinge</t>
  </si>
  <si>
    <t>ToeKick Height</t>
  </si>
  <si>
    <t>Front Vertical Stretcher</t>
  </si>
  <si>
    <t>B</t>
  </si>
  <si>
    <t>Both</t>
  </si>
  <si>
    <t>White PB</t>
  </si>
  <si>
    <t>Cabinets</t>
  </si>
  <si>
    <t>Description</t>
  </si>
  <si>
    <t>Boxes</t>
  </si>
  <si>
    <t>Hinges</t>
  </si>
  <si>
    <t>Glides</t>
  </si>
  <si>
    <t>DwrBox</t>
  </si>
  <si>
    <t>Materials</t>
  </si>
  <si>
    <t>Std</t>
  </si>
  <si>
    <t>SC</t>
  </si>
  <si>
    <t>PWST</t>
  </si>
  <si>
    <t>WMelD</t>
  </si>
  <si>
    <t>PWPS</t>
  </si>
  <si>
    <t>SWDT</t>
  </si>
  <si>
    <t>SMStd</t>
  </si>
  <si>
    <t>SMSC</t>
  </si>
  <si>
    <t>UMSC</t>
  </si>
  <si>
    <t>FINISH SIDES</t>
  </si>
  <si>
    <t>Bumper</t>
  </si>
  <si>
    <t>LockDow</t>
  </si>
  <si>
    <t>Pins</t>
  </si>
  <si>
    <t>Packaging</t>
  </si>
  <si>
    <t>Doors</t>
  </si>
  <si>
    <t>Species</t>
  </si>
  <si>
    <t>Panels</t>
  </si>
  <si>
    <t>OE</t>
  </si>
  <si>
    <t>IE</t>
  </si>
  <si>
    <t>Glazing</t>
  </si>
  <si>
    <t>Specials</t>
  </si>
  <si>
    <t>MATERIALS</t>
  </si>
  <si>
    <t>PLY</t>
  </si>
  <si>
    <t>DOOR STYLE</t>
  </si>
  <si>
    <t>GLIDE TYPE</t>
  </si>
  <si>
    <t xml:space="preserve">DWR BOX </t>
  </si>
  <si>
    <t>GLAZE</t>
  </si>
  <si>
    <t>ROLL-OUTS</t>
  </si>
  <si>
    <t>PointeAlexis</t>
  </si>
  <si>
    <t>LR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</si>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</sst>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7F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8B008B"/>
      <name val="Calibri"/>
      <family val="2"/>
      <scheme val="minor"/>
    </font>
    <font>
      <sz val="11"/>
      <color rgb="FFFF7F50"/>
      <name val="Calibri"/>
      <family val="2"/>
      <scheme val="minor"/>
    </font>
    <font>
      <sz val="11"/>
      <color rgb="FFFF7F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6" fillId="0" borderId="0" xfId="0" applyFont="1" applyFill="1"/>
    <xf numFmtId="164" fontId="3" fillId="0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  <xf numFmtId="0" fontId="7" fillId="3" borderId="0" xfId="0" applyFont="1" applyFill="1"/>
    <xf numFmtId="165" fontId="0" fillId="0" borderId="0" xfId="0" applyNumberFormat="1"/>
    <xf numFmtId="0" fontId="8" fillId="0" borderId="0" xfId="0" applyFont="1" applyFill="1"/>
    <xf numFmtId="0" fontId="3" fillId="4" borderId="0" xfId="0" applyFont="1" applyFill="1"/>
    <xf numFmtId="0" fontId="0" fillId="0" borderId="0" xfId="0"/>
    <xf numFmtId="0" fontId="9" fillId="0" borderId="0" xfId="0" applyFont="1"/>
    <xf numFmtId="165" fontId="3" fillId="2" borderId="0" xfId="0" applyNumberFormat="1" applyFont="1" applyFill="1"/>
    <xf numFmtId="165" fontId="3" fillId="0" borderId="0" xfId="0" applyNumberFormat="1" applyFont="1" applyFill="1"/>
    <xf numFmtId="0" fontId="10" fillId="0" borderId="0" xfId="0" applyFont="1"/>
    <xf numFmtId="0" fontId="0" fillId="0" borderId="0" xfId="0" applyFont="1"/>
    <xf numFmtId="0" fontId="11" fillId="0" borderId="0" xfId="0" applyFont="1" applyFill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7F5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9525</xdr:rowOff>
    </xdr:from>
    <xdr:to>
      <xdr:col>13</xdr:col>
      <xdr:colOff>332834</xdr:colOff>
      <xdr:row>23</xdr:row>
      <xdr:rowOff>132858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581025"/>
          <a:ext cx="4323809" cy="39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9" name="HingeLocTBL" displayName="HingeLocTBL" ref="B3:C6" totalsRowShown="0" headerRowDxfId="27" dataDxfId="26">
  <autoFilter ref="B3:C6"/>
  <tableColumns count="2">
    <tableColumn id="1" name="Hinge" dataDxfId="25"/>
    <tableColumn id="2" name="Logic" dataDxfId="2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0" name="DrawerTBL" displayName="DrawerTBL" ref="E3:F6" totalsRowShown="0" headerRowDxfId="23" dataDxfId="22">
  <autoFilter ref="E3:F6"/>
  <tableColumns count="2">
    <tableColumn id="1" name="DrawerStyle" dataDxfId="21"/>
    <tableColumn id="2" name="Drawer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1" name="HingeTBL" displayName="HingeTBL" ref="H3:I5" totalsRowShown="0" headerRowDxfId="19" dataDxfId="18">
  <autoFilter ref="H3:I5"/>
  <tableColumns count="2">
    <tableColumn id="1" name="HingeType" dataDxfId="17"/>
    <tableColumn id="2" name="Hinge" dataDxfId="1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2" name="DoorTBL" displayName="DoorTBL" ref="K3:L5" totalsRowShown="0" headerRowDxfId="15" dataDxfId="14">
  <autoFilter ref="K3:L5"/>
  <tableColumns count="2">
    <tableColumn id="1" name="DoorStyle" dataDxfId="13"/>
    <tableColumn id="2" name="Grain" dataDxfId="1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13" name="DoorFinishTBL" displayName="DoorFinishTBL" ref="N3:O16" totalsRowShown="0" headerRowDxfId="11" dataDxfId="10">
  <autoFilter ref="N3:O16"/>
  <tableColumns count="2">
    <tableColumn id="1" name="Finish" dataDxfId="9"/>
    <tableColumn id="2" name="Material" dataDxfId="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14" name="MTLCodeTBL" displayName="MTLCodeTBL" ref="Q3:R25" totalsRowShown="0" headerRowDxfId="7" dataDxfId="6">
  <autoFilter ref="Q3:R25"/>
  <tableColumns count="2">
    <tableColumn id="1" name="MTLCode" dataDxfId="5"/>
    <tableColumn id="2" name="Material" dataDxfId="4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15" name="EdgebandInTBL" displayName="EdgebandInTBL" ref="T3:U5" totalsRowShown="0" headerRowDxfId="3" dataDxfId="2">
  <autoFilter ref="T3:U5"/>
  <tableColumns count="2">
    <tableColumn id="1" name="InteriorColor" dataDxfId="1"/>
    <tableColumn id="2" name="Colo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0"/>
  <sheetViews>
    <sheetView tabSelected="1" workbookViewId="0">
      <selection activeCell="B4" sqref="B4"/>
    </sheetView>
  </sheetViews>
  <sheetFormatPr defaultRowHeight="15" x14ac:dyDescent="0.25"/>
  <cols>
    <col min="3" max="3" width="15.7109375" bestFit="1" customWidth="1"/>
    <col min="4" max="4" width="13.42578125" bestFit="1" customWidth="1"/>
    <col min="13" max="13" width="14.28515625" bestFit="1" customWidth="1"/>
  </cols>
  <sheetData>
    <row r="4" spans="3:16" x14ac:dyDescent="0.25">
      <c r="C4" s="5"/>
      <c r="D4" s="5"/>
      <c r="E4" s="5" t="s">
        <v>5</v>
      </c>
      <c r="F4" s="5" t="s">
        <v>6</v>
      </c>
      <c r="M4" s="17"/>
      <c r="N4" s="17"/>
      <c r="O4" s="17"/>
      <c r="P4" s="17"/>
    </row>
    <row r="5" spans="3:16" x14ac:dyDescent="0.25">
      <c r="C5" s="5" t="s">
        <v>0</v>
      </c>
      <c r="D5" s="5">
        <v>1</v>
      </c>
      <c r="E5" s="5">
        <v>1</v>
      </c>
      <c r="F5" s="5"/>
      <c r="M5" s="17"/>
      <c r="N5" s="17"/>
      <c r="O5" s="17"/>
      <c r="P5" s="17"/>
    </row>
    <row r="6" spans="3:16" x14ac:dyDescent="0.25">
      <c r="C6" s="5" t="s">
        <v>129</v>
      </c>
      <c r="D6" s="5">
        <v>32.5</v>
      </c>
      <c r="E6" s="5">
        <v>9</v>
      </c>
      <c r="F6" s="5">
        <v>42</v>
      </c>
      <c r="M6" s="17"/>
      <c r="N6" s="17"/>
      <c r="O6" s="17"/>
      <c r="P6" s="17"/>
    </row>
    <row r="7" spans="3:16" x14ac:dyDescent="0.25">
      <c r="C7" s="5" t="s">
        <v>128</v>
      </c>
      <c r="D7" s="5">
        <v>18</v>
      </c>
      <c r="E7" s="5">
        <v>18</v>
      </c>
      <c r="F7" s="5">
        <v>60</v>
      </c>
      <c r="M7" s="17"/>
      <c r="N7" s="17"/>
      <c r="O7" s="17"/>
      <c r="P7" s="17"/>
    </row>
    <row r="8" spans="3:16" x14ac:dyDescent="0.25">
      <c r="C8" s="5" t="s">
        <v>130</v>
      </c>
      <c r="D8" s="5">
        <v>24</v>
      </c>
      <c r="E8" s="5">
        <v>9</v>
      </c>
      <c r="F8" s="5">
        <v>30</v>
      </c>
      <c r="M8" s="17"/>
      <c r="N8" s="17"/>
      <c r="O8" s="17"/>
      <c r="P8" s="17"/>
    </row>
    <row r="9" spans="3:16" x14ac:dyDescent="0.25">
      <c r="C9" s="5" t="s">
        <v>194</v>
      </c>
      <c r="D9" s="5" t="s">
        <v>54</v>
      </c>
      <c r="E9" s="5"/>
      <c r="F9" s="5"/>
      <c r="O9" s="17"/>
      <c r="P9" s="17"/>
    </row>
    <row r="10" spans="3:16" x14ac:dyDescent="0.25">
      <c r="C10" s="5" t="s">
        <v>206</v>
      </c>
      <c r="D10" s="5" t="s">
        <v>207</v>
      </c>
      <c r="E10" s="5"/>
      <c r="F10" s="5"/>
      <c r="O10" s="17"/>
      <c r="P10" s="17"/>
    </row>
    <row r="11" spans="3:16" x14ac:dyDescent="0.25">
      <c r="C11" s="5" t="s">
        <v>131</v>
      </c>
      <c r="D11" s="5" t="s">
        <v>175</v>
      </c>
      <c r="E11" s="5"/>
      <c r="F11" s="5"/>
      <c r="M11" s="17"/>
      <c r="N11" s="17"/>
      <c r="O11" s="17"/>
      <c r="P11" s="17"/>
    </row>
    <row r="12" spans="3:16" x14ac:dyDescent="0.25">
      <c r="C12" s="5" t="s">
        <v>132</v>
      </c>
      <c r="D12" s="5" t="s">
        <v>185</v>
      </c>
      <c r="E12" s="5"/>
      <c r="F12" s="5"/>
      <c r="M12" s="17"/>
      <c r="N12" s="17"/>
      <c r="O12" s="17"/>
      <c r="P12" s="17"/>
    </row>
    <row r="13" spans="3:16" x14ac:dyDescent="0.25">
      <c r="C13" s="5" t="s">
        <v>209</v>
      </c>
      <c r="D13" s="5" t="s">
        <v>191</v>
      </c>
      <c r="E13" s="5"/>
      <c r="F13" s="5"/>
      <c r="O13" s="17"/>
      <c r="P13" s="17"/>
    </row>
    <row r="14" spans="3:16" x14ac:dyDescent="0.25">
      <c r="C14" s="5" t="s">
        <v>210</v>
      </c>
      <c r="D14" s="5" t="s">
        <v>187</v>
      </c>
      <c r="E14" s="5"/>
      <c r="F14" s="5"/>
      <c r="M14" s="17"/>
      <c r="N14" s="17"/>
      <c r="O14" s="17"/>
      <c r="P14" s="17"/>
    </row>
    <row r="15" spans="3:16" x14ac:dyDescent="0.25">
      <c r="C15" s="5" t="s">
        <v>208</v>
      </c>
      <c r="D15" s="5" t="s">
        <v>213</v>
      </c>
      <c r="E15" s="5"/>
      <c r="F15" s="5"/>
      <c r="M15" s="17"/>
      <c r="N15" s="17"/>
      <c r="O15" s="17"/>
      <c r="P15" s="17"/>
    </row>
    <row r="16" spans="3:16" x14ac:dyDescent="0.25">
      <c r="C16" s="5" t="s">
        <v>133</v>
      </c>
      <c r="D16" s="5" t="s">
        <v>214</v>
      </c>
      <c r="E16" s="5"/>
      <c r="F16" s="5"/>
      <c r="M16" s="17"/>
      <c r="N16" s="17"/>
      <c r="O16" s="17"/>
      <c r="P16" s="17"/>
    </row>
    <row r="17" spans="3:16" x14ac:dyDescent="0.25">
      <c r="C17" s="5" t="s">
        <v>211</v>
      </c>
      <c r="D17" s="5" t="s">
        <v>215</v>
      </c>
      <c r="E17" s="5"/>
      <c r="F17" s="5"/>
      <c r="M17" s="17"/>
      <c r="N17" s="17"/>
      <c r="O17" s="17"/>
      <c r="P17" s="17"/>
    </row>
    <row r="18" spans="3:16" x14ac:dyDescent="0.25">
      <c r="C18" s="5" t="s">
        <v>134</v>
      </c>
      <c r="D18" s="5" t="s">
        <v>62</v>
      </c>
      <c r="E18" s="5"/>
      <c r="F18" s="5"/>
      <c r="M18" s="17"/>
      <c r="N18" s="17"/>
    </row>
    <row r="19" spans="3:16" x14ac:dyDescent="0.25">
      <c r="C19" s="5" t="s">
        <v>212</v>
      </c>
      <c r="D19" s="5">
        <v>1</v>
      </c>
      <c r="E19" s="5">
        <v>0</v>
      </c>
      <c r="F19" s="5">
        <v>3</v>
      </c>
      <c r="M19" s="17"/>
      <c r="N19" s="17"/>
    </row>
    <row r="20" spans="3:16" x14ac:dyDescent="0.25">
      <c r="M20" s="17"/>
      <c r="N20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10"/>
  <sheetViews>
    <sheetView topLeftCell="D1" workbookViewId="0">
      <selection activeCell="P7" sqref="P7"/>
    </sheetView>
  </sheetViews>
  <sheetFormatPr defaultRowHeight="15" x14ac:dyDescent="0.25"/>
  <cols>
    <col min="1" max="1" width="19.42578125" style="22" bestFit="1" customWidth="1"/>
    <col min="3" max="3" width="30.28515625" bestFit="1" customWidth="1"/>
    <col min="4" max="4" width="13.42578125" bestFit="1" customWidth="1"/>
    <col min="6" max="6" width="17.5703125" bestFit="1" customWidth="1"/>
    <col min="7" max="8" width="14.42578125" customWidth="1"/>
    <col min="9" max="9" width="17.5703125" bestFit="1" customWidth="1"/>
    <col min="10" max="10" width="20.42578125" bestFit="1" customWidth="1"/>
    <col min="11" max="11" width="12" customWidth="1"/>
    <col min="12" max="12" width="22" bestFit="1" customWidth="1"/>
    <col min="13" max="13" width="12.42578125" bestFit="1" customWidth="1"/>
    <col min="14" max="14" width="12.5703125" bestFit="1" customWidth="1"/>
    <col min="15" max="15" width="21.140625" bestFit="1" customWidth="1"/>
    <col min="18" max="18" width="22" bestFit="1" customWidth="1"/>
  </cols>
  <sheetData>
    <row r="1" spans="1:80" x14ac:dyDescent="0.25">
      <c r="BW1">
        <v>1</v>
      </c>
      <c r="BX1" t="s">
        <v>27</v>
      </c>
      <c r="BY1">
        <v>0</v>
      </c>
      <c r="BZ1" t="s">
        <v>28</v>
      </c>
      <c r="CB1">
        <v>0</v>
      </c>
    </row>
    <row r="2" spans="1:80" x14ac:dyDescent="0.25">
      <c r="BW2">
        <v>2</v>
      </c>
      <c r="BX2" t="s">
        <v>24</v>
      </c>
      <c r="BY2">
        <v>1</v>
      </c>
      <c r="BZ2" t="s">
        <v>29</v>
      </c>
      <c r="CB2">
        <v>90</v>
      </c>
    </row>
    <row r="3" spans="1:80" x14ac:dyDescent="0.25">
      <c r="BW3">
        <v>3</v>
      </c>
      <c r="BX3" t="s">
        <v>23</v>
      </c>
      <c r="BY3">
        <v>2</v>
      </c>
      <c r="BZ3" t="s">
        <v>30</v>
      </c>
      <c r="CB3">
        <v>180</v>
      </c>
    </row>
    <row r="4" spans="1:80" x14ac:dyDescent="0.25">
      <c r="BW4">
        <v>4</v>
      </c>
      <c r="BY4">
        <v>3</v>
      </c>
      <c r="CB4">
        <v>270</v>
      </c>
    </row>
    <row r="5" spans="1:80" x14ac:dyDescent="0.25">
      <c r="C5" t="s">
        <v>0</v>
      </c>
      <c r="D5">
        <f>Order!D5</f>
        <v>1</v>
      </c>
      <c r="F5" t="s">
        <v>7</v>
      </c>
      <c r="G5">
        <v>4.5</v>
      </c>
      <c r="I5" t="s">
        <v>36</v>
      </c>
      <c r="J5">
        <v>0.125</v>
      </c>
      <c r="L5" t="s">
        <v>43</v>
      </c>
      <c r="M5">
        <v>5.875</v>
      </c>
      <c r="O5" t="s">
        <v>145</v>
      </c>
      <c r="P5">
        <v>8</v>
      </c>
      <c r="BW5" t="s">
        <v>16</v>
      </c>
    </row>
    <row r="6" spans="1:80" x14ac:dyDescent="0.25">
      <c r="C6" t="s">
        <v>45</v>
      </c>
      <c r="D6">
        <f>Height</f>
        <v>32.5</v>
      </c>
      <c r="F6" t="s">
        <v>8</v>
      </c>
      <c r="G6">
        <v>0.315</v>
      </c>
      <c r="I6" t="s">
        <v>12</v>
      </c>
      <c r="J6">
        <v>0.75</v>
      </c>
      <c r="L6" t="s">
        <v>44</v>
      </c>
      <c r="M6" s="14">
        <f>192/25.4</f>
        <v>7.559055118110237</v>
      </c>
      <c r="O6" t="s">
        <v>151</v>
      </c>
      <c r="P6">
        <v>18.5</v>
      </c>
      <c r="BW6" t="s">
        <v>25</v>
      </c>
    </row>
    <row r="7" spans="1:80" x14ac:dyDescent="0.25">
      <c r="C7" t="s">
        <v>1</v>
      </c>
      <c r="D7">
        <f>Width</f>
        <v>18</v>
      </c>
      <c r="F7" t="s">
        <v>34</v>
      </c>
      <c r="G7">
        <v>0.125</v>
      </c>
      <c r="I7" t="s">
        <v>17</v>
      </c>
      <c r="J7">
        <v>0.25</v>
      </c>
      <c r="L7" t="s">
        <v>141</v>
      </c>
      <c r="M7" t="e">
        <f>List!$U$5</f>
        <v>#N/A</v>
      </c>
      <c r="O7" t="s">
        <v>149</v>
      </c>
      <c r="P7">
        <v>11.75</v>
      </c>
    </row>
    <row r="8" spans="1:80" x14ac:dyDescent="0.25">
      <c r="C8" t="s">
        <v>2</v>
      </c>
      <c r="D8">
        <f>Depth</f>
        <v>24</v>
      </c>
      <c r="F8" t="s">
        <v>9</v>
      </c>
      <c r="G8" s="17">
        <v>-1.10236</v>
      </c>
      <c r="I8" t="s">
        <v>37</v>
      </c>
      <c r="J8">
        <f>0.3125+AddOffset</f>
        <v>0.33250000000000002</v>
      </c>
      <c r="L8" t="s">
        <v>174</v>
      </c>
      <c r="M8">
        <f>6.25</f>
        <v>6.25</v>
      </c>
      <c r="O8" t="s">
        <v>152</v>
      </c>
      <c r="P8" t="b">
        <f>VLOOKUP(Hinge,HingeLocTBL[],2,FALSE)</f>
        <v>1</v>
      </c>
    </row>
    <row r="9" spans="1:80" x14ac:dyDescent="0.25">
      <c r="C9" t="s">
        <v>138</v>
      </c>
      <c r="D9" t="str">
        <f>WONumber</f>
        <v>LR</v>
      </c>
      <c r="F9" t="s">
        <v>10</v>
      </c>
      <c r="G9" s="17">
        <v>-0.472441</v>
      </c>
      <c r="I9" t="s">
        <v>38</v>
      </c>
      <c r="J9">
        <v>0.19685</v>
      </c>
      <c r="O9" t="s">
        <v>155</v>
      </c>
      <c r="P9">
        <v>0.02</v>
      </c>
    </row>
    <row r="10" spans="1:80" x14ac:dyDescent="0.25">
      <c r="C10" t="s">
        <v>31</v>
      </c>
      <c r="D10" t="s">
        <v>140</v>
      </c>
      <c r="F10" t="s">
        <v>11</v>
      </c>
      <c r="G10">
        <f>0.625+AddOffset</f>
        <v>0.64500000000000002</v>
      </c>
      <c r="I10" t="s">
        <v>39</v>
      </c>
      <c r="J10">
        <v>1.45669</v>
      </c>
      <c r="L10" t="s">
        <v>144</v>
      </c>
      <c r="M10">
        <v>0</v>
      </c>
      <c r="O10" t="s">
        <v>173</v>
      </c>
      <c r="P10">
        <v>4.5</v>
      </c>
    </row>
    <row r="14" spans="1:80" x14ac:dyDescent="0.25">
      <c r="C14" s="1" t="s">
        <v>13</v>
      </c>
      <c r="D14" s="1" t="s">
        <v>0</v>
      </c>
      <c r="E14" s="1" t="s">
        <v>45</v>
      </c>
      <c r="F14" s="1" t="s">
        <v>1</v>
      </c>
      <c r="G14" s="1" t="s">
        <v>14</v>
      </c>
      <c r="H14" s="1" t="s">
        <v>3</v>
      </c>
      <c r="I14" s="1" t="s">
        <v>135</v>
      </c>
      <c r="J14" s="1" t="s">
        <v>136</v>
      </c>
      <c r="K14" s="1" t="s">
        <v>137</v>
      </c>
      <c r="L14" s="1" t="s">
        <v>35</v>
      </c>
      <c r="M14" s="1" t="s">
        <v>135</v>
      </c>
      <c r="N14" s="1" t="s">
        <v>150</v>
      </c>
      <c r="O14" s="1" t="s">
        <v>139</v>
      </c>
      <c r="P14" s="1" t="s">
        <v>15</v>
      </c>
    </row>
    <row r="15" spans="1:80" x14ac:dyDescent="0.25">
      <c r="C15" s="9" t="str">
        <f>E15&amp;" x "&amp;F15&amp;" "&amp;"Left E.P."</f>
        <v>32.5 x 24 Left E.P.</v>
      </c>
      <c r="D15" s="9">
        <f>Quantity</f>
        <v>1</v>
      </c>
      <c r="E15" s="9">
        <f>Height</f>
        <v>32.5</v>
      </c>
      <c r="F15" s="9">
        <f>Depth</f>
        <v>24</v>
      </c>
      <c r="G15" s="9">
        <f>Thickness</f>
        <v>0.64500000000000002</v>
      </c>
      <c r="H15" s="9" t="e">
        <f>IF(VLOOKUP(MTLCode,MTLCodeTBL[],2,FALSE)= "Bone2", "Bone",VLOOKUP(MTLCode,MTLCodeTBL[],2,FALSE))</f>
        <v>#N/A</v>
      </c>
      <c r="I15" s="9" t="e">
        <f>LEFT(VLOOKUP(Finish,DoorFinishTBL[],2,FALSE),LEN(VLOOKUP(Finish,DoorFinishTBL[],2,FALSE))-1)</f>
        <v>#N/A</v>
      </c>
      <c r="J15" s="9" t="e">
        <f>IF(Hinge&lt;&gt;"R",VLOOKUP(HingeType,HingeTBL[],2,FALSE),"")</f>
        <v>#N/A</v>
      </c>
      <c r="K15" s="9">
        <v>0</v>
      </c>
      <c r="L15" s="9">
        <v>2</v>
      </c>
      <c r="M15" s="9" t="e">
        <f>IF(G15 = 0.625,I15&amp;"1",I15&amp;"2")</f>
        <v>#N/A</v>
      </c>
      <c r="N15" s="9" t="str">
        <f>WONumber</f>
        <v>LR</v>
      </c>
      <c r="O15" s="9" t="str">
        <f>OMPPN</f>
        <v>No</v>
      </c>
      <c r="P15" s="3"/>
      <c r="Q15" s="3"/>
      <c r="R15" s="3"/>
      <c r="S15" s="3"/>
      <c r="T15" s="3"/>
      <c r="U15" s="3"/>
      <c r="V15" s="3"/>
      <c r="W15" s="3"/>
    </row>
    <row r="16" spans="1:80" s="5" customFormat="1" x14ac:dyDescent="0.25">
      <c r="A16" s="23"/>
      <c r="B16" s="4"/>
      <c r="C16" s="4" t="s">
        <v>18</v>
      </c>
      <c r="D16" s="4" t="s">
        <v>19</v>
      </c>
      <c r="E16" s="4"/>
      <c r="F16" s="4">
        <f>Height</f>
        <v>32.5</v>
      </c>
      <c r="G16" s="4">
        <f>Depth</f>
        <v>24</v>
      </c>
      <c r="H16" s="4">
        <f>Thickness</f>
        <v>0.64500000000000002</v>
      </c>
      <c r="I16" s="4" t="s">
        <v>154</v>
      </c>
      <c r="J16" s="4">
        <v>0</v>
      </c>
      <c r="K16" s="4">
        <v>0</v>
      </c>
      <c r="L16" s="4">
        <v>0</v>
      </c>
    </row>
    <row r="17" spans="1:10" s="5" customFormat="1" ht="15" customHeight="1" x14ac:dyDescent="0.25">
      <c r="A17" s="24"/>
      <c r="C17" s="4" t="s">
        <v>18</v>
      </c>
      <c r="D17" s="4" t="s">
        <v>26</v>
      </c>
      <c r="E17" s="4">
        <v>0</v>
      </c>
      <c r="F17" s="4">
        <v>1</v>
      </c>
      <c r="G17" s="4">
        <v>0</v>
      </c>
      <c r="H17" s="4">
        <v>0</v>
      </c>
    </row>
    <row r="18" spans="1:10" s="5" customFormat="1" x14ac:dyDescent="0.25">
      <c r="A18" s="23" t="s">
        <v>156</v>
      </c>
      <c r="B18" s="4"/>
      <c r="C18" s="4" t="s">
        <v>18</v>
      </c>
      <c r="D18" s="7" t="s">
        <v>21</v>
      </c>
      <c r="E18" s="4" t="s">
        <v>22</v>
      </c>
      <c r="F18" s="4">
        <f>F19-(64/25.4)</f>
        <v>0.60531496062992129</v>
      </c>
      <c r="G18" s="4">
        <f>Thickness/2</f>
        <v>0.32250000000000001</v>
      </c>
      <c r="H18" s="4">
        <f t="shared" ref="H18:H35" si="0">DowelDia</f>
        <v>0.315</v>
      </c>
      <c r="I18" s="4">
        <f t="shared" ref="I18:I39" si="1">FaceDepth</f>
        <v>-0.472441</v>
      </c>
      <c r="J18" s="4"/>
    </row>
    <row r="19" spans="1:10" s="5" customFormat="1" x14ac:dyDescent="0.25">
      <c r="A19" s="23"/>
      <c r="B19" s="4"/>
      <c r="C19" s="4" t="s">
        <v>18</v>
      </c>
      <c r="D19" s="7" t="s">
        <v>21</v>
      </c>
      <c r="E19" s="4" t="s">
        <v>22</v>
      </c>
      <c r="F19" s="4">
        <f>FrontVertStretcher/2</f>
        <v>3.125</v>
      </c>
      <c r="G19" s="4">
        <f>Thickness/2</f>
        <v>0.32250000000000001</v>
      </c>
      <c r="H19" s="4">
        <f t="shared" si="0"/>
        <v>0.315</v>
      </c>
      <c r="I19" s="4">
        <f t="shared" si="1"/>
        <v>-0.472441</v>
      </c>
      <c r="J19" s="4"/>
    </row>
    <row r="20" spans="1:10" s="5" customFormat="1" x14ac:dyDescent="0.25">
      <c r="A20" s="23"/>
      <c r="B20" s="4"/>
      <c r="C20" s="4" t="s">
        <v>18</v>
      </c>
      <c r="D20" s="7" t="s">
        <v>21</v>
      </c>
      <c r="E20" s="4" t="s">
        <v>22</v>
      </c>
      <c r="F20" s="4">
        <f>F19+(64/25.4)</f>
        <v>5.6446850393700787</v>
      </c>
      <c r="G20" s="4">
        <f>Thickness/2</f>
        <v>0.32250000000000001</v>
      </c>
      <c r="H20" s="4">
        <f t="shared" si="0"/>
        <v>0.315</v>
      </c>
      <c r="I20" s="4">
        <f t="shared" si="1"/>
        <v>-0.472441</v>
      </c>
      <c r="J20" s="4"/>
    </row>
    <row r="21" spans="1:10" s="5" customFormat="1" x14ac:dyDescent="0.25">
      <c r="A21" s="23" t="s">
        <v>25</v>
      </c>
      <c r="B21" s="4"/>
      <c r="C21" s="4" t="s">
        <v>18</v>
      </c>
      <c r="D21" s="7" t="s">
        <v>21</v>
      </c>
      <c r="E21" s="4" t="s">
        <v>22</v>
      </c>
      <c r="F21" s="4">
        <f t="shared" ref="F21:F26" si="2">(Height-ToeKick)-Thickness/2</f>
        <v>27.677499999999998</v>
      </c>
      <c r="G21" s="4">
        <v>1.5</v>
      </c>
      <c r="H21" s="4">
        <f t="shared" si="0"/>
        <v>0.315</v>
      </c>
      <c r="I21" s="4">
        <f t="shared" si="1"/>
        <v>-0.472441</v>
      </c>
      <c r="J21" s="4"/>
    </row>
    <row r="22" spans="1:10" s="5" customFormat="1" x14ac:dyDescent="0.25">
      <c r="A22" s="23"/>
      <c r="B22" s="4"/>
      <c r="C22" s="4" t="s">
        <v>18</v>
      </c>
      <c r="D22" s="7" t="s">
        <v>21</v>
      </c>
      <c r="E22" s="4" t="s">
        <v>22</v>
      </c>
      <c r="F22" s="4">
        <f t="shared" si="2"/>
        <v>27.677499999999998</v>
      </c>
      <c r="G22" s="4">
        <f>G21+(64/25.4)</f>
        <v>4.0196850393700787</v>
      </c>
      <c r="H22" s="4">
        <f t="shared" si="0"/>
        <v>0.315</v>
      </c>
      <c r="I22" s="4">
        <f t="shared" si="1"/>
        <v>-0.472441</v>
      </c>
      <c r="J22" s="4"/>
    </row>
    <row r="23" spans="1:10" s="5" customFormat="1" x14ac:dyDescent="0.25">
      <c r="A23" s="23"/>
      <c r="B23" s="4"/>
      <c r="C23" s="4" t="s">
        <v>18</v>
      </c>
      <c r="D23" s="7" t="s">
        <v>21</v>
      </c>
      <c r="E23" s="4" t="s">
        <v>22</v>
      </c>
      <c r="F23" s="4">
        <f t="shared" si="2"/>
        <v>27.677499999999998</v>
      </c>
      <c r="G23" s="8">
        <f>Depth/2-(32/25.4)</f>
        <v>10.740157480314961</v>
      </c>
      <c r="H23" s="4">
        <f t="shared" si="0"/>
        <v>0.315</v>
      </c>
      <c r="I23" s="4">
        <f t="shared" si="1"/>
        <v>-0.472441</v>
      </c>
      <c r="J23" s="4"/>
    </row>
    <row r="24" spans="1:10" s="5" customFormat="1" x14ac:dyDescent="0.25">
      <c r="A24" s="23"/>
      <c r="B24" s="4"/>
      <c r="C24" s="4" t="s">
        <v>18</v>
      </c>
      <c r="D24" s="7" t="s">
        <v>21</v>
      </c>
      <c r="E24" s="4" t="s">
        <v>22</v>
      </c>
      <c r="F24" s="4">
        <f t="shared" si="2"/>
        <v>27.677499999999998</v>
      </c>
      <c r="G24" s="8">
        <f>Depth/2+(32/25.4)</f>
        <v>13.259842519685039</v>
      </c>
      <c r="H24" s="4">
        <f t="shared" si="0"/>
        <v>0.315</v>
      </c>
      <c r="I24" s="4">
        <f t="shared" si="1"/>
        <v>-0.472441</v>
      </c>
      <c r="J24" s="4"/>
    </row>
    <row r="25" spans="1:10" s="5" customFormat="1" x14ac:dyDescent="0.25">
      <c r="A25" s="23"/>
      <c r="B25" s="4"/>
      <c r="C25" s="4" t="s">
        <v>18</v>
      </c>
      <c r="D25" s="7" t="s">
        <v>21</v>
      </c>
      <c r="E25" s="4" t="s">
        <v>22</v>
      </c>
      <c r="F25" s="4">
        <f t="shared" si="2"/>
        <v>27.677499999999998</v>
      </c>
      <c r="G25" s="4">
        <f>G26-(64/25.4)</f>
        <v>19.980314960629922</v>
      </c>
      <c r="H25" s="4">
        <f t="shared" si="0"/>
        <v>0.315</v>
      </c>
      <c r="I25" s="4">
        <f t="shared" si="1"/>
        <v>-0.472441</v>
      </c>
      <c r="J25" s="4"/>
    </row>
    <row r="26" spans="1:10" s="5" customFormat="1" x14ac:dyDescent="0.25">
      <c r="A26" s="23"/>
      <c r="B26" s="4"/>
      <c r="C26" s="4" t="s">
        <v>18</v>
      </c>
      <c r="D26" s="7" t="s">
        <v>21</v>
      </c>
      <c r="E26" s="4" t="s">
        <v>22</v>
      </c>
      <c r="F26" s="4">
        <f t="shared" si="2"/>
        <v>27.677499999999998</v>
      </c>
      <c r="G26" s="4">
        <f>Depth-1.5</f>
        <v>22.5</v>
      </c>
      <c r="H26" s="4">
        <f t="shared" si="0"/>
        <v>0.315</v>
      </c>
      <c r="I26" s="4">
        <f t="shared" si="1"/>
        <v>-0.472441</v>
      </c>
      <c r="J26" s="4"/>
    </row>
    <row r="27" spans="1:10" s="5" customFormat="1" x14ac:dyDescent="0.25">
      <c r="A27" s="23" t="s">
        <v>157</v>
      </c>
      <c r="B27" s="4"/>
      <c r="C27" s="4" t="s">
        <v>18</v>
      </c>
      <c r="D27" s="7" t="s">
        <v>21</v>
      </c>
      <c r="E27" s="4" t="s">
        <v>22</v>
      </c>
      <c r="F27" s="4">
        <f>F28-(32/25.4)</f>
        <v>28.990157480314959</v>
      </c>
      <c r="G27" s="4">
        <f>Depth-(Thickness/2)</f>
        <v>23.677499999999998</v>
      </c>
      <c r="H27" s="4">
        <f t="shared" si="0"/>
        <v>0.315</v>
      </c>
      <c r="I27" s="4">
        <f t="shared" si="1"/>
        <v>-0.472441</v>
      </c>
      <c r="J27" s="4"/>
    </row>
    <row r="28" spans="1:10" s="5" customFormat="1" x14ac:dyDescent="0.25">
      <c r="A28" s="23"/>
      <c r="B28" s="4"/>
      <c r="C28" s="4" t="s">
        <v>18</v>
      </c>
      <c r="D28" s="7" t="s">
        <v>21</v>
      </c>
      <c r="E28" s="4" t="s">
        <v>22</v>
      </c>
      <c r="F28" s="4">
        <f>Height-(NailerHeight/2)</f>
        <v>30.25</v>
      </c>
      <c r="G28" s="4">
        <f>Depth-(Thickness/2)</f>
        <v>23.677499999999998</v>
      </c>
      <c r="H28" s="4">
        <f t="shared" si="0"/>
        <v>0.315</v>
      </c>
      <c r="I28" s="4">
        <f t="shared" si="1"/>
        <v>-0.472441</v>
      </c>
      <c r="J28" s="4"/>
    </row>
    <row r="29" spans="1:10" s="5" customFormat="1" x14ac:dyDescent="0.25">
      <c r="A29" s="23"/>
      <c r="B29" s="4"/>
      <c r="C29" s="4" t="s">
        <v>18</v>
      </c>
      <c r="D29" s="7" t="s">
        <v>21</v>
      </c>
      <c r="E29" s="4" t="s">
        <v>22</v>
      </c>
      <c r="F29" s="4">
        <f>F28+(32/25.4)</f>
        <v>31.509842519685041</v>
      </c>
      <c r="G29" s="4">
        <f>Depth-(Thickness/2)</f>
        <v>23.677499999999998</v>
      </c>
      <c r="H29" s="4">
        <f t="shared" si="0"/>
        <v>0.315</v>
      </c>
      <c r="I29" s="4">
        <f t="shared" si="1"/>
        <v>-0.472441</v>
      </c>
      <c r="J29" s="4"/>
    </row>
    <row r="30" spans="1:10" s="5" customFormat="1" x14ac:dyDescent="0.25">
      <c r="A30" s="23" t="s">
        <v>158</v>
      </c>
      <c r="B30" s="4"/>
      <c r="C30" s="4" t="s">
        <v>18</v>
      </c>
      <c r="D30" s="7" t="s">
        <v>21</v>
      </c>
      <c r="E30" s="4" t="s">
        <v>22</v>
      </c>
      <c r="F30" s="4">
        <f>F31-(32/25.4)</f>
        <v>28.990157480314959</v>
      </c>
      <c r="G30" s="4">
        <f>3.9375+(Thickness/2)</f>
        <v>4.26</v>
      </c>
      <c r="H30" s="4">
        <f t="shared" si="0"/>
        <v>0.315</v>
      </c>
      <c r="I30" s="4">
        <f t="shared" si="1"/>
        <v>-0.472441</v>
      </c>
      <c r="J30" s="4"/>
    </row>
    <row r="31" spans="1:10" s="5" customFormat="1" x14ac:dyDescent="0.25">
      <c r="A31" s="23"/>
      <c r="B31" s="4"/>
      <c r="C31" s="4" t="s">
        <v>18</v>
      </c>
      <c r="D31" s="7" t="s">
        <v>21</v>
      </c>
      <c r="E31" s="4" t="s">
        <v>22</v>
      </c>
      <c r="F31" s="4">
        <f>Height-(ToeKick/2)</f>
        <v>30.25</v>
      </c>
      <c r="G31" s="4">
        <f>3.9375+(Thickness/2)</f>
        <v>4.26</v>
      </c>
      <c r="H31" s="4">
        <f t="shared" si="0"/>
        <v>0.315</v>
      </c>
      <c r="I31" s="4">
        <f t="shared" si="1"/>
        <v>-0.472441</v>
      </c>
      <c r="J31" s="4"/>
    </row>
    <row r="32" spans="1:10" s="5" customFormat="1" x14ac:dyDescent="0.25">
      <c r="A32" s="23"/>
      <c r="B32" s="4"/>
      <c r="C32" s="4" t="s">
        <v>18</v>
      </c>
      <c r="D32" s="7" t="s">
        <v>21</v>
      </c>
      <c r="E32" s="4" t="s">
        <v>22</v>
      </c>
      <c r="F32" s="4">
        <f>F31+(32/25.4)</f>
        <v>31.509842519685041</v>
      </c>
      <c r="G32" s="4">
        <f>3.9375+(Thickness/2)</f>
        <v>4.26</v>
      </c>
      <c r="H32" s="4">
        <f t="shared" si="0"/>
        <v>0.315</v>
      </c>
      <c r="I32" s="4">
        <f t="shared" si="1"/>
        <v>-0.472441</v>
      </c>
      <c r="J32" s="4"/>
    </row>
    <row r="33" spans="1:23" s="5" customFormat="1" x14ac:dyDescent="0.25">
      <c r="A33" s="23" t="s">
        <v>159</v>
      </c>
      <c r="B33" s="4"/>
      <c r="C33" s="4" t="s">
        <v>18</v>
      </c>
      <c r="D33" s="7" t="s">
        <v>21</v>
      </c>
      <c r="E33" s="4" t="s">
        <v>22</v>
      </c>
      <c r="F33" s="4">
        <f>F34-(32/25.4)</f>
        <v>0.99015748031496065</v>
      </c>
      <c r="G33" s="4">
        <f>Depth-(Thickness/2)</f>
        <v>23.677499999999998</v>
      </c>
      <c r="H33" s="4">
        <f t="shared" si="0"/>
        <v>0.315</v>
      </c>
      <c r="I33" s="4">
        <f t="shared" si="1"/>
        <v>-0.472441</v>
      </c>
      <c r="J33" s="4"/>
    </row>
    <row r="34" spans="1:23" s="5" customFormat="1" x14ac:dyDescent="0.25">
      <c r="A34" s="23"/>
      <c r="B34" s="4"/>
      <c r="C34" s="4" t="s">
        <v>18</v>
      </c>
      <c r="D34" s="7" t="s">
        <v>21</v>
      </c>
      <c r="E34" s="4" t="s">
        <v>22</v>
      </c>
      <c r="F34" s="4">
        <f>NailerHeight/2</f>
        <v>2.25</v>
      </c>
      <c r="G34" s="4">
        <f>Depth-(Thickness/2)</f>
        <v>23.677499999999998</v>
      </c>
      <c r="H34" s="4">
        <f t="shared" si="0"/>
        <v>0.315</v>
      </c>
      <c r="I34" s="4">
        <f t="shared" si="1"/>
        <v>-0.472441</v>
      </c>
      <c r="J34" s="4"/>
    </row>
    <row r="35" spans="1:23" s="5" customFormat="1" x14ac:dyDescent="0.25">
      <c r="A35" s="23"/>
      <c r="B35" s="4"/>
      <c r="C35" s="4" t="s">
        <v>18</v>
      </c>
      <c r="D35" s="7" t="s">
        <v>21</v>
      </c>
      <c r="E35" s="4" t="s">
        <v>22</v>
      </c>
      <c r="F35" s="4">
        <f>F34+(32/25.4)</f>
        <v>3.5098425196850394</v>
      </c>
      <c r="G35" s="4">
        <f>Depth-(Thickness/2)</f>
        <v>23.677499999999998</v>
      </c>
      <c r="H35" s="4">
        <f t="shared" si="0"/>
        <v>0.315</v>
      </c>
      <c r="I35" s="4">
        <f t="shared" si="1"/>
        <v>-0.472441</v>
      </c>
      <c r="J35" s="4"/>
    </row>
    <row r="36" spans="1:23" s="5" customFormat="1" x14ac:dyDescent="0.25">
      <c r="A36" s="23" t="s">
        <v>160</v>
      </c>
      <c r="B36" s="4"/>
      <c r="C36" s="4" t="s">
        <v>18</v>
      </c>
      <c r="D36" s="7" t="s">
        <v>21</v>
      </c>
      <c r="E36" s="4" t="s">
        <v>22</v>
      </c>
      <c r="F36" s="4">
        <f>Height-(ToeKick+Reveal+3.5625-(16/25.4))</f>
        <v>24.942421259842519</v>
      </c>
      <c r="G36" s="4">
        <f>HingeLocation</f>
        <v>1.45669</v>
      </c>
      <c r="H36" s="8">
        <f>5/25.4</f>
        <v>0.19685039370078741</v>
      </c>
      <c r="I36" s="4">
        <f t="shared" si="1"/>
        <v>-0.472441</v>
      </c>
      <c r="J36" s="4"/>
    </row>
    <row r="37" spans="1:23" s="5" customFormat="1" x14ac:dyDescent="0.25">
      <c r="A37" s="23"/>
      <c r="B37" s="4"/>
      <c r="C37" s="4" t="s">
        <v>18</v>
      </c>
      <c r="D37" s="7" t="s">
        <v>21</v>
      </c>
      <c r="E37" s="4" t="s">
        <v>22</v>
      </c>
      <c r="F37" s="4">
        <f>Height-(ToeKick+Reveal+3.5625+(16/25.4))</f>
        <v>23.682578740157481</v>
      </c>
      <c r="G37" s="4">
        <f>HingeLocation</f>
        <v>1.45669</v>
      </c>
      <c r="H37" s="8">
        <f t="shared" ref="H37:H39" si="3">5/25.4</f>
        <v>0.19685039370078741</v>
      </c>
      <c r="I37" s="4">
        <f t="shared" si="1"/>
        <v>-0.472441</v>
      </c>
      <c r="J37" s="4"/>
    </row>
    <row r="38" spans="1:23" s="5" customFormat="1" x14ac:dyDescent="0.25">
      <c r="A38" s="23" t="s">
        <v>161</v>
      </c>
      <c r="B38" s="4"/>
      <c r="C38" s="4" t="s">
        <v>18</v>
      </c>
      <c r="D38" s="7" t="s">
        <v>21</v>
      </c>
      <c r="E38" s="4" t="s">
        <v>22</v>
      </c>
      <c r="F38" s="4">
        <f>(2*Reveal)+DrawerHeight+3.5625+(16/25.4)</f>
        <v>10.31742125984252</v>
      </c>
      <c r="G38" s="4">
        <f>HingeLocation</f>
        <v>1.45669</v>
      </c>
      <c r="H38" s="8">
        <f t="shared" si="3"/>
        <v>0.19685039370078741</v>
      </c>
      <c r="I38" s="4">
        <f t="shared" si="1"/>
        <v>-0.472441</v>
      </c>
      <c r="J38" s="4"/>
    </row>
    <row r="39" spans="1:23" s="5" customFormat="1" x14ac:dyDescent="0.25">
      <c r="A39" s="23"/>
      <c r="B39" s="4"/>
      <c r="C39" s="4" t="s">
        <v>18</v>
      </c>
      <c r="D39" s="7" t="s">
        <v>21</v>
      </c>
      <c r="E39" s="4" t="s">
        <v>22</v>
      </c>
      <c r="F39" s="4">
        <f>(2*Reveal)+DrawerHeight+3.5625-(16/25.4)</f>
        <v>9.0575787401574797</v>
      </c>
      <c r="G39" s="4">
        <f>HingeLocation</f>
        <v>1.45669</v>
      </c>
      <c r="H39" s="8">
        <f t="shared" si="3"/>
        <v>0.19685039370078741</v>
      </c>
      <c r="I39" s="4">
        <f t="shared" si="1"/>
        <v>-0.472441</v>
      </c>
      <c r="J39" s="4"/>
    </row>
    <row r="40" spans="1:23" s="6" customFormat="1" x14ac:dyDescent="0.25">
      <c r="A40" s="24" t="s">
        <v>162</v>
      </c>
      <c r="C40" s="4" t="s">
        <v>18</v>
      </c>
      <c r="D40" s="15" t="s">
        <v>46</v>
      </c>
      <c r="E40" s="16" t="s">
        <v>22</v>
      </c>
      <c r="F40" s="16">
        <v>-1</v>
      </c>
      <c r="G40" s="16">
        <f>Depth-0.65625</f>
        <v>23.34375</v>
      </c>
      <c r="H40" s="16">
        <f>Height+1</f>
        <v>33.5</v>
      </c>
      <c r="I40" s="16">
        <v>-0.3125</v>
      </c>
      <c r="J40" s="16">
        <v>200</v>
      </c>
      <c r="K40" s="16" t="s">
        <v>27</v>
      </c>
      <c r="L40" s="16" t="s">
        <v>28</v>
      </c>
    </row>
    <row r="41" spans="1:23" s="6" customFormat="1" x14ac:dyDescent="0.25">
      <c r="A41" s="24" t="s">
        <v>163</v>
      </c>
      <c r="C41" s="10" t="s">
        <v>18</v>
      </c>
      <c r="D41" s="10" t="s">
        <v>32</v>
      </c>
      <c r="E41" s="10" t="s">
        <v>22</v>
      </c>
      <c r="F41" s="10">
        <f>Height-NailerHeight</f>
        <v>28</v>
      </c>
      <c r="G41" s="10">
        <v>-0.01</v>
      </c>
      <c r="H41" s="10">
        <f>-(Thickness+(1/16))</f>
        <v>-0.70750000000000002</v>
      </c>
      <c r="I41" s="10">
        <v>3</v>
      </c>
      <c r="J41" s="10" t="s">
        <v>24</v>
      </c>
      <c r="K41" s="10">
        <v>1</v>
      </c>
      <c r="L41" s="10">
        <v>0</v>
      </c>
      <c r="M41" s="11" t="s">
        <v>28</v>
      </c>
      <c r="N41" s="11">
        <v>0</v>
      </c>
      <c r="O41" s="11">
        <v>1</v>
      </c>
      <c r="P41" s="11">
        <v>0</v>
      </c>
      <c r="Q41" s="11"/>
    </row>
    <row r="42" spans="1:23" s="6" customFormat="1" x14ac:dyDescent="0.25">
      <c r="A42" s="24"/>
      <c r="C42" s="10" t="s">
        <v>18</v>
      </c>
      <c r="D42" s="10" t="s">
        <v>33</v>
      </c>
      <c r="E42" s="10"/>
      <c r="F42" s="10">
        <f>Height-NailerHeight</f>
        <v>28</v>
      </c>
      <c r="G42" s="10">
        <f>3+(15/16)</f>
        <v>3.9375</v>
      </c>
      <c r="H42" s="10">
        <v>0</v>
      </c>
      <c r="I42" s="10"/>
      <c r="J42" s="10"/>
      <c r="K42" s="10">
        <v>0</v>
      </c>
      <c r="L42" s="10"/>
      <c r="M42" s="11"/>
      <c r="N42" s="11"/>
      <c r="O42" s="11"/>
      <c r="P42" s="11"/>
      <c r="Q42" s="11"/>
    </row>
    <row r="43" spans="1:23" s="6" customFormat="1" x14ac:dyDescent="0.25">
      <c r="A43" s="24"/>
      <c r="C43" s="10" t="s">
        <v>18</v>
      </c>
      <c r="D43" s="10" t="s">
        <v>33</v>
      </c>
      <c r="E43" s="10"/>
      <c r="F43" s="10">
        <f>Height+0.01</f>
        <v>32.51</v>
      </c>
      <c r="G43" s="10">
        <f>3+(15/16)</f>
        <v>3.9375</v>
      </c>
      <c r="H43" s="10">
        <v>0</v>
      </c>
      <c r="I43" s="10"/>
      <c r="J43" s="10"/>
      <c r="K43" s="10">
        <v>0</v>
      </c>
      <c r="L43" s="10"/>
      <c r="M43" s="11"/>
      <c r="N43" s="11"/>
      <c r="O43" s="11"/>
      <c r="P43" s="11"/>
      <c r="Q43" s="11"/>
    </row>
    <row r="44" spans="1:23" s="5" customFormat="1" x14ac:dyDescent="0.25">
      <c r="A44" s="24"/>
      <c r="C44" s="9" t="str">
        <f>E44&amp;" x "&amp;F44&amp;" "&amp;"Right E.P."</f>
        <v>32.5 x 24 Right E.P.</v>
      </c>
      <c r="D44" s="9">
        <f>Quantity</f>
        <v>1</v>
      </c>
      <c r="E44" s="9">
        <f>Height</f>
        <v>32.5</v>
      </c>
      <c r="F44" s="9">
        <f>Depth</f>
        <v>24</v>
      </c>
      <c r="G44" s="9">
        <f>Thickness</f>
        <v>0.64500000000000002</v>
      </c>
      <c r="H44" s="9" t="e">
        <f>IF(VLOOKUP(MTLCode,MTLCodeTBL[],2,FALSE)= "Bone2", "Bone",VLOOKUP(MTLCode,MTLCodeTBL[],2,FALSE))</f>
        <v>#N/A</v>
      </c>
      <c r="I44" s="9" t="e">
        <f>LEFT(VLOOKUP(Finish,DoorFinishTBL[],2,FALSE),LEN(VLOOKUP(Finish,DoorFinishTBL[],2,FALSE))-1)</f>
        <v>#N/A</v>
      </c>
      <c r="J44" s="9" t="str">
        <f>IF(Hinge&lt;&gt;"L",VLOOKUP(HingeType,HingeTBL[],2,FALSE),"")</f>
        <v/>
      </c>
      <c r="K44" s="9">
        <v>0</v>
      </c>
      <c r="L44" s="9">
        <v>2</v>
      </c>
      <c r="M44" s="9" t="e">
        <f>IF(G44 = 0.625,I44&amp;"1",I44&amp;"2")</f>
        <v>#N/A</v>
      </c>
      <c r="N44" s="9" t="str">
        <f>WONumber</f>
        <v>LR</v>
      </c>
      <c r="O44" s="9" t="str">
        <f>OMPPN</f>
        <v>No</v>
      </c>
      <c r="P44" s="4"/>
      <c r="Q44" s="4"/>
      <c r="R44" s="4"/>
      <c r="S44" s="4"/>
      <c r="T44" s="4"/>
      <c r="U44" s="4"/>
      <c r="V44" s="4"/>
      <c r="W44" s="4"/>
    </row>
    <row r="45" spans="1:23" s="5" customFormat="1" x14ac:dyDescent="0.25">
      <c r="A45" s="23"/>
      <c r="B45" s="4"/>
      <c r="C45" s="4" t="s">
        <v>18</v>
      </c>
      <c r="D45" s="4" t="s">
        <v>19</v>
      </c>
      <c r="E45" s="4"/>
      <c r="F45" s="4">
        <f>Height</f>
        <v>32.5</v>
      </c>
      <c r="G45" s="4">
        <f>Depth</f>
        <v>24</v>
      </c>
      <c r="H45" s="4">
        <f>Thickness</f>
        <v>0.64500000000000002</v>
      </c>
      <c r="I45" s="4" t="s">
        <v>153</v>
      </c>
      <c r="J45" s="4">
        <v>0</v>
      </c>
      <c r="K45" s="4">
        <v>0</v>
      </c>
      <c r="L45" s="4">
        <v>0</v>
      </c>
    </row>
    <row r="46" spans="1:23" s="5" customFormat="1" x14ac:dyDescent="0.25">
      <c r="A46" s="24"/>
      <c r="C46" s="4" t="s">
        <v>18</v>
      </c>
      <c r="D46" s="4" t="s">
        <v>26</v>
      </c>
      <c r="E46" s="4">
        <v>0</v>
      </c>
      <c r="F46" s="4">
        <v>1</v>
      </c>
      <c r="G46" s="4">
        <v>0</v>
      </c>
      <c r="H46" s="4">
        <v>0</v>
      </c>
    </row>
    <row r="47" spans="1:23" s="5" customFormat="1" x14ac:dyDescent="0.25">
      <c r="A47" s="23" t="s">
        <v>142</v>
      </c>
      <c r="B47" s="4"/>
      <c r="C47" s="4" t="s">
        <v>18</v>
      </c>
      <c r="D47" s="7" t="s">
        <v>21</v>
      </c>
      <c r="E47" s="4" t="s">
        <v>22</v>
      </c>
      <c r="F47" s="4">
        <f>F48-(64/25.4)</f>
        <v>26.855314960629922</v>
      </c>
      <c r="G47" s="4">
        <f>Thickness/2</f>
        <v>0.32250000000000001</v>
      </c>
      <c r="H47" s="4">
        <f t="shared" ref="H47:H64" si="4">DowelDia</f>
        <v>0.315</v>
      </c>
      <c r="I47" s="4">
        <f t="shared" ref="I47:I68" si="5">FaceDepth</f>
        <v>-0.472441</v>
      </c>
      <c r="J47" s="4"/>
    </row>
    <row r="48" spans="1:23" s="5" customFormat="1" x14ac:dyDescent="0.25">
      <c r="A48" s="23"/>
      <c r="B48" s="4"/>
      <c r="C48" s="4" t="s">
        <v>18</v>
      </c>
      <c r="D48" s="7" t="s">
        <v>21</v>
      </c>
      <c r="E48" s="4" t="s">
        <v>22</v>
      </c>
      <c r="F48" s="4">
        <f>Height-FrontVertStretcher/2</f>
        <v>29.375</v>
      </c>
      <c r="G48" s="4">
        <f>Thickness/2</f>
        <v>0.32250000000000001</v>
      </c>
      <c r="H48" s="4">
        <f t="shared" si="4"/>
        <v>0.315</v>
      </c>
      <c r="I48" s="4">
        <f t="shared" si="5"/>
        <v>-0.472441</v>
      </c>
      <c r="J48" s="4"/>
    </row>
    <row r="49" spans="1:10" s="5" customFormat="1" x14ac:dyDescent="0.25">
      <c r="A49" s="23"/>
      <c r="B49" s="4"/>
      <c r="C49" s="4" t="s">
        <v>18</v>
      </c>
      <c r="D49" s="7" t="s">
        <v>21</v>
      </c>
      <c r="E49" s="4" t="s">
        <v>22</v>
      </c>
      <c r="F49" s="4">
        <f>F48+(64/25.4)</f>
        <v>31.894685039370078</v>
      </c>
      <c r="G49" s="4">
        <f>Thickness/2</f>
        <v>0.32250000000000001</v>
      </c>
      <c r="H49" s="4">
        <f t="shared" si="4"/>
        <v>0.315</v>
      </c>
      <c r="I49" s="4">
        <f t="shared" si="5"/>
        <v>-0.472441</v>
      </c>
      <c r="J49" s="4"/>
    </row>
    <row r="50" spans="1:10" s="5" customFormat="1" x14ac:dyDescent="0.25">
      <c r="A50" s="23" t="s">
        <v>25</v>
      </c>
      <c r="B50" s="4"/>
      <c r="C50" s="4" t="s">
        <v>18</v>
      </c>
      <c r="D50" s="7" t="s">
        <v>21</v>
      </c>
      <c r="E50" s="4" t="s">
        <v>22</v>
      </c>
      <c r="F50" s="4">
        <f t="shared" ref="F50:F55" si="6">ToeKick+(Thickness/2)</f>
        <v>4.8224999999999998</v>
      </c>
      <c r="G50" s="4">
        <v>1.5</v>
      </c>
      <c r="H50" s="4">
        <f t="shared" si="4"/>
        <v>0.315</v>
      </c>
      <c r="I50" s="4">
        <f t="shared" si="5"/>
        <v>-0.472441</v>
      </c>
      <c r="J50" s="4"/>
    </row>
    <row r="51" spans="1:10" s="5" customFormat="1" x14ac:dyDescent="0.25">
      <c r="A51" s="23"/>
      <c r="B51" s="4"/>
      <c r="C51" s="4" t="s">
        <v>18</v>
      </c>
      <c r="D51" s="7" t="s">
        <v>21</v>
      </c>
      <c r="E51" s="4" t="s">
        <v>22</v>
      </c>
      <c r="F51" s="4">
        <f t="shared" si="6"/>
        <v>4.8224999999999998</v>
      </c>
      <c r="G51" s="4">
        <f>G50+(64/25.4)</f>
        <v>4.0196850393700787</v>
      </c>
      <c r="H51" s="4">
        <f t="shared" si="4"/>
        <v>0.315</v>
      </c>
      <c r="I51" s="4">
        <f t="shared" si="5"/>
        <v>-0.472441</v>
      </c>
      <c r="J51" s="4"/>
    </row>
    <row r="52" spans="1:10" s="5" customFormat="1" x14ac:dyDescent="0.25">
      <c r="A52" s="23"/>
      <c r="B52" s="4"/>
      <c r="C52" s="4" t="s">
        <v>18</v>
      </c>
      <c r="D52" s="7" t="s">
        <v>21</v>
      </c>
      <c r="E52" s="4" t="s">
        <v>22</v>
      </c>
      <c r="F52" s="4">
        <f t="shared" si="6"/>
        <v>4.8224999999999998</v>
      </c>
      <c r="G52" s="8">
        <f>Depth/2-(32/25.4)</f>
        <v>10.740157480314961</v>
      </c>
      <c r="H52" s="4">
        <f t="shared" si="4"/>
        <v>0.315</v>
      </c>
      <c r="I52" s="4">
        <f t="shared" si="5"/>
        <v>-0.472441</v>
      </c>
      <c r="J52" s="4"/>
    </row>
    <row r="53" spans="1:10" s="5" customFormat="1" x14ac:dyDescent="0.25">
      <c r="A53" s="23"/>
      <c r="B53" s="4"/>
      <c r="C53" s="4" t="s">
        <v>18</v>
      </c>
      <c r="D53" s="7" t="s">
        <v>21</v>
      </c>
      <c r="E53" s="4" t="s">
        <v>22</v>
      </c>
      <c r="F53" s="4">
        <f t="shared" si="6"/>
        <v>4.8224999999999998</v>
      </c>
      <c r="G53" s="8">
        <f>Depth/2+(32/25.4)</f>
        <v>13.259842519685039</v>
      </c>
      <c r="H53" s="4">
        <f t="shared" si="4"/>
        <v>0.315</v>
      </c>
      <c r="I53" s="4">
        <f t="shared" si="5"/>
        <v>-0.472441</v>
      </c>
      <c r="J53" s="4"/>
    </row>
    <row r="54" spans="1:10" s="5" customFormat="1" x14ac:dyDescent="0.25">
      <c r="A54" s="23"/>
      <c r="B54" s="4"/>
      <c r="C54" s="4" t="s">
        <v>18</v>
      </c>
      <c r="D54" s="7" t="s">
        <v>21</v>
      </c>
      <c r="E54" s="4" t="s">
        <v>22</v>
      </c>
      <c r="F54" s="4">
        <f t="shared" si="6"/>
        <v>4.8224999999999998</v>
      </c>
      <c r="G54" s="4">
        <f>G55-(64/25.4)</f>
        <v>19.980314960629922</v>
      </c>
      <c r="H54" s="4">
        <f t="shared" si="4"/>
        <v>0.315</v>
      </c>
      <c r="I54" s="4">
        <f t="shared" si="5"/>
        <v>-0.472441</v>
      </c>
      <c r="J54" s="4"/>
    </row>
    <row r="55" spans="1:10" s="5" customFormat="1" x14ac:dyDescent="0.25">
      <c r="A55" s="23"/>
      <c r="B55" s="4"/>
      <c r="C55" s="4" t="s">
        <v>18</v>
      </c>
      <c r="D55" s="7" t="s">
        <v>21</v>
      </c>
      <c r="E55" s="4" t="s">
        <v>22</v>
      </c>
      <c r="F55" s="4">
        <f t="shared" si="6"/>
        <v>4.8224999999999998</v>
      </c>
      <c r="G55" s="4">
        <f>Depth-1.5</f>
        <v>22.5</v>
      </c>
      <c r="H55" s="4">
        <f t="shared" si="4"/>
        <v>0.315</v>
      </c>
      <c r="I55" s="4">
        <f t="shared" si="5"/>
        <v>-0.472441</v>
      </c>
      <c r="J55" s="4"/>
    </row>
    <row r="56" spans="1:10" s="5" customFormat="1" x14ac:dyDescent="0.25">
      <c r="A56" s="23" t="s">
        <v>157</v>
      </c>
      <c r="B56" s="4"/>
      <c r="C56" s="4" t="s">
        <v>18</v>
      </c>
      <c r="D56" s="7" t="s">
        <v>21</v>
      </c>
      <c r="E56" s="4" t="s">
        <v>22</v>
      </c>
      <c r="F56" s="4">
        <f>F57-(32/25.4)</f>
        <v>0.99015748031496065</v>
      </c>
      <c r="G56" s="4">
        <f>Depth-(Thickness/2)</f>
        <v>23.677499999999998</v>
      </c>
      <c r="H56" s="4">
        <f t="shared" si="4"/>
        <v>0.315</v>
      </c>
      <c r="I56" s="4">
        <f t="shared" si="5"/>
        <v>-0.472441</v>
      </c>
      <c r="J56" s="4"/>
    </row>
    <row r="57" spans="1:10" s="5" customFormat="1" x14ac:dyDescent="0.25">
      <c r="A57" s="23"/>
      <c r="B57" s="4"/>
      <c r="C57" s="4" t="s">
        <v>18</v>
      </c>
      <c r="D57" s="7" t="s">
        <v>21</v>
      </c>
      <c r="E57" s="4" t="s">
        <v>22</v>
      </c>
      <c r="F57" s="4">
        <f>(NailerHeight/2)</f>
        <v>2.25</v>
      </c>
      <c r="G57" s="4">
        <f>Depth-(Thickness/2)</f>
        <v>23.677499999999998</v>
      </c>
      <c r="H57" s="4">
        <f t="shared" si="4"/>
        <v>0.315</v>
      </c>
      <c r="I57" s="4">
        <f t="shared" si="5"/>
        <v>-0.472441</v>
      </c>
      <c r="J57" s="4"/>
    </row>
    <row r="58" spans="1:10" s="5" customFormat="1" x14ac:dyDescent="0.25">
      <c r="A58" s="23"/>
      <c r="B58" s="4"/>
      <c r="C58" s="4" t="s">
        <v>18</v>
      </c>
      <c r="D58" s="7" t="s">
        <v>21</v>
      </c>
      <c r="E58" s="4" t="s">
        <v>22</v>
      </c>
      <c r="F58" s="4">
        <f>F57+(32/25.4)</f>
        <v>3.5098425196850394</v>
      </c>
      <c r="G58" s="4">
        <f>Depth-(Thickness/2)</f>
        <v>23.677499999999998</v>
      </c>
      <c r="H58" s="4">
        <f t="shared" si="4"/>
        <v>0.315</v>
      </c>
      <c r="I58" s="4">
        <f t="shared" si="5"/>
        <v>-0.472441</v>
      </c>
      <c r="J58" s="4"/>
    </row>
    <row r="59" spans="1:10" s="5" customFormat="1" x14ac:dyDescent="0.25">
      <c r="A59" s="23" t="s">
        <v>158</v>
      </c>
      <c r="B59" s="4"/>
      <c r="C59" s="4" t="s">
        <v>18</v>
      </c>
      <c r="D59" s="7" t="s">
        <v>21</v>
      </c>
      <c r="E59" s="4" t="s">
        <v>22</v>
      </c>
      <c r="F59" s="4">
        <f>F60-(32/25.4)</f>
        <v>0.99015748031496065</v>
      </c>
      <c r="G59" s="4">
        <f>3.9375+(Thickness/2)</f>
        <v>4.26</v>
      </c>
      <c r="H59" s="4">
        <f t="shared" si="4"/>
        <v>0.315</v>
      </c>
      <c r="I59" s="4">
        <f t="shared" si="5"/>
        <v>-0.472441</v>
      </c>
      <c r="J59" s="4"/>
    </row>
    <row r="60" spans="1:10" s="5" customFormat="1" x14ac:dyDescent="0.25">
      <c r="A60" s="23"/>
      <c r="B60" s="4"/>
      <c r="C60" s="4" t="s">
        <v>18</v>
      </c>
      <c r="D60" s="7" t="s">
        <v>21</v>
      </c>
      <c r="E60" s="4" t="s">
        <v>22</v>
      </c>
      <c r="F60" s="4">
        <f>(ToeKick/2)</f>
        <v>2.25</v>
      </c>
      <c r="G60" s="4">
        <f>3.9375+(Thickness/2)</f>
        <v>4.26</v>
      </c>
      <c r="H60" s="4">
        <f t="shared" si="4"/>
        <v>0.315</v>
      </c>
      <c r="I60" s="4">
        <f t="shared" si="5"/>
        <v>-0.472441</v>
      </c>
      <c r="J60" s="4"/>
    </row>
    <row r="61" spans="1:10" s="5" customFormat="1" x14ac:dyDescent="0.25">
      <c r="A61" s="23"/>
      <c r="B61" s="4"/>
      <c r="C61" s="4" t="s">
        <v>18</v>
      </c>
      <c r="D61" s="7" t="s">
        <v>21</v>
      </c>
      <c r="E61" s="4" t="s">
        <v>22</v>
      </c>
      <c r="F61" s="4">
        <f>F60+(32/25.4)</f>
        <v>3.5098425196850394</v>
      </c>
      <c r="G61" s="4">
        <f>3.9375+(Thickness/2)</f>
        <v>4.26</v>
      </c>
      <c r="H61" s="4">
        <f t="shared" si="4"/>
        <v>0.315</v>
      </c>
      <c r="I61" s="4">
        <f t="shared" si="5"/>
        <v>-0.472441</v>
      </c>
      <c r="J61" s="4"/>
    </row>
    <row r="62" spans="1:10" s="5" customFormat="1" x14ac:dyDescent="0.25">
      <c r="A62" s="23" t="s">
        <v>159</v>
      </c>
      <c r="B62" s="4"/>
      <c r="C62" s="4" t="s">
        <v>18</v>
      </c>
      <c r="D62" s="7" t="s">
        <v>21</v>
      </c>
      <c r="E62" s="4" t="s">
        <v>22</v>
      </c>
      <c r="F62" s="4">
        <f>F63-(32/25.4)</f>
        <v>28.990157480314959</v>
      </c>
      <c r="G62" s="4">
        <f>Depth-(Thickness/2)</f>
        <v>23.677499999999998</v>
      </c>
      <c r="H62" s="4">
        <f t="shared" si="4"/>
        <v>0.315</v>
      </c>
      <c r="I62" s="4">
        <f t="shared" si="5"/>
        <v>-0.472441</v>
      </c>
      <c r="J62" s="4"/>
    </row>
    <row r="63" spans="1:10" s="5" customFormat="1" x14ac:dyDescent="0.25">
      <c r="A63" s="23"/>
      <c r="B63" s="4"/>
      <c r="C63" s="4" t="s">
        <v>18</v>
      </c>
      <c r="D63" s="7" t="s">
        <v>21</v>
      </c>
      <c r="E63" s="4" t="s">
        <v>22</v>
      </c>
      <c r="F63" s="4">
        <f>Height-(NailerHeight/2)</f>
        <v>30.25</v>
      </c>
      <c r="G63" s="4">
        <f>Depth-(Thickness/2)</f>
        <v>23.677499999999998</v>
      </c>
      <c r="H63" s="4">
        <f t="shared" si="4"/>
        <v>0.315</v>
      </c>
      <c r="I63" s="4">
        <f t="shared" si="5"/>
        <v>-0.472441</v>
      </c>
      <c r="J63" s="4"/>
    </row>
    <row r="64" spans="1:10" s="5" customFormat="1" x14ac:dyDescent="0.25">
      <c r="A64" s="23"/>
      <c r="B64" s="4"/>
      <c r="C64" s="4" t="s">
        <v>18</v>
      </c>
      <c r="D64" s="7" t="s">
        <v>21</v>
      </c>
      <c r="E64" s="4" t="s">
        <v>22</v>
      </c>
      <c r="F64" s="4">
        <f>F63+(32/25.4)</f>
        <v>31.509842519685041</v>
      </c>
      <c r="G64" s="4">
        <f>Depth-(Thickness/2)</f>
        <v>23.677499999999998</v>
      </c>
      <c r="H64" s="4">
        <f t="shared" si="4"/>
        <v>0.315</v>
      </c>
      <c r="I64" s="4">
        <f t="shared" si="5"/>
        <v>-0.472441</v>
      </c>
      <c r="J64" s="4"/>
    </row>
    <row r="65" spans="1:23" s="5" customFormat="1" x14ac:dyDescent="0.25">
      <c r="A65" s="23" t="s">
        <v>160</v>
      </c>
      <c r="B65" s="4"/>
      <c r="C65" s="4" t="s">
        <v>18</v>
      </c>
      <c r="D65" s="7" t="s">
        <v>21</v>
      </c>
      <c r="E65" s="4" t="s">
        <v>22</v>
      </c>
      <c r="F65" s="4">
        <f>ToeKick+3.5625+Reveal-(16/25.4)</f>
        <v>7.5575787401574805</v>
      </c>
      <c r="G65" s="4">
        <f>HingeLocation</f>
        <v>1.45669</v>
      </c>
      <c r="H65" s="8">
        <f>5/25.4</f>
        <v>0.19685039370078741</v>
      </c>
      <c r="I65" s="4">
        <f t="shared" si="5"/>
        <v>-0.472441</v>
      </c>
      <c r="J65" s="4"/>
    </row>
    <row r="66" spans="1:23" s="5" customFormat="1" x14ac:dyDescent="0.25">
      <c r="A66" s="23"/>
      <c r="B66" s="4"/>
      <c r="C66" s="4" t="s">
        <v>18</v>
      </c>
      <c r="D66" s="7" t="s">
        <v>21</v>
      </c>
      <c r="E66" s="4" t="s">
        <v>22</v>
      </c>
      <c r="F66" s="4">
        <f>ToeKick+3.5625+Reveal+(16/25.4)</f>
        <v>8.8174212598425203</v>
      </c>
      <c r="G66" s="4">
        <f>HingeLocation</f>
        <v>1.45669</v>
      </c>
      <c r="H66" s="8">
        <f t="shared" ref="H66:H68" si="7">5/25.4</f>
        <v>0.19685039370078741</v>
      </c>
      <c r="I66" s="4">
        <f t="shared" si="5"/>
        <v>-0.472441</v>
      </c>
      <c r="J66" s="4"/>
    </row>
    <row r="67" spans="1:23" s="5" customFormat="1" x14ac:dyDescent="0.25">
      <c r="A67" s="23" t="s">
        <v>161</v>
      </c>
      <c r="B67" s="4"/>
      <c r="C67" s="4" t="s">
        <v>18</v>
      </c>
      <c r="D67" s="7" t="s">
        <v>21</v>
      </c>
      <c r="E67" s="4" t="s">
        <v>22</v>
      </c>
      <c r="F67" s="4">
        <f>Height- (2*Reveal)-3.5625-DrawerHeight-(16/25.4)</f>
        <v>22.182578740157481</v>
      </c>
      <c r="G67" s="4">
        <f>HingeLocation</f>
        <v>1.45669</v>
      </c>
      <c r="H67" s="8">
        <f t="shared" si="7"/>
        <v>0.19685039370078741</v>
      </c>
      <c r="I67" s="4">
        <f t="shared" si="5"/>
        <v>-0.472441</v>
      </c>
      <c r="J67" s="4"/>
    </row>
    <row r="68" spans="1:23" s="5" customFormat="1" x14ac:dyDescent="0.25">
      <c r="A68" s="23"/>
      <c r="B68" s="4"/>
      <c r="C68" s="4" t="s">
        <v>18</v>
      </c>
      <c r="D68" s="7" t="s">
        <v>21</v>
      </c>
      <c r="E68" s="4" t="s">
        <v>22</v>
      </c>
      <c r="F68" s="4">
        <f>Height- (2*Reveal)-3.5625-DrawerHeight+(16/25.4)</f>
        <v>23.442421259842519</v>
      </c>
      <c r="G68" s="4">
        <f>HingeLocation</f>
        <v>1.45669</v>
      </c>
      <c r="H68" s="8">
        <f t="shared" si="7"/>
        <v>0.19685039370078741</v>
      </c>
      <c r="I68" s="4">
        <f t="shared" si="5"/>
        <v>-0.472441</v>
      </c>
      <c r="J68" s="4"/>
    </row>
    <row r="69" spans="1:23" s="6" customFormat="1" x14ac:dyDescent="0.25">
      <c r="A69" s="24" t="s">
        <v>162</v>
      </c>
      <c r="C69" s="4" t="s">
        <v>18</v>
      </c>
      <c r="D69" s="15" t="s">
        <v>46</v>
      </c>
      <c r="E69" s="16" t="s">
        <v>22</v>
      </c>
      <c r="F69" s="16">
        <v>-1</v>
      </c>
      <c r="G69" s="16">
        <f>Depth-0.65625</f>
        <v>23.34375</v>
      </c>
      <c r="H69" s="16">
        <f>Height+1</f>
        <v>33.5</v>
      </c>
      <c r="I69" s="16">
        <v>-0.3125</v>
      </c>
      <c r="J69" s="16">
        <v>200</v>
      </c>
      <c r="K69" s="16" t="s">
        <v>27</v>
      </c>
      <c r="L69" s="16" t="s">
        <v>28</v>
      </c>
    </row>
    <row r="70" spans="1:23" s="5" customFormat="1" x14ac:dyDescent="0.25">
      <c r="A70" s="23" t="s">
        <v>163</v>
      </c>
      <c r="C70" s="10" t="s">
        <v>18</v>
      </c>
      <c r="D70" s="13" t="s">
        <v>32</v>
      </c>
      <c r="E70" s="10" t="s">
        <v>22</v>
      </c>
      <c r="F70" s="10">
        <f>NailerHeight</f>
        <v>4.5</v>
      </c>
      <c r="G70" s="10">
        <v>-0.01</v>
      </c>
      <c r="H70" s="10">
        <f>-(Thickness+(1/16))</f>
        <v>-0.70750000000000002</v>
      </c>
      <c r="I70" s="10">
        <v>3</v>
      </c>
      <c r="J70" s="10" t="s">
        <v>23</v>
      </c>
      <c r="K70" s="10">
        <v>1</v>
      </c>
      <c r="L70" s="10">
        <v>0</v>
      </c>
      <c r="M70" s="10" t="s">
        <v>28</v>
      </c>
      <c r="N70" s="10">
        <v>0</v>
      </c>
      <c r="O70" s="10">
        <v>1</v>
      </c>
      <c r="P70" s="10">
        <v>0</v>
      </c>
      <c r="Q70" s="6"/>
    </row>
    <row r="71" spans="1:23" s="5" customFormat="1" x14ac:dyDescent="0.25">
      <c r="A71" s="24"/>
      <c r="C71" s="10" t="s">
        <v>18</v>
      </c>
      <c r="D71" s="13" t="s">
        <v>33</v>
      </c>
      <c r="E71" s="13"/>
      <c r="F71" s="10">
        <f>NailerHeight</f>
        <v>4.5</v>
      </c>
      <c r="G71" s="10">
        <f>3+(15/16)</f>
        <v>3.9375</v>
      </c>
      <c r="H71" s="10">
        <v>0</v>
      </c>
      <c r="I71" s="11"/>
      <c r="J71" s="11"/>
      <c r="K71" s="10">
        <v>0</v>
      </c>
      <c r="L71" s="12"/>
      <c r="M71" s="12"/>
      <c r="N71" s="12"/>
      <c r="O71" s="12"/>
      <c r="P71" s="12"/>
    </row>
    <row r="72" spans="1:23" s="5" customFormat="1" x14ac:dyDescent="0.25">
      <c r="A72" s="24"/>
      <c r="C72" s="10" t="s">
        <v>18</v>
      </c>
      <c r="D72" s="13" t="s">
        <v>33</v>
      </c>
      <c r="E72" s="13"/>
      <c r="F72" s="10">
        <f>-0.01</f>
        <v>-0.01</v>
      </c>
      <c r="G72" s="10">
        <f>3+(15/16)</f>
        <v>3.9375</v>
      </c>
      <c r="H72" s="10">
        <v>0</v>
      </c>
      <c r="I72" s="11"/>
      <c r="J72" s="11"/>
      <c r="K72" s="10">
        <v>0</v>
      </c>
      <c r="L72" s="12"/>
      <c r="M72" s="12"/>
      <c r="N72" s="12"/>
      <c r="O72" s="12"/>
      <c r="P72" s="12"/>
    </row>
    <row r="73" spans="1:23" s="5" customFormat="1" x14ac:dyDescent="0.25">
      <c r="A73" s="24"/>
      <c r="C73" s="9" t="str">
        <f>E73&amp;" x "&amp;F73&amp;" "&amp;"Back"</f>
        <v>27.25 x 17.25 Back</v>
      </c>
      <c r="D73" s="9">
        <f>Quantity</f>
        <v>1</v>
      </c>
      <c r="E73" s="9">
        <f>Height-NailerHeight-0.75</f>
        <v>27.25</v>
      </c>
      <c r="F73" s="9">
        <f>Width-0.75</f>
        <v>17.25</v>
      </c>
      <c r="G73" s="9">
        <f>Backer</f>
        <v>0.125</v>
      </c>
      <c r="H73" s="9" t="str">
        <f>BackMTL</f>
        <v>BackMTL</v>
      </c>
      <c r="I73" s="9"/>
      <c r="J73" s="9"/>
      <c r="K73" s="9">
        <v>0</v>
      </c>
      <c r="L73" s="9">
        <v>2</v>
      </c>
      <c r="M73" s="9"/>
      <c r="N73" s="9" t="str">
        <f>WONumber</f>
        <v>LR</v>
      </c>
      <c r="O73" s="9" t="str">
        <f>OMPPN</f>
        <v>No</v>
      </c>
      <c r="P73" s="4"/>
      <c r="Q73" s="4"/>
      <c r="R73" s="4"/>
      <c r="S73" s="4"/>
      <c r="T73" s="4"/>
      <c r="U73" s="4"/>
      <c r="V73" s="4"/>
      <c r="W73" s="4"/>
    </row>
    <row r="74" spans="1:23" s="5" customFormat="1" x14ac:dyDescent="0.25">
      <c r="A74" s="24"/>
      <c r="C74" s="9" t="str">
        <f>E74&amp;" x "&amp;F74&amp;" "&amp;"Bottom"</f>
        <v>16.71 x 24 Bottom</v>
      </c>
      <c r="D74" s="9">
        <f>Quantity</f>
        <v>1</v>
      </c>
      <c r="E74" s="9">
        <f>Width-(2*Thickness)</f>
        <v>16.71</v>
      </c>
      <c r="F74" s="9">
        <f>Depth</f>
        <v>24</v>
      </c>
      <c r="G74" s="9">
        <f>Thickness</f>
        <v>0.64500000000000002</v>
      </c>
      <c r="H74" s="9" t="e">
        <f>IF(VLOOKUP(MTLCode,MTLCodeTBL[],2,FALSE)= "Bone2", "Bone",VLOOKUP(MTLCode,MTLCodeTBL[],2,FALSE))</f>
        <v>#N/A</v>
      </c>
      <c r="I74" s="9" t="e">
        <f>LEFT(VLOOKUP(Finish,DoorFinishTBL[],2,FALSE),LEN(VLOOKUP(Finish,DoorFinishTBL[],2,FALSE))-1)</f>
        <v>#N/A</v>
      </c>
      <c r="J74" s="9"/>
      <c r="K74" s="9">
        <v>0</v>
      </c>
      <c r="L74" s="9">
        <v>12</v>
      </c>
      <c r="M74" s="9" t="e">
        <f>IF(G74 = 0.625,I74&amp;"1",I74&amp;"2")</f>
        <v>#N/A</v>
      </c>
      <c r="N74" s="9" t="str">
        <f>WONumber</f>
        <v>LR</v>
      </c>
      <c r="O74" s="9" t="str">
        <f>OMPPN</f>
        <v>No</v>
      </c>
      <c r="P74" s="4"/>
      <c r="Q74" s="4"/>
      <c r="R74" s="4"/>
      <c r="S74" s="4"/>
      <c r="T74" s="4"/>
      <c r="U74" s="4"/>
      <c r="V74" s="4"/>
      <c r="W74" s="4"/>
    </row>
    <row r="75" spans="1:23" s="5" customFormat="1" x14ac:dyDescent="0.25">
      <c r="A75" s="23"/>
      <c r="B75" s="4"/>
      <c r="C75" s="4" t="s">
        <v>18</v>
      </c>
      <c r="D75" s="4" t="s">
        <v>19</v>
      </c>
      <c r="E75" s="4"/>
      <c r="F75" s="4">
        <f>Width-(2*Thickness)</f>
        <v>16.71</v>
      </c>
      <c r="G75" s="4">
        <f>Depth</f>
        <v>24</v>
      </c>
      <c r="H75" s="4">
        <f>Thickness</f>
        <v>0.64500000000000002</v>
      </c>
      <c r="I75" s="4" t="s">
        <v>20</v>
      </c>
      <c r="J75" s="4">
        <v>0</v>
      </c>
      <c r="K75" s="4">
        <v>0</v>
      </c>
      <c r="L75" s="4">
        <v>0</v>
      </c>
    </row>
    <row r="76" spans="1:23" s="5" customFormat="1" x14ac:dyDescent="0.25">
      <c r="A76" s="23"/>
      <c r="B76" s="4"/>
      <c r="C76" s="4" t="s">
        <v>18</v>
      </c>
      <c r="D76" s="4" t="s">
        <v>26</v>
      </c>
      <c r="E76" s="4">
        <v>0</v>
      </c>
      <c r="F76" s="4">
        <v>1</v>
      </c>
      <c r="G76" s="4">
        <v>0</v>
      </c>
      <c r="H76" s="4">
        <v>0</v>
      </c>
    </row>
    <row r="77" spans="1:23" s="6" customFormat="1" x14ac:dyDescent="0.25">
      <c r="A77" s="24"/>
      <c r="C77" s="4" t="s">
        <v>18</v>
      </c>
      <c r="D77" s="4" t="s">
        <v>143</v>
      </c>
      <c r="E77" s="4">
        <v>1.5</v>
      </c>
      <c r="F77" s="4">
        <f t="shared" ref="F77:F82" si="8">Thickness/2</f>
        <v>0.32250000000000001</v>
      </c>
      <c r="G77" s="4">
        <f t="shared" ref="G77:G82" si="9">Ganno</f>
        <v>8</v>
      </c>
      <c r="H77" s="4">
        <f t="shared" ref="H77:H82" si="10">-(EdgeDepth)</f>
        <v>1.10236</v>
      </c>
      <c r="I77" s="4" t="b">
        <v>1</v>
      </c>
      <c r="J77" s="4">
        <v>1</v>
      </c>
      <c r="N77" s="4"/>
    </row>
    <row r="78" spans="1:23" s="6" customFormat="1" x14ac:dyDescent="0.25">
      <c r="A78" s="24"/>
      <c r="C78" s="4" t="s">
        <v>18</v>
      </c>
      <c r="D78" s="4" t="s">
        <v>143</v>
      </c>
      <c r="E78" s="4">
        <f>E77+(64/25.4)</f>
        <v>4.0196850393700787</v>
      </c>
      <c r="F78" s="4">
        <f t="shared" si="8"/>
        <v>0.32250000000000001</v>
      </c>
      <c r="G78" s="4">
        <f t="shared" si="9"/>
        <v>8</v>
      </c>
      <c r="H78" s="4">
        <f t="shared" si="10"/>
        <v>1.10236</v>
      </c>
      <c r="I78" s="4" t="b">
        <v>1</v>
      </c>
      <c r="J78" s="4">
        <v>1</v>
      </c>
      <c r="N78" s="4"/>
    </row>
    <row r="79" spans="1:23" s="6" customFormat="1" x14ac:dyDescent="0.25">
      <c r="A79" s="24"/>
      <c r="C79" s="4" t="s">
        <v>18</v>
      </c>
      <c r="D79" s="4" t="s">
        <v>143</v>
      </c>
      <c r="E79" s="8">
        <f>Depth/2-(32/25.4)</f>
        <v>10.740157480314961</v>
      </c>
      <c r="F79" s="4">
        <f t="shared" si="8"/>
        <v>0.32250000000000001</v>
      </c>
      <c r="G79" s="4">
        <f t="shared" si="9"/>
        <v>8</v>
      </c>
      <c r="H79" s="4">
        <f t="shared" si="10"/>
        <v>1.10236</v>
      </c>
      <c r="I79" s="4" t="b">
        <v>1</v>
      </c>
      <c r="J79" s="4">
        <v>1</v>
      </c>
      <c r="N79" s="4"/>
    </row>
    <row r="80" spans="1:23" s="6" customFormat="1" x14ac:dyDescent="0.25">
      <c r="A80" s="24"/>
      <c r="C80" s="4" t="s">
        <v>18</v>
      </c>
      <c r="D80" s="4" t="s">
        <v>143</v>
      </c>
      <c r="E80" s="8">
        <f>Depth/2+(32/25.4)</f>
        <v>13.259842519685039</v>
      </c>
      <c r="F80" s="4">
        <f t="shared" si="8"/>
        <v>0.32250000000000001</v>
      </c>
      <c r="G80" s="4">
        <f t="shared" si="9"/>
        <v>8</v>
      </c>
      <c r="H80" s="4">
        <f t="shared" si="10"/>
        <v>1.10236</v>
      </c>
      <c r="I80" s="4" t="b">
        <v>1</v>
      </c>
      <c r="J80" s="4">
        <v>1</v>
      </c>
      <c r="N80" s="4"/>
    </row>
    <row r="81" spans="1:23" s="6" customFormat="1" x14ac:dyDescent="0.25">
      <c r="A81" s="24"/>
      <c r="C81" s="4" t="s">
        <v>18</v>
      </c>
      <c r="D81" s="4" t="s">
        <v>143</v>
      </c>
      <c r="E81" s="4">
        <f>E82-(64/25.4)</f>
        <v>19.980314960629922</v>
      </c>
      <c r="F81" s="4">
        <f t="shared" si="8"/>
        <v>0.32250000000000001</v>
      </c>
      <c r="G81" s="4">
        <f t="shared" si="9"/>
        <v>8</v>
      </c>
      <c r="H81" s="4">
        <f t="shared" si="10"/>
        <v>1.10236</v>
      </c>
      <c r="I81" s="4" t="b">
        <v>1</v>
      </c>
      <c r="J81" s="4">
        <v>1</v>
      </c>
      <c r="N81" s="4"/>
    </row>
    <row r="82" spans="1:23" s="6" customFormat="1" x14ac:dyDescent="0.25">
      <c r="A82" s="24"/>
      <c r="C82" s="4" t="s">
        <v>18</v>
      </c>
      <c r="D82" s="4" t="s">
        <v>143</v>
      </c>
      <c r="E82" s="4">
        <f>Depth-1.5</f>
        <v>22.5</v>
      </c>
      <c r="F82" s="4">
        <f t="shared" si="8"/>
        <v>0.32250000000000001</v>
      </c>
      <c r="G82" s="4">
        <f t="shared" si="9"/>
        <v>8</v>
      </c>
      <c r="H82" s="4">
        <f t="shared" si="10"/>
        <v>1.10236</v>
      </c>
      <c r="I82" s="4" t="b">
        <v>1</v>
      </c>
      <c r="J82" s="4">
        <v>1</v>
      </c>
      <c r="N82" s="4"/>
    </row>
    <row r="83" spans="1:23" s="6" customFormat="1" x14ac:dyDescent="0.25">
      <c r="A83" s="24"/>
      <c r="C83" s="4" t="s">
        <v>18</v>
      </c>
      <c r="D83" s="15" t="s">
        <v>46</v>
      </c>
      <c r="E83" s="16" t="s">
        <v>22</v>
      </c>
      <c r="F83" s="16">
        <v>-1</v>
      </c>
      <c r="G83" s="16">
        <f>Depth-0.65625</f>
        <v>23.34375</v>
      </c>
      <c r="H83" s="16">
        <f>Width-(2*Thickness)+1</f>
        <v>17.71</v>
      </c>
      <c r="I83" s="16">
        <v>-0.3125</v>
      </c>
      <c r="J83" s="16">
        <v>200</v>
      </c>
      <c r="K83" s="16" t="s">
        <v>27</v>
      </c>
      <c r="L83" s="16" t="s">
        <v>28</v>
      </c>
    </row>
    <row r="84" spans="1:23" s="5" customFormat="1" x14ac:dyDescent="0.25">
      <c r="A84" s="24"/>
      <c r="C84" s="9" t="str">
        <f>E84&amp;" x "&amp;F84&amp;" "&amp;"Nailer"</f>
        <v>16.71 x 4.5 Nailer</v>
      </c>
      <c r="D84" s="9">
        <f>Quantity*2</f>
        <v>2</v>
      </c>
      <c r="E84" s="9">
        <f>Width-(2*Thickness)</f>
        <v>16.71</v>
      </c>
      <c r="F84" s="9">
        <f>NailerHeight</f>
        <v>4.5</v>
      </c>
      <c r="G84" s="9">
        <f>Thickness</f>
        <v>0.64500000000000002</v>
      </c>
      <c r="H84" s="9" t="e">
        <f>IF(VLOOKUP(MTLCode,MTLCodeTBL[],2,FALSE)= "Bone2", "Bone",VLOOKUP(MTLCode,MTLCodeTBL[],2,FALSE))</f>
        <v>#N/A</v>
      </c>
      <c r="I84" s="9"/>
      <c r="J84" s="9"/>
      <c r="K84" s="9">
        <v>0</v>
      </c>
      <c r="L84" s="9">
        <v>22</v>
      </c>
      <c r="M84" s="9"/>
      <c r="N84" s="9" t="str">
        <f>WONumber</f>
        <v>LR</v>
      </c>
      <c r="O84" s="9" t="str">
        <f>OMPPN</f>
        <v>No</v>
      </c>
      <c r="P84" s="4"/>
      <c r="Q84" s="4"/>
      <c r="R84" s="4"/>
      <c r="S84" s="4"/>
      <c r="T84" s="4"/>
      <c r="U84" s="4"/>
      <c r="V84" s="4"/>
      <c r="W84" s="4"/>
    </row>
    <row r="85" spans="1:23" s="5" customFormat="1" ht="14.25" customHeight="1" x14ac:dyDescent="0.25">
      <c r="A85" s="23"/>
      <c r="B85" s="4"/>
      <c r="C85" s="4" t="s">
        <v>18</v>
      </c>
      <c r="D85" s="4" t="s">
        <v>19</v>
      </c>
      <c r="E85" s="4"/>
      <c r="F85" s="4">
        <f>Width-(2*Thickness)</f>
        <v>16.71</v>
      </c>
      <c r="G85" s="4">
        <f>NailerHeight</f>
        <v>4.5</v>
      </c>
      <c r="H85" s="4">
        <f>Thickness</f>
        <v>0.64500000000000002</v>
      </c>
      <c r="I85" s="4" t="s">
        <v>20</v>
      </c>
      <c r="J85" s="4">
        <v>0</v>
      </c>
      <c r="K85" s="4">
        <v>0</v>
      </c>
      <c r="L85" s="4">
        <v>0</v>
      </c>
      <c r="M85" s="6"/>
    </row>
    <row r="86" spans="1:23" s="6" customFormat="1" x14ac:dyDescent="0.25">
      <c r="A86" s="24"/>
      <c r="C86" s="4" t="s">
        <v>18</v>
      </c>
      <c r="D86" s="4" t="s">
        <v>143</v>
      </c>
      <c r="E86" s="4">
        <f>E87-(32/25.4)</f>
        <v>0.99015748031496065</v>
      </c>
      <c r="F86" s="4">
        <f>Thickness/2</f>
        <v>0.32250000000000001</v>
      </c>
      <c r="G86" s="4">
        <f>Ganno</f>
        <v>8</v>
      </c>
      <c r="H86" s="4">
        <f>-(EdgeDepth)</f>
        <v>1.10236</v>
      </c>
      <c r="I86" s="4" t="b">
        <v>1</v>
      </c>
      <c r="J86" s="4">
        <v>1</v>
      </c>
      <c r="N86" s="4"/>
    </row>
    <row r="87" spans="1:23" s="6" customFormat="1" x14ac:dyDescent="0.25">
      <c r="A87" s="24"/>
      <c r="C87" s="4" t="s">
        <v>18</v>
      </c>
      <c r="D87" s="4" t="s">
        <v>143</v>
      </c>
      <c r="E87" s="4">
        <f>NailerHeight/2</f>
        <v>2.25</v>
      </c>
      <c r="F87" s="4">
        <f>Thickness/2</f>
        <v>0.32250000000000001</v>
      </c>
      <c r="G87" s="4">
        <f>Ganno</f>
        <v>8</v>
      </c>
      <c r="H87" s="4">
        <f>-(EdgeDepth)</f>
        <v>1.10236</v>
      </c>
      <c r="I87" s="4" t="b">
        <v>1</v>
      </c>
      <c r="J87" s="4">
        <v>1</v>
      </c>
      <c r="N87" s="4"/>
    </row>
    <row r="88" spans="1:23" s="6" customFormat="1" x14ac:dyDescent="0.25">
      <c r="A88" s="24"/>
      <c r="C88" s="4" t="s">
        <v>18</v>
      </c>
      <c r="D88" s="4" t="s">
        <v>143</v>
      </c>
      <c r="E88" s="4">
        <f>E87+(32/25.4)</f>
        <v>3.5098425196850394</v>
      </c>
      <c r="F88" s="4">
        <f>Thickness/2</f>
        <v>0.32250000000000001</v>
      </c>
      <c r="G88" s="4">
        <f>Ganno</f>
        <v>8</v>
      </c>
      <c r="H88" s="4">
        <f>-(EdgeDepth)</f>
        <v>1.10236</v>
      </c>
      <c r="I88" s="4" t="b">
        <v>1</v>
      </c>
      <c r="J88" s="4">
        <v>1</v>
      </c>
      <c r="N88" s="4"/>
    </row>
    <row r="89" spans="1:23" s="5" customFormat="1" x14ac:dyDescent="0.25">
      <c r="A89" s="24"/>
      <c r="C89" s="9" t="str">
        <f>E89&amp;" x "&amp;F89&amp;" ToeKick"</f>
        <v>16.71 x 4.5 ToeKick</v>
      </c>
      <c r="D89" s="9">
        <f>Quantity</f>
        <v>1</v>
      </c>
      <c r="E89" s="9">
        <f>Width-(2*Thickness)</f>
        <v>16.71</v>
      </c>
      <c r="F89" s="9">
        <f>ToeKick</f>
        <v>4.5</v>
      </c>
      <c r="G89" s="9">
        <f>Thickness</f>
        <v>0.64500000000000002</v>
      </c>
      <c r="H89" s="9" t="e">
        <f>IF(VLOOKUP(MTLCode,MTLCodeTBL[],2,FALSE)= "Bone2", "Bone",VLOOKUP(MTLCode,MTLCodeTBL[],2,FALSE))</f>
        <v>#N/A</v>
      </c>
      <c r="I89" s="9"/>
      <c r="J89" s="9"/>
      <c r="K89" s="9">
        <v>0</v>
      </c>
      <c r="L89" s="9">
        <v>22</v>
      </c>
      <c r="M89" s="9"/>
      <c r="N89" s="9" t="str">
        <f>WONumber</f>
        <v>LR</v>
      </c>
      <c r="O89" s="9" t="str">
        <f>OMPPN</f>
        <v>No</v>
      </c>
      <c r="P89" s="4"/>
      <c r="Q89" s="4"/>
      <c r="R89" s="4"/>
      <c r="S89" s="4"/>
      <c r="T89" s="4"/>
      <c r="U89" s="4"/>
      <c r="V89" s="4"/>
      <c r="W89" s="4"/>
    </row>
    <row r="90" spans="1:23" s="5" customFormat="1" ht="14.25" customHeight="1" x14ac:dyDescent="0.25">
      <c r="A90" s="23"/>
      <c r="B90" s="4"/>
      <c r="C90" s="4" t="s">
        <v>18</v>
      </c>
      <c r="D90" s="4" t="s">
        <v>19</v>
      </c>
      <c r="E90" s="4"/>
      <c r="F90" s="4">
        <f>Width-(2*Thickness)</f>
        <v>16.71</v>
      </c>
      <c r="G90" s="4">
        <f>NailerHeight</f>
        <v>4.5</v>
      </c>
      <c r="H90" s="4">
        <f>Thickness</f>
        <v>0.64500000000000002</v>
      </c>
      <c r="I90" s="4" t="s">
        <v>20</v>
      </c>
      <c r="J90" s="4">
        <v>0</v>
      </c>
      <c r="K90" s="4">
        <v>0</v>
      </c>
      <c r="L90" s="4">
        <v>0</v>
      </c>
      <c r="M90" s="6"/>
    </row>
    <row r="91" spans="1:23" s="6" customFormat="1" x14ac:dyDescent="0.25">
      <c r="A91" s="24"/>
      <c r="C91" s="4" t="s">
        <v>18</v>
      </c>
      <c r="D91" s="4" t="s">
        <v>143</v>
      </c>
      <c r="E91" s="4">
        <f>E92-(32/25.4)</f>
        <v>0.99015748031496065</v>
      </c>
      <c r="F91" s="4">
        <f>Thickness/2</f>
        <v>0.32250000000000001</v>
      </c>
      <c r="G91" s="4">
        <f>Ganno</f>
        <v>8</v>
      </c>
      <c r="H91" s="4">
        <f>-(EdgeDepth)</f>
        <v>1.10236</v>
      </c>
      <c r="I91" s="4" t="b">
        <v>1</v>
      </c>
      <c r="J91" s="4">
        <v>1</v>
      </c>
      <c r="N91" s="4"/>
    </row>
    <row r="92" spans="1:23" s="6" customFormat="1" x14ac:dyDescent="0.25">
      <c r="A92" s="24"/>
      <c r="C92" s="4" t="s">
        <v>18</v>
      </c>
      <c r="D92" s="4" t="s">
        <v>143</v>
      </c>
      <c r="E92" s="4">
        <f>ToeKick/2</f>
        <v>2.25</v>
      </c>
      <c r="F92" s="4">
        <f>Thickness/2</f>
        <v>0.32250000000000001</v>
      </c>
      <c r="G92" s="4">
        <f>Ganno</f>
        <v>8</v>
      </c>
      <c r="H92" s="4">
        <f>-(EdgeDepth)</f>
        <v>1.10236</v>
      </c>
      <c r="I92" s="4" t="b">
        <v>1</v>
      </c>
      <c r="J92" s="4">
        <v>1</v>
      </c>
      <c r="N92" s="4"/>
    </row>
    <row r="93" spans="1:23" s="6" customFormat="1" x14ac:dyDescent="0.25">
      <c r="A93" s="24"/>
      <c r="C93" s="4" t="s">
        <v>18</v>
      </c>
      <c r="D93" s="4" t="s">
        <v>143</v>
      </c>
      <c r="E93" s="4">
        <f>E92+(32/25.4)</f>
        <v>3.5098425196850394</v>
      </c>
      <c r="F93" s="4">
        <f>Thickness/2</f>
        <v>0.32250000000000001</v>
      </c>
      <c r="G93" s="4">
        <f>Ganno</f>
        <v>8</v>
      </c>
      <c r="H93" s="4">
        <f>-(EdgeDepth)</f>
        <v>1.10236</v>
      </c>
      <c r="I93" s="4" t="b">
        <v>1</v>
      </c>
      <c r="J93" s="4">
        <v>1</v>
      </c>
      <c r="N93" s="4"/>
    </row>
    <row r="94" spans="1:23" s="5" customFormat="1" x14ac:dyDescent="0.25">
      <c r="A94" s="24"/>
      <c r="C94" s="9" t="str">
        <f>E94&amp;" x "&amp;F94&amp;" "&amp;"Front Vert. Stretcher"</f>
        <v>16.71 x 6.25 Front Vert. Stretcher</v>
      </c>
      <c r="D94" s="9">
        <f>Quantity</f>
        <v>1</v>
      </c>
      <c r="E94" s="9">
        <f>Width-(2*Thickness)</f>
        <v>16.71</v>
      </c>
      <c r="F94" s="9">
        <f>FrontVertStretcher</f>
        <v>6.25</v>
      </c>
      <c r="G94" s="9">
        <f>Thickness</f>
        <v>0.64500000000000002</v>
      </c>
      <c r="H94" s="9" t="e">
        <f>IF(VLOOKUP(MTLCode,MTLCodeTBL[],2,FALSE)= "Bone2", "Bone",VLOOKUP(MTLCode,MTLCodeTBL[],2,FALSE))</f>
        <v>#N/A</v>
      </c>
      <c r="I94" s="9" t="e">
        <f>LEFT(VLOOKUP(Finish,DoorFinishTBL[],2,FALSE),LEN(VLOOKUP(Finish,DoorFinishTBL[],2,FALSE))-1)</f>
        <v>#N/A</v>
      </c>
      <c r="J94" s="9"/>
      <c r="K94" s="9">
        <v>0</v>
      </c>
      <c r="L94" s="9">
        <v>22</v>
      </c>
      <c r="M94" s="9" t="e">
        <f>IF(G94 = 0.625,I94&amp;"1",I94&amp;"2")</f>
        <v>#N/A</v>
      </c>
      <c r="N94" s="9" t="str">
        <f>WONumber</f>
        <v>LR</v>
      </c>
      <c r="O94" s="9" t="str">
        <f>OMPPN</f>
        <v>No</v>
      </c>
      <c r="P94" s="4"/>
      <c r="Q94" s="4"/>
      <c r="R94" s="4"/>
      <c r="S94" s="4"/>
      <c r="T94" s="4"/>
      <c r="U94" s="4"/>
      <c r="V94" s="4"/>
      <c r="W94" s="4"/>
    </row>
    <row r="95" spans="1:23" s="5" customFormat="1" ht="14.25" customHeight="1" x14ac:dyDescent="0.25">
      <c r="A95" s="23"/>
      <c r="B95" s="4"/>
      <c r="C95" s="4" t="s">
        <v>18</v>
      </c>
      <c r="D95" s="4" t="s">
        <v>19</v>
      </c>
      <c r="E95" s="4"/>
      <c r="F95" s="4">
        <f>Width-(2*Thickness)</f>
        <v>16.71</v>
      </c>
      <c r="G95" s="4">
        <f>F94</f>
        <v>6.25</v>
      </c>
      <c r="H95" s="4">
        <f>Thickness</f>
        <v>0.64500000000000002</v>
      </c>
      <c r="I95" s="4" t="s">
        <v>20</v>
      </c>
      <c r="J95" s="4">
        <v>0</v>
      </c>
      <c r="K95" s="4">
        <v>0</v>
      </c>
      <c r="L95" s="4">
        <v>0</v>
      </c>
      <c r="M95" s="6"/>
      <c r="N95" s="4"/>
    </row>
    <row r="96" spans="1:23" s="5" customFormat="1" x14ac:dyDescent="0.25">
      <c r="A96" s="23"/>
      <c r="B96" s="4"/>
      <c r="C96" s="4" t="s">
        <v>18</v>
      </c>
      <c r="D96" s="4" t="s">
        <v>26</v>
      </c>
      <c r="E96" s="4">
        <v>0</v>
      </c>
      <c r="F96" s="4">
        <v>1</v>
      </c>
      <c r="G96" s="4">
        <v>0</v>
      </c>
      <c r="H96" s="4">
        <v>0</v>
      </c>
      <c r="N96" s="4"/>
    </row>
    <row r="97" spans="1:23" s="6" customFormat="1" x14ac:dyDescent="0.25">
      <c r="A97" s="24"/>
      <c r="C97" s="4" t="s">
        <v>18</v>
      </c>
      <c r="D97" s="4" t="s">
        <v>143</v>
      </c>
      <c r="E97" s="4">
        <f>E98-(64/25.4)</f>
        <v>0.60531496062992129</v>
      </c>
      <c r="F97" s="4">
        <f>Thickness/2</f>
        <v>0.32250000000000001</v>
      </c>
      <c r="G97" s="4">
        <f>Ganno</f>
        <v>8</v>
      </c>
      <c r="H97" s="4">
        <f>-(EdgeDepth)</f>
        <v>1.10236</v>
      </c>
      <c r="I97" s="4" t="b">
        <v>1</v>
      </c>
      <c r="J97" s="4">
        <v>1</v>
      </c>
      <c r="N97" s="4"/>
    </row>
    <row r="98" spans="1:23" s="6" customFormat="1" x14ac:dyDescent="0.25">
      <c r="A98" s="24"/>
      <c r="C98" s="4" t="s">
        <v>18</v>
      </c>
      <c r="D98" s="4" t="s">
        <v>143</v>
      </c>
      <c r="E98" s="4">
        <f>F94/2</f>
        <v>3.125</v>
      </c>
      <c r="F98" s="4">
        <f>Thickness/2</f>
        <v>0.32250000000000001</v>
      </c>
      <c r="G98" s="4">
        <f>Ganno</f>
        <v>8</v>
      </c>
      <c r="H98" s="4">
        <f>-(EdgeDepth)</f>
        <v>1.10236</v>
      </c>
      <c r="I98" s="4" t="b">
        <v>1</v>
      </c>
      <c r="J98" s="4">
        <v>1</v>
      </c>
      <c r="N98" s="4"/>
    </row>
    <row r="99" spans="1:23" s="6" customFormat="1" x14ac:dyDescent="0.25">
      <c r="A99" s="24"/>
      <c r="C99" s="4" t="s">
        <v>18</v>
      </c>
      <c r="D99" s="4" t="s">
        <v>143</v>
      </c>
      <c r="E99" s="4">
        <f>E98+(64/25.4)</f>
        <v>5.6446850393700787</v>
      </c>
      <c r="F99" s="4">
        <f>Thickness/2</f>
        <v>0.32250000000000001</v>
      </c>
      <c r="G99" s="4">
        <f>Ganno</f>
        <v>8</v>
      </c>
      <c r="H99" s="4">
        <f>-(EdgeDepth)</f>
        <v>1.10236</v>
      </c>
      <c r="I99" s="4" t="b">
        <v>1</v>
      </c>
      <c r="J99" s="4">
        <v>1</v>
      </c>
      <c r="N99" s="4"/>
    </row>
    <row r="100" spans="1:23" s="5" customFormat="1" x14ac:dyDescent="0.25">
      <c r="A100" s="24"/>
      <c r="C100" s="9" t="str">
        <f>E100&amp;" x "&amp;F100&amp;" "&amp;"False DWR Front"</f>
        <v>17.875 x 5.875 False DWR Front</v>
      </c>
      <c r="D100" s="9">
        <f>Quantity</f>
        <v>1</v>
      </c>
      <c r="E100" s="9">
        <f>IF(DoorStyle="801UPT",DrawerHeight,Width-(Reveal))</f>
        <v>17.875</v>
      </c>
      <c r="F100" s="9">
        <f>IF(DoorStyle="801UPT",Width-(Reveal),DrawerHeight)</f>
        <v>5.875</v>
      </c>
      <c r="G100" s="9">
        <f>Thickness</f>
        <v>0.64500000000000002</v>
      </c>
      <c r="H100" s="9" t="e">
        <f>VLOOKUP(Finish,DoorFinishTBL[],2,FALSE)</f>
        <v>#N/A</v>
      </c>
      <c r="I100" s="9" t="e">
        <f>LEFT(VLOOKUP(Finish,DoorFinishTBL[],2,FALSE),LEN(VLOOKUP(Finish,DoorFinishTBL[],2,FALSE))-1)</f>
        <v>#N/A</v>
      </c>
      <c r="J100" s="9" t="str">
        <f>IF(DoorStyle="801UPT","Uptown; ","Crosstown; ")</f>
        <v xml:space="preserve">Crosstown; </v>
      </c>
      <c r="K100" s="9">
        <v>0</v>
      </c>
      <c r="L100" s="9">
        <v>22</v>
      </c>
      <c r="M100" s="9" t="e">
        <f>IF(G100 = 0.625,I100&amp;"1",I100&amp;"2")</f>
        <v>#N/A</v>
      </c>
      <c r="N100" s="9" t="str">
        <f>WONumber</f>
        <v>LR</v>
      </c>
      <c r="O100" s="9" t="str">
        <f>OMPPN</f>
        <v>No</v>
      </c>
      <c r="P100" s="4"/>
      <c r="Q100" s="4"/>
      <c r="R100" s="4"/>
      <c r="S100" s="4"/>
      <c r="T100" s="4"/>
      <c r="U100" s="4"/>
      <c r="V100" s="4"/>
      <c r="W100" s="4"/>
    </row>
    <row r="101" spans="1:23" s="5" customFormat="1" ht="14.25" customHeight="1" x14ac:dyDescent="0.25">
      <c r="A101" s="23"/>
      <c r="B101" s="4"/>
      <c r="C101" s="4" t="s">
        <v>18</v>
      </c>
      <c r="D101" s="4" t="s">
        <v>19</v>
      </c>
      <c r="E101" s="4"/>
      <c r="F101" s="4">
        <f>E100</f>
        <v>17.875</v>
      </c>
      <c r="G101" s="4">
        <f>F100</f>
        <v>5.875</v>
      </c>
      <c r="H101" s="4">
        <f>Thickness</f>
        <v>0.64500000000000002</v>
      </c>
      <c r="I101" s="4" t="s">
        <v>20</v>
      </c>
      <c r="J101" s="4">
        <v>0</v>
      </c>
      <c r="K101" s="4">
        <v>0</v>
      </c>
      <c r="L101" s="4">
        <v>0</v>
      </c>
      <c r="M101" s="6"/>
      <c r="N101" s="4"/>
      <c r="O101" s="4"/>
    </row>
    <row r="102" spans="1:23" s="5" customFormat="1" x14ac:dyDescent="0.25">
      <c r="A102" s="23"/>
      <c r="B102" s="4"/>
      <c r="C102" s="4" t="s">
        <v>18</v>
      </c>
      <c r="D102" s="4" t="s">
        <v>26</v>
      </c>
      <c r="E102" s="4">
        <v>1</v>
      </c>
      <c r="F102" s="4">
        <v>1</v>
      </c>
      <c r="G102" s="4">
        <v>1</v>
      </c>
      <c r="H102" s="4">
        <v>1</v>
      </c>
      <c r="N102" s="4"/>
      <c r="O102" s="4"/>
    </row>
    <row r="103" spans="1:23" s="5" customFormat="1" x14ac:dyDescent="0.25">
      <c r="A103" s="24"/>
      <c r="C103" s="9" t="str">
        <f>E103&amp;" x "&amp;F103&amp;" "&amp;"Door"</f>
        <v>17.875 x 21.75 Door</v>
      </c>
      <c r="D103" s="9">
        <f>IF(Hinge="B",Quantity*2,Quantity)</f>
        <v>1</v>
      </c>
      <c r="E103" s="19">
        <f>IF(Hinge="B",IF(DoorStyle="801UPT",(Height-ToeKick-DrawerHeight)-(3*Reveal),(Width/2)-(Reveal)),IF(DoorStyle="801UPT",(Height-ToeKick-DrawerHeight)-(3*Reveal),(Width)-(Reveal)))</f>
        <v>17.875</v>
      </c>
      <c r="F103" s="19">
        <f>IF(Hinge="B",IF(DoorStyle="801UPT",(Width/2)-Reveal,(Height-ToeKick-DrawerHeight)-(3*Reveal)),IF(DoorStyle="801UPT",(Width)-Reveal,(Height-ToeKick-DrawerHeight)-(3*Reveal)))</f>
        <v>21.75</v>
      </c>
      <c r="G103" s="9">
        <f>Thickness</f>
        <v>0.64500000000000002</v>
      </c>
      <c r="H103" s="9" t="e">
        <f>VLOOKUP(Finish,DoorFinishTBL[],2,FALSE)</f>
        <v>#N/A</v>
      </c>
      <c r="I103" s="9" t="e">
        <f>LEFT(VLOOKUP(Finish,DoorFinishTBL[],2,FALSE),LEN(VLOOKUP(Finish,DoorFinishTBL[],2,FALSE))-1)</f>
        <v>#N/A</v>
      </c>
      <c r="J103" s="9" t="e">
        <f>IF(DoorStyle="801UPT","Uptown; ","Crosstown; ")&amp;VLOOKUP(HingeType,HingeTBL[],2,FALSE)</f>
        <v>#N/A</v>
      </c>
      <c r="K103" s="9">
        <v>0</v>
      </c>
      <c r="L103" s="9">
        <v>22</v>
      </c>
      <c r="M103" s="9" t="e">
        <f>IF(G103 = 0.625,I103&amp;"1",I103&amp;"2")</f>
        <v>#N/A</v>
      </c>
      <c r="N103" s="9" t="str">
        <f>WONumber</f>
        <v>LR</v>
      </c>
      <c r="O103" s="9" t="str">
        <f>OMPPN</f>
        <v>No</v>
      </c>
      <c r="P103" s="4"/>
      <c r="Q103" s="4"/>
      <c r="R103" s="4"/>
      <c r="S103" s="4"/>
      <c r="T103" s="4"/>
      <c r="U103" s="4"/>
      <c r="V103" s="4"/>
      <c r="W103" s="4"/>
    </row>
    <row r="104" spans="1:23" s="6" customFormat="1" x14ac:dyDescent="0.25">
      <c r="A104" s="24"/>
      <c r="C104" s="4" t="s">
        <v>18</v>
      </c>
      <c r="D104" s="4" t="s">
        <v>19</v>
      </c>
      <c r="E104" s="4"/>
      <c r="F104" s="20">
        <f>E103</f>
        <v>17.875</v>
      </c>
      <c r="G104" s="20">
        <f>F103</f>
        <v>21.75</v>
      </c>
      <c r="H104" s="4">
        <f>Thickness</f>
        <v>0.64500000000000002</v>
      </c>
      <c r="I104" s="4" t="s">
        <v>20</v>
      </c>
      <c r="J104" s="4">
        <v>0</v>
      </c>
      <c r="K104" s="4">
        <v>0</v>
      </c>
      <c r="L104" s="4">
        <v>0</v>
      </c>
      <c r="M104" s="4"/>
      <c r="N104" s="4"/>
    </row>
    <row r="105" spans="1:23" s="5" customFormat="1" x14ac:dyDescent="0.25">
      <c r="A105" s="24"/>
      <c r="C105" s="4" t="s">
        <v>18</v>
      </c>
      <c r="D105" s="4" t="s">
        <v>26</v>
      </c>
      <c r="E105" s="4">
        <v>1</v>
      </c>
      <c r="F105" s="4">
        <v>1</v>
      </c>
      <c r="G105" s="4">
        <v>1</v>
      </c>
      <c r="H105" s="4">
        <v>1</v>
      </c>
      <c r="I105" s="6"/>
      <c r="J105" s="6"/>
      <c r="K105" s="6"/>
      <c r="L105" s="6"/>
      <c r="M105" s="4"/>
      <c r="N105" s="4"/>
    </row>
    <row r="106" spans="1:23" s="5" customFormat="1" x14ac:dyDescent="0.25">
      <c r="A106" s="2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23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23" x14ac:dyDescent="0.25">
      <c r="E108" s="4"/>
    </row>
    <row r="110" spans="1:23" x14ac:dyDescent="0.25">
      <c r="F110" s="14"/>
    </row>
  </sheetData>
  <dataValidations count="5">
    <dataValidation type="list" allowBlank="1" showInputMessage="1" showErrorMessage="1" sqref="L16 L75 L95 L45 L85 L101 L104 L90">
      <formula1>Rotation</formula1>
    </dataValidation>
    <dataValidation type="list" allowBlank="1" showInputMessage="1" showErrorMessage="1" sqref="E83 E18:E43 E47:E70">
      <formula1>Face</formula1>
    </dataValidation>
    <dataValidation type="list" allowBlank="1" showInputMessage="1" showErrorMessage="1" sqref="J70 K83 K40 K69">
      <formula1>ToolComp</formula1>
    </dataValidation>
    <dataValidation type="list" allowBlank="1" showInputMessage="1" showErrorMessage="1" sqref="M70 L83 L40 L69">
      <formula1>Direction</formula1>
    </dataValidation>
    <dataValidation type="list" allowBlank="1" showInputMessage="1" showErrorMessage="1" sqref="K70:L70">
      <formula1>LeadIn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workbookViewId="0">
      <selection activeCell="E21" sqref="E21"/>
    </sheetView>
  </sheetViews>
  <sheetFormatPr defaultRowHeight="15" x14ac:dyDescent="0.25"/>
  <cols>
    <col min="3" max="3" width="10.85546875" customWidth="1"/>
    <col min="5" max="5" width="13.85546875" customWidth="1"/>
    <col min="6" max="6" width="15.7109375" bestFit="1" customWidth="1"/>
    <col min="8" max="8" width="12.42578125" customWidth="1"/>
    <col min="9" max="9" width="12.42578125" bestFit="1" customWidth="1"/>
    <col min="11" max="11" width="11.7109375" customWidth="1"/>
    <col min="12" max="12" width="10.85546875" customWidth="1"/>
    <col min="15" max="15" width="12.7109375" bestFit="1" customWidth="1"/>
    <col min="17" max="17" width="11.28515625" customWidth="1"/>
    <col min="18" max="18" width="12.7109375" bestFit="1" customWidth="1"/>
    <col min="20" max="20" width="14.42578125" customWidth="1"/>
    <col min="21" max="21" width="10.85546875" customWidth="1"/>
  </cols>
  <sheetData>
    <row r="3" spans="2:21" x14ac:dyDescent="0.25">
      <c r="B3" s="2" t="s">
        <v>47</v>
      </c>
      <c r="C3" s="2" t="s">
        <v>48</v>
      </c>
      <c r="E3" s="2" t="s">
        <v>40</v>
      </c>
      <c r="F3" s="2" t="s">
        <v>49</v>
      </c>
      <c r="H3" s="2" t="s">
        <v>41</v>
      </c>
      <c r="I3" s="2" t="s">
        <v>47</v>
      </c>
      <c r="K3" s="2" t="s">
        <v>42</v>
      </c>
      <c r="L3" s="2" t="s">
        <v>50</v>
      </c>
      <c r="N3" s="2" t="s">
        <v>51</v>
      </c>
      <c r="O3" s="2" t="s">
        <v>3</v>
      </c>
      <c r="Q3" s="2" t="s">
        <v>52</v>
      </c>
      <c r="R3" s="2" t="s">
        <v>3</v>
      </c>
      <c r="T3" s="2" t="s">
        <v>53</v>
      </c>
      <c r="U3" s="2" t="s">
        <v>4</v>
      </c>
    </row>
    <row r="4" spans="2:21" x14ac:dyDescent="0.25">
      <c r="B4" s="2" t="s">
        <v>54</v>
      </c>
      <c r="C4" s="2" t="b">
        <v>1</v>
      </c>
      <c r="E4" s="2" t="s">
        <v>55</v>
      </c>
      <c r="F4" s="2" t="s">
        <v>164</v>
      </c>
      <c r="H4" s="2" t="s">
        <v>56</v>
      </c>
      <c r="I4" s="2" t="s">
        <v>171</v>
      </c>
      <c r="K4" s="2" t="s">
        <v>57</v>
      </c>
      <c r="L4" s="2" t="s">
        <v>58</v>
      </c>
      <c r="N4" s="2" t="s">
        <v>59</v>
      </c>
      <c r="O4" s="2" t="s">
        <v>60</v>
      </c>
      <c r="Q4" s="2" t="s">
        <v>61</v>
      </c>
      <c r="R4" s="2" t="s">
        <v>177</v>
      </c>
      <c r="T4" s="2" t="s">
        <v>62</v>
      </c>
      <c r="U4" s="2" t="s">
        <v>108</v>
      </c>
    </row>
    <row r="5" spans="2:21" x14ac:dyDescent="0.25">
      <c r="B5" s="2" t="s">
        <v>63</v>
      </c>
      <c r="C5" s="2" t="b">
        <v>0</v>
      </c>
      <c r="E5" s="2" t="s">
        <v>64</v>
      </c>
      <c r="F5" s="2" t="s">
        <v>165</v>
      </c>
      <c r="H5" s="2" t="s">
        <v>64</v>
      </c>
      <c r="I5" s="2" t="s">
        <v>172</v>
      </c>
      <c r="K5" s="2" t="s">
        <v>65</v>
      </c>
      <c r="L5" s="2" t="s">
        <v>66</v>
      </c>
      <c r="N5" s="2" t="s">
        <v>67</v>
      </c>
      <c r="O5" s="2" t="s">
        <v>68</v>
      </c>
      <c r="Q5" s="2" t="s">
        <v>69</v>
      </c>
      <c r="R5" s="2" t="s">
        <v>70</v>
      </c>
      <c r="T5" s="2" t="s">
        <v>71</v>
      </c>
      <c r="U5" s="2" t="e">
        <f>IF(RIGHT(VLOOKUP(MTLCode,MTLCodeTBL[],2,FALSE),1) &lt;&gt; "2",VLOOKUP(MTLCode,MTLCodeTBL[],2,FALSE) &amp; "2",VLOOKUP(MTLCode,MTLCodeTBL[],2,FALSE))</f>
        <v>#N/A</v>
      </c>
    </row>
    <row r="6" spans="2:21" x14ac:dyDescent="0.25">
      <c r="B6" s="21" t="s">
        <v>175</v>
      </c>
      <c r="C6" s="21" t="s">
        <v>176</v>
      </c>
      <c r="E6" s="18" t="s">
        <v>72</v>
      </c>
      <c r="F6" s="2" t="s">
        <v>166</v>
      </c>
      <c r="N6" s="18" t="s">
        <v>73</v>
      </c>
      <c r="O6" s="18" t="s">
        <v>74</v>
      </c>
      <c r="Q6" s="18" t="s">
        <v>75</v>
      </c>
      <c r="R6" s="18" t="s">
        <v>76</v>
      </c>
    </row>
    <row r="7" spans="2:21" x14ac:dyDescent="0.25">
      <c r="N7" s="18" t="s">
        <v>77</v>
      </c>
      <c r="O7" s="18" t="s">
        <v>78</v>
      </c>
      <c r="Q7" s="18" t="s">
        <v>79</v>
      </c>
      <c r="R7" s="18" t="s">
        <v>80</v>
      </c>
    </row>
    <row r="8" spans="2:21" x14ac:dyDescent="0.25">
      <c r="N8" s="18" t="s">
        <v>81</v>
      </c>
      <c r="O8" s="18" t="s">
        <v>82</v>
      </c>
      <c r="Q8" s="18" t="s">
        <v>83</v>
      </c>
      <c r="R8" s="18" t="s">
        <v>84</v>
      </c>
    </row>
    <row r="9" spans="2:21" x14ac:dyDescent="0.25">
      <c r="N9" s="18" t="s">
        <v>85</v>
      </c>
      <c r="O9" s="18" t="s">
        <v>86</v>
      </c>
      <c r="Q9" s="18" t="s">
        <v>87</v>
      </c>
      <c r="R9" s="18" t="s">
        <v>88</v>
      </c>
    </row>
    <row r="10" spans="2:21" x14ac:dyDescent="0.25">
      <c r="N10" s="18" t="s">
        <v>89</v>
      </c>
      <c r="O10" s="18" t="s">
        <v>90</v>
      </c>
      <c r="Q10" s="18" t="s">
        <v>91</v>
      </c>
      <c r="R10" s="18" t="s">
        <v>92</v>
      </c>
    </row>
    <row r="11" spans="2:21" x14ac:dyDescent="0.25">
      <c r="N11" s="18" t="s">
        <v>93</v>
      </c>
      <c r="O11" s="18" t="s">
        <v>94</v>
      </c>
      <c r="Q11" s="18" t="s">
        <v>95</v>
      </c>
      <c r="R11" s="18" t="s">
        <v>96</v>
      </c>
    </row>
    <row r="12" spans="2:21" x14ac:dyDescent="0.25">
      <c r="N12" s="18" t="s">
        <v>97</v>
      </c>
      <c r="O12" s="18" t="s">
        <v>98</v>
      </c>
      <c r="Q12" s="18" t="s">
        <v>99</v>
      </c>
      <c r="R12" s="18" t="s">
        <v>100</v>
      </c>
    </row>
    <row r="13" spans="2:21" x14ac:dyDescent="0.25">
      <c r="N13" s="18" t="s">
        <v>101</v>
      </c>
      <c r="O13" s="18" t="s">
        <v>148</v>
      </c>
      <c r="Q13" s="18" t="s">
        <v>102</v>
      </c>
      <c r="R13" s="18" t="s">
        <v>147</v>
      </c>
    </row>
    <row r="14" spans="2:21" x14ac:dyDescent="0.25">
      <c r="N14" s="18" t="s">
        <v>103</v>
      </c>
      <c r="O14" s="18" t="s">
        <v>104</v>
      </c>
      <c r="Q14" s="18" t="s">
        <v>105</v>
      </c>
      <c r="R14" s="18" t="s">
        <v>106</v>
      </c>
    </row>
    <row r="15" spans="2:21" x14ac:dyDescent="0.25">
      <c r="N15" s="21" t="s">
        <v>167</v>
      </c>
      <c r="O15" s="21" t="s">
        <v>168</v>
      </c>
      <c r="Q15" s="18" t="s">
        <v>107</v>
      </c>
      <c r="R15" s="18" t="s">
        <v>108</v>
      </c>
    </row>
    <row r="16" spans="2:21" x14ac:dyDescent="0.25">
      <c r="N16" s="21" t="s">
        <v>169</v>
      </c>
      <c r="O16" s="21" t="s">
        <v>170</v>
      </c>
      <c r="Q16" s="18" t="s">
        <v>109</v>
      </c>
      <c r="R16" s="18" t="s">
        <v>110</v>
      </c>
    </row>
    <row r="17" spans="17:18" x14ac:dyDescent="0.25">
      <c r="Q17" s="18" t="s">
        <v>111</v>
      </c>
      <c r="R17" s="18" t="s">
        <v>112</v>
      </c>
    </row>
    <row r="18" spans="17:18" x14ac:dyDescent="0.25">
      <c r="Q18" s="18" t="s">
        <v>113</v>
      </c>
      <c r="R18" s="18" t="s">
        <v>114</v>
      </c>
    </row>
    <row r="19" spans="17:18" x14ac:dyDescent="0.25">
      <c r="Q19" s="18" t="s">
        <v>115</v>
      </c>
      <c r="R19" s="18" t="s">
        <v>116</v>
      </c>
    </row>
    <row r="20" spans="17:18" x14ac:dyDescent="0.25">
      <c r="Q20" s="18" t="s">
        <v>117</v>
      </c>
      <c r="R20" s="18" t="s">
        <v>118</v>
      </c>
    </row>
    <row r="21" spans="17:18" x14ac:dyDescent="0.25">
      <c r="Q21" s="18" t="s">
        <v>119</v>
      </c>
      <c r="R21" s="18" t="s">
        <v>120</v>
      </c>
    </row>
    <row r="22" spans="17:18" x14ac:dyDescent="0.25">
      <c r="Q22" s="18" t="s">
        <v>121</v>
      </c>
      <c r="R22" s="18" t="s">
        <v>122</v>
      </c>
    </row>
    <row r="23" spans="17:18" x14ac:dyDescent="0.25">
      <c r="Q23" s="18" t="s">
        <v>123</v>
      </c>
      <c r="R23" s="18" t="s">
        <v>124</v>
      </c>
    </row>
    <row r="24" spans="17:18" x14ac:dyDescent="0.25">
      <c r="Q24" s="18" t="s">
        <v>125</v>
      </c>
      <c r="R24" s="18" t="s">
        <v>146</v>
      </c>
    </row>
    <row r="25" spans="17:18" x14ac:dyDescent="0.25">
      <c r="Q25" s="18" t="s">
        <v>126</v>
      </c>
      <c r="R25" s="18" t="s">
        <v>127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H2" sqref="H2"/>
    </sheetView>
  </sheetViews>
  <sheetFormatPr defaultRowHeight="15" x14ac:dyDescent="0.25"/>
  <cols>
    <col min="2" max="2" width="11.140625" bestFit="1" customWidth="1"/>
    <col min="3" max="3" width="11.140625" style="17" customWidth="1"/>
    <col min="14" max="14" width="9.7109375" bestFit="1" customWidth="1"/>
  </cols>
  <sheetData>
    <row r="1" spans="1:23" x14ac:dyDescent="0.25">
      <c r="A1" t="s">
        <v>178</v>
      </c>
      <c r="B1" t="s">
        <v>179</v>
      </c>
      <c r="C1" s="17" t="s">
        <v>0</v>
      </c>
      <c r="D1" t="s">
        <v>1</v>
      </c>
      <c r="E1" t="s">
        <v>45</v>
      </c>
      <c r="F1" t="s">
        <v>2</v>
      </c>
      <c r="G1" t="s">
        <v>180</v>
      </c>
      <c r="H1" t="s">
        <v>181</v>
      </c>
      <c r="I1" t="s">
        <v>182</v>
      </c>
      <c r="J1" t="s">
        <v>183</v>
      </c>
      <c r="K1" s="25" t="s">
        <v>196</v>
      </c>
      <c r="L1" s="25" t="s">
        <v>195</v>
      </c>
      <c r="M1" s="25" t="s">
        <v>197</v>
      </c>
      <c r="N1" s="25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51</v>
      </c>
      <c r="V1" t="s">
        <v>204</v>
      </c>
      <c r="W1" t="s">
        <v>205</v>
      </c>
    </row>
    <row r="2" spans="1:23" x14ac:dyDescent="0.25">
      <c r="G2" t="s">
        <v>184</v>
      </c>
      <c r="H2" t="s">
        <v>185</v>
      </c>
      <c r="I2" t="s">
        <v>191</v>
      </c>
      <c r="J2" t="s">
        <v>188</v>
      </c>
    </row>
    <row r="3" spans="1:23" x14ac:dyDescent="0.25">
      <c r="H3" t="s">
        <v>186</v>
      </c>
      <c r="I3" t="s">
        <v>192</v>
      </c>
      <c r="J3" t="s">
        <v>187</v>
      </c>
    </row>
    <row r="4" spans="1:23" x14ac:dyDescent="0.25">
      <c r="I4" t="s">
        <v>193</v>
      </c>
      <c r="J4" t="s">
        <v>189</v>
      </c>
    </row>
    <row r="5" spans="1:23" x14ac:dyDescent="0.25">
      <c r="J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52</vt:i4>
      </vt:variant>
    </vt:vector>
  </HeadingPairs>
  <TitlesOfParts>
    <vt:vector size="56" baseType="lpstr">
      <vt:lpstr>Order</vt:lpstr>
      <vt:lpstr>BOM</vt:lpstr>
      <vt:lpstr>List</vt:lpstr>
      <vt:lpstr>Pricing</vt:lpstr>
      <vt:lpstr>AddOffset</vt:lpstr>
      <vt:lpstr>Backer</vt:lpstr>
      <vt:lpstr>BackMTL</vt:lpstr>
      <vt:lpstr>BottomDepth</vt:lpstr>
      <vt:lpstr>Depth</vt:lpstr>
      <vt:lpstr>Direction</vt:lpstr>
      <vt:lpstr>DoorStyle</vt:lpstr>
      <vt:lpstr>DoorStyleList</vt:lpstr>
      <vt:lpstr>DowelDia</vt:lpstr>
      <vt:lpstr>DrawerHeight</vt:lpstr>
      <vt:lpstr>DrawerStyle</vt:lpstr>
      <vt:lpstr>DrawerStyleList</vt:lpstr>
      <vt:lpstr>Edge</vt:lpstr>
      <vt:lpstr>EdgeDepth</vt:lpstr>
      <vt:lpstr>End</vt:lpstr>
      <vt:lpstr>Face</vt:lpstr>
      <vt:lpstr>FaceDepth</vt:lpstr>
      <vt:lpstr>Finish</vt:lpstr>
      <vt:lpstr>FinishList</vt:lpstr>
      <vt:lpstr>FrontVertStretcher</vt:lpstr>
      <vt:lpstr>Ganno</vt:lpstr>
      <vt:lpstr>GannoOffset</vt:lpstr>
      <vt:lpstr>Height</vt:lpstr>
      <vt:lpstr>Hinge</vt:lpstr>
      <vt:lpstr>HingeList</vt:lpstr>
      <vt:lpstr>HingeLocation</vt:lpstr>
      <vt:lpstr>HIngeLogic</vt:lpstr>
      <vt:lpstr>HingeType</vt:lpstr>
      <vt:lpstr>HingeTypeList</vt:lpstr>
      <vt:lpstr>InteriorColor</vt:lpstr>
      <vt:lpstr>InteriorColorList</vt:lpstr>
      <vt:lpstr>LDHeight</vt:lpstr>
      <vt:lpstr>LeadIn</vt:lpstr>
      <vt:lpstr>MTLCode</vt:lpstr>
      <vt:lpstr>MTLCodeList</vt:lpstr>
      <vt:lpstr>NailerHeight</vt:lpstr>
      <vt:lpstr>OffsetX</vt:lpstr>
      <vt:lpstr>OMPPN</vt:lpstr>
      <vt:lpstr>Quantity</vt:lpstr>
      <vt:lpstr>Reveal</vt:lpstr>
      <vt:lpstr>Rotation</vt:lpstr>
      <vt:lpstr>ShelfBores</vt:lpstr>
      <vt:lpstr>ShelfGap</vt:lpstr>
      <vt:lpstr>ShelfSpacing</vt:lpstr>
      <vt:lpstr>ShelfThickness</vt:lpstr>
      <vt:lpstr>Start</vt:lpstr>
      <vt:lpstr>Thickness</vt:lpstr>
      <vt:lpstr>ToeKick</vt:lpstr>
      <vt:lpstr>ToolComp</vt:lpstr>
      <vt:lpstr>Variables</vt:lpstr>
      <vt:lpstr>Width</vt:lpstr>
      <vt:lpstr>WONumber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Stepp</dc:creator>
  <cp:lastModifiedBy>VKB_15</cp:lastModifiedBy>
  <dcterms:created xsi:type="dcterms:W3CDTF">2014-12-16T16:15:51Z</dcterms:created>
  <dcterms:modified xsi:type="dcterms:W3CDTF">2016-12-07T22:16:57Z</dcterms:modified>
</cp:coreProperties>
</file>