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9"/>
  <workbookPr defaultThemeVersion="166925"/>
  <xr:revisionPtr revIDLastSave="0" documentId="8_{D7ED5448-1B21-445C-949E-1E2FAB45982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6" i="1" l="1"/>
  <c r="C27" i="1" s="1"/>
  <c r="O11" i="1"/>
  <c r="C22" i="1"/>
  <c r="C21" i="1"/>
  <c r="C20" i="1"/>
  <c r="O9" i="1"/>
  <c r="O8" i="1"/>
  <c r="O7" i="1"/>
  <c r="C18" i="1"/>
  <c r="C17" i="1"/>
  <c r="C16" i="1"/>
  <c r="P11" i="1"/>
  <c r="B15" i="1"/>
  <c r="C38" i="1" l="1"/>
  <c r="C32" i="1"/>
  <c r="C33" i="1" s="1"/>
  <c r="L10" i="1"/>
  <c r="M11" i="1"/>
  <c r="N11" i="1"/>
  <c r="D39" i="1"/>
  <c r="C39" i="1"/>
  <c r="O10" i="1" s="1"/>
  <c r="C35" i="1" a="1"/>
  <c r="C35" i="1" s="1"/>
  <c r="P9" i="1" s="1"/>
  <c r="N9" i="1" s="1"/>
  <c r="C29" i="1" a="1"/>
  <c r="C29" i="1" s="1"/>
  <c r="P10" i="1" s="1"/>
  <c r="D29" i="1"/>
  <c r="C28" i="1" a="1"/>
  <c r="C28" i="1" s="1"/>
  <c r="N10" i="1" l="1"/>
  <c r="M10" i="1"/>
  <c r="P8" i="1"/>
  <c r="D35" i="1"/>
  <c r="L8" i="1"/>
  <c r="L7" i="1"/>
  <c r="P7" i="1"/>
  <c r="C34" i="1" a="1"/>
  <c r="C34" i="1" s="1"/>
  <c r="N8" i="1" l="1"/>
  <c r="M8" i="1"/>
  <c r="M9" i="1"/>
  <c r="N7" i="1"/>
  <c r="M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<sst xmlns="http://schemas.openxmlformats.org/spreadsheetml/2006/main" count="75" uniqueCount="63">
  <si>
    <t>Customer Expected Load:</t>
  </si>
  <si>
    <t>Assumption</t>
  </si>
  <si>
    <t>Value</t>
  </si>
  <si>
    <t>Unit</t>
  </si>
  <si>
    <t>Users should only modify values in ORANGE</t>
  </si>
  <si>
    <t>Number of Nodes sending data</t>
  </si>
  <si>
    <t>Frequency of Compliance Scan</t>
  </si>
  <si>
    <t>Per Hour</t>
  </si>
  <si>
    <t>Only after experimentation modify values in BLUE</t>
  </si>
  <si>
    <t>Final Hardware Requirements</t>
  </si>
  <si>
    <t>Frequency of Client runs (Infra runs)</t>
  </si>
  <si>
    <t>Frequency of Event Feed</t>
  </si>
  <si>
    <t>Instance</t>
  </si>
  <si>
    <t>Count</t>
  </si>
  <si>
    <t>vCPU</t>
  </si>
  <si>
    <t>RAM</t>
  </si>
  <si>
    <t>Storage Size</t>
  </si>
  <si>
    <t>AWS Machine Type</t>
  </si>
  <si>
    <t>Data Retention policy</t>
  </si>
  <si>
    <t>Days</t>
  </si>
  <si>
    <t>Chef Automate</t>
  </si>
  <si>
    <t>Chef Infra Server</t>
  </si>
  <si>
    <t>Compliance scan report size</t>
  </si>
  <si>
    <t>KB</t>
  </si>
  <si>
    <t>Postgresql DB</t>
  </si>
  <si>
    <t>Client Run (Infra run) size</t>
  </si>
  <si>
    <t>Opensearch DB</t>
  </si>
  <si>
    <t>Event Feed update size</t>
  </si>
  <si>
    <t>Bastion Machine</t>
  </si>
  <si>
    <t>No. of Shards in Opensearch Index</t>
  </si>
  <si>
    <t>*These are our recomendations, based on our experience and Opensearch suggestions.*</t>
  </si>
  <si>
    <t>Expected Max. Concurrency for Compliance Scans</t>
  </si>
  <si>
    <t xml:space="preserve"> requests per Minute</t>
  </si>
  <si>
    <t>Expected Max. Concurrency for Client Runs</t>
  </si>
  <si>
    <t>Expected Max. Concurrency for Event Feeds</t>
  </si>
  <si>
    <t>Processing Time for each Request of Compliance Scan</t>
  </si>
  <si>
    <t>Seconds</t>
  </si>
  <si>
    <t>Processing Time for each Request of Client Runs</t>
  </si>
  <si>
    <t>Processing Time for each Request of Event Feed</t>
  </si>
  <si>
    <t>Index size factor</t>
  </si>
  <si>
    <t>Hardware Requirements</t>
  </si>
  <si>
    <t>No. of Opensearch Nodes Needed</t>
  </si>
  <si>
    <t>Memory needed for each Opensearch Node</t>
  </si>
  <si>
    <t>GB</t>
  </si>
  <si>
    <t>Physical RAM in each Opensearch Node</t>
  </si>
  <si>
    <t>AWS Machine Type for Opensearch Nodes</t>
  </si>
  <si>
    <t>No. of Frontend Nodes</t>
  </si>
  <si>
    <t>No. vCPU for each Frontend Node</t>
  </si>
  <si>
    <t>Physical vCPU for each Frontend Node</t>
  </si>
  <si>
    <t>AWS Machine Type for Frontend Nodes</t>
  </si>
  <si>
    <t>Disk Space needed in each Opensearch Node</t>
  </si>
  <si>
    <t>Volume size needed in each Opensearch Node</t>
  </si>
  <si>
    <t>m5 - RAM</t>
  </si>
  <si>
    <t>Machine Type</t>
  </si>
  <si>
    <t>m5 - CPU</t>
  </si>
  <si>
    <t>m5.large</t>
  </si>
  <si>
    <t>m5.xlarge</t>
  </si>
  <si>
    <t>m5.2xlarge</t>
  </si>
  <si>
    <t>m5.4xlarge</t>
  </si>
  <si>
    <t>m5.8xlarge</t>
  </si>
  <si>
    <t>m5.12xlarge</t>
  </si>
  <si>
    <t>m5.16xlarge</t>
  </si>
  <si>
    <t>m5.24xlarge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</si>
</sst>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444444"/>
      <name val="Calibri"/>
      <family val="2"/>
      <charset val="1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5F8CED"/>
      <name val="Calibri"/>
      <family val="2"/>
      <charset val="1"/>
    </font>
    <font>
      <sz val="14"/>
      <color theme="1"/>
      <name val="Calibri"/>
      <family val="2"/>
      <scheme val="minor"/>
    </font>
    <font>
      <sz val="14"/>
      <color rgb="FF444444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C6E0B4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29">
    <xf numFmtId="0" fontId="0" fillId="0" borderId="0" xfId="0"/>
    <xf numFmtId="1" fontId="0" fillId="0" borderId="0" xfId="0" applyNumberFormat="1"/>
    <xf numFmtId="1" fontId="3" fillId="0" borderId="0" xfId="0" quotePrefix="1" applyNumberFormat="1" applyFont="1"/>
    <xf numFmtId="0" fontId="3" fillId="0" borderId="0" xfId="0" quotePrefix="1" applyFont="1"/>
    <xf numFmtId="164" fontId="0" fillId="0" borderId="0" xfId="0" applyNumberFormat="1"/>
    <xf numFmtId="0" fontId="0" fillId="2" borderId="0" xfId="0" applyFill="1"/>
    <xf numFmtId="0" fontId="3" fillId="2" borderId="0" xfId="0" quotePrefix="1" applyFont="1" applyFill="1"/>
    <xf numFmtId="0" fontId="4" fillId="0" borderId="0" xfId="0" applyFont="1"/>
    <xf numFmtId="0" fontId="5" fillId="4" borderId="0" xfId="0" applyFont="1" applyFill="1"/>
    <xf numFmtId="0" fontId="0" fillId="4" borderId="0" xfId="0" applyFill="1"/>
    <xf numFmtId="0" fontId="2" fillId="3" borderId="0" xfId="1"/>
    <xf numFmtId="0" fontId="6" fillId="5" borderId="0" xfId="0" applyFont="1" applyFill="1"/>
    <xf numFmtId="0" fontId="0" fillId="6" borderId="0" xfId="0" applyFill="1"/>
    <xf numFmtId="164" fontId="0" fillId="2" borderId="0" xfId="0" applyNumberFormat="1" applyFill="1"/>
    <xf numFmtId="0" fontId="8" fillId="0" borderId="0" xfId="0" applyFont="1"/>
    <xf numFmtId="0" fontId="9" fillId="0" borderId="0" xfId="0" applyFont="1"/>
    <xf numFmtId="0" fontId="10" fillId="0" borderId="0" xfId="0" quotePrefix="1" applyFont="1"/>
    <xf numFmtId="0" fontId="0" fillId="5" borderId="0" xfId="0" applyFill="1"/>
    <xf numFmtId="2" fontId="0" fillId="0" borderId="0" xfId="0" applyNumberFormat="1"/>
    <xf numFmtId="0" fontId="7" fillId="6" borderId="1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1" fillId="4" borderId="0" xfId="0" applyFont="1" applyFill="1"/>
  </cellXfs>
  <cellStyles count="2">
    <cellStyle name="40% - Accent6" xfId="1" builtinId="51"/>
    <cellStyle name="Normal" xfId="0" builtinId="0"/>
  </cellStyles>
  <dxfs count="10"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ill>
        <patternFill patternType="none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DCB646C-00D3-4E0B-B504-ACED912547AC}" name="Table4" displayName="Table4" ref="B2:D12" totalsRowShown="0">
  <autoFilter ref="B2:D12" xr:uid="{DDCB646C-00D3-4E0B-B504-ACED912547AC}"/>
  <tableColumns count="3">
    <tableColumn id="1" xr3:uid="{06F3A47A-CF4A-4D1E-8B0F-09FECA589725}" name="Assumption" dataDxfId="9"/>
    <tableColumn id="2" xr3:uid="{C7A0C812-F338-4335-B1D8-7DA52E57F419}" name="Value" dataDxfId="8"/>
    <tableColumn id="3" xr3:uid="{5B695932-D2D8-4B6B-A5EC-F6D0F7F98EA2}" name="Unit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4A21E4-093D-4BFA-ADA8-E666C35EC607}" name="Table1" displayName="Table1" ref="K6:P11" totalsRowShown="0" headerRowDxfId="7" dataDxfId="6">
  <autoFilter ref="K6:P11" xr:uid="{054A21E4-093D-4BFA-ADA8-E666C35EC607}"/>
  <tableColumns count="6">
    <tableColumn id="1" xr3:uid="{03A57A4B-DA81-42AE-9B56-003BB2A7C233}" name="Instance" dataDxfId="5"/>
    <tableColumn id="2" xr3:uid="{04F9BCD2-24DA-4BB4-B359-BB4A55A3E89F}" name="Count" dataDxfId="4"/>
    <tableColumn id="3" xr3:uid="{F1DADCC0-9C8A-40F4-A5ED-95112D79E40C}" name="vCPU" dataDxfId="3"/>
    <tableColumn id="4" xr3:uid="{1C50292D-99D9-4883-B47D-8EB77CBAC610}" name="RAM" dataDxfId="2"/>
    <tableColumn id="5" xr3:uid="{7EB15068-60ED-4A24-BD24-9FD6C4D9B745}" name="Storage Size" dataDxfId="1"/>
    <tableColumn id="6" xr3:uid="{77F8C8EF-281D-474D-AE47-AFF4007D0F58}" name="AWS Machine Type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tabSelected="1" workbookViewId="0">
      <selection activeCell="D9" sqref="D9"/>
    </sheetView>
  </sheetViews>
  <sheetFormatPr defaultRowHeight="15"/>
  <cols>
    <col min="2" max="2" width="43.7109375" customWidth="1"/>
    <col min="3" max="3" width="11.28515625" customWidth="1"/>
    <col min="4" max="4" width="20.7109375" customWidth="1"/>
    <col min="9" max="9" width="11.7109375" customWidth="1"/>
    <col min="10" max="10" width="17.28515625" customWidth="1"/>
    <col min="11" max="11" width="20.140625" customWidth="1"/>
    <col min="12" max="12" width="10.42578125" customWidth="1"/>
    <col min="13" max="13" width="15.140625" customWidth="1"/>
    <col min="14" max="14" width="9.28515625" bestFit="1" customWidth="1"/>
    <col min="15" max="15" width="17.42578125" customWidth="1"/>
    <col min="16" max="16" width="25.7109375" customWidth="1"/>
  </cols>
  <sheetData>
    <row r="1" spans="1:16" ht="23.25">
      <c r="A1" s="8" t="s">
        <v>0</v>
      </c>
      <c r="B1" s="9"/>
    </row>
    <row r="2" spans="1:16" ht="15.75">
      <c r="B2" t="s">
        <v>1</v>
      </c>
      <c r="C2" t="s">
        <v>2</v>
      </c>
      <c r="D2" t="s">
        <v>3</v>
      </c>
      <c r="G2" s="19" t="s">
        <v>4</v>
      </c>
      <c r="H2" s="20"/>
      <c r="I2" s="20"/>
      <c r="J2" s="21"/>
    </row>
    <row r="3" spans="1:16">
      <c r="B3" s="10" t="s">
        <v>5</v>
      </c>
      <c r="C3" s="12">
        <v>5000</v>
      </c>
    </row>
    <row r="4" spans="1:16" ht="21">
      <c r="B4" s="10" t="s">
        <v>6</v>
      </c>
      <c r="C4" s="12">
        <v>1</v>
      </c>
      <c r="D4" t="s">
        <v>7</v>
      </c>
      <c r="G4" s="22" t="s">
        <v>8</v>
      </c>
      <c r="H4" s="23"/>
      <c r="I4" s="23"/>
      <c r="J4" s="24"/>
      <c r="L4" s="25" t="s">
        <v>9</v>
      </c>
      <c r="M4" s="26"/>
      <c r="N4" s="26"/>
      <c r="O4" s="27"/>
    </row>
    <row r="5" spans="1:16">
      <c r="B5" s="10" t="s">
        <v>10</v>
      </c>
      <c r="C5" s="12">
        <v>1</v>
      </c>
      <c r="D5" t="s">
        <v>7</v>
      </c>
    </row>
    <row r="6" spans="1:16" ht="18.75">
      <c r="B6" s="28" t="s">
        <v>11</v>
      </c>
      <c r="C6" s="12">
        <v>1</v>
      </c>
      <c r="D6" t="s">
        <v>7</v>
      </c>
      <c r="K6" s="15" t="s">
        <v>12</v>
      </c>
      <c r="L6" s="15" t="s">
        <v>13</v>
      </c>
      <c r="M6" s="15" t="s">
        <v>14</v>
      </c>
      <c r="N6" s="15" t="s">
        <v>15</v>
      </c>
      <c r="O6" s="15" t="s">
        <v>16</v>
      </c>
      <c r="P6" s="15" t="s">
        <v>17</v>
      </c>
    </row>
    <row r="7" spans="1:16" ht="18.75">
      <c r="B7" s="10" t="s">
        <v>18</v>
      </c>
      <c r="C7" s="12">
        <v>1</v>
      </c>
      <c r="D7" t="s">
        <v>19</v>
      </c>
      <c r="K7" s="15" t="s">
        <v>20</v>
      </c>
      <c r="L7" s="15">
        <f>$C$32</f>
        <v>2</v>
      </c>
      <c r="M7" s="15">
        <f ca="1">$C$34</f>
        <v>2</v>
      </c>
      <c r="N7" s="15">
        <f ca="1">INDEX(Sheet2!$A$2:'Sheet2'!$A$9,MATCH($P$7,Sheet2!$B$2:'Sheet2'!$B$9,0))</f>
        <v>8</v>
      </c>
      <c r="O7" s="15" t="str">
        <f>_xlfn.CONCAT(MAX(80,MROUND(($C$3*10)/1024,10))," GB")</f>
        <v>80 GB</v>
      </c>
      <c r="P7" s="15" t="str">
        <f ca="1">$C$35</f>
        <v>m5.large</v>
      </c>
    </row>
    <row r="8" spans="1:16" ht="18.75">
      <c r="B8" s="10"/>
      <c r="K8" s="15" t="s">
        <v>21</v>
      </c>
      <c r="L8" s="15">
        <f>$C$32</f>
        <v>2</v>
      </c>
      <c r="M8" s="15">
        <f ca="1">$C$34</f>
        <v>2</v>
      </c>
      <c r="N8" s="15">
        <f ca="1">INDEX(Sheet2!$A$2:'Sheet2'!$A$9,MATCH($P$8,Sheet2!$B$2:'Sheet2'!$B$9,0))</f>
        <v>8</v>
      </c>
      <c r="O8" s="15" t="str">
        <f>_xlfn.CONCAT(MAX(80,MROUND(($C$3*10)/1024,10))," GB")</f>
        <v>80 GB</v>
      </c>
      <c r="P8" s="15" t="str">
        <f ca="1">$C$35</f>
        <v>m5.large</v>
      </c>
    </row>
    <row r="9" spans="1:16" ht="18.75">
      <c r="B9" s="10" t="s">
        <v>22</v>
      </c>
      <c r="C9" s="11">
        <v>400</v>
      </c>
      <c r="D9" t="s">
        <v>23</v>
      </c>
      <c r="K9" s="15" t="s">
        <v>24</v>
      </c>
      <c r="L9" s="15">
        <v>3</v>
      </c>
      <c r="M9" s="15">
        <f ca="1">$C$34</f>
        <v>2</v>
      </c>
      <c r="N9" s="16">
        <f ca="1">INDEX(Sheet2!$A$2:'Sheet2'!$A$9,MATCH($P$9,Sheet2!$B$2:'Sheet2'!$B$9,0))</f>
        <v>8</v>
      </c>
      <c r="O9" s="15" t="str">
        <f>_xlfn.CONCAT(MAX(150,MROUND(($C$3*20)/1024,10))," GB")</f>
        <v>150 GB</v>
      </c>
      <c r="P9" s="16" t="str">
        <f ca="1">$C$35</f>
        <v>m5.large</v>
      </c>
    </row>
    <row r="10" spans="1:16" ht="18.75">
      <c r="B10" s="10" t="s">
        <v>25</v>
      </c>
      <c r="C10" s="11">
        <v>300</v>
      </c>
      <c r="D10" t="s">
        <v>23</v>
      </c>
      <c r="K10" s="15" t="s">
        <v>26</v>
      </c>
      <c r="L10" s="15">
        <f>$C$26</f>
        <v>3</v>
      </c>
      <c r="M10" s="15">
        <f ca="1">INDEX(Sheet2!$C$2:'Sheet2'!$C$9,MATCH($P$10,Sheet2!$B$2:'Sheet2'!$B$9,0))</f>
        <v>2</v>
      </c>
      <c r="N10" s="15">
        <f ca="1">INDEX(Sheet2!$A$2:'Sheet2'!$A$9,MATCH($P$10,Sheet2!$B$2:'Sheet2'!$B$9,0))</f>
        <v>8</v>
      </c>
      <c r="O10" s="15" t="str">
        <f>_xlfn.CONCAT(ROUND($C$39,1)," ",$D$39)</f>
        <v>58.9 GB</v>
      </c>
      <c r="P10" s="15" t="str">
        <f ca="1">$C$29</f>
        <v>m5.large</v>
      </c>
    </row>
    <row r="11" spans="1:16" ht="18.75">
      <c r="B11" s="28" t="s">
        <v>27</v>
      </c>
      <c r="C11" s="17">
        <v>2</v>
      </c>
      <c r="D11" t="s">
        <v>23</v>
      </c>
      <c r="K11" s="15" t="s">
        <v>28</v>
      </c>
      <c r="L11" s="15">
        <v>1</v>
      </c>
      <c r="M11" s="15">
        <f ca="1">INDEX(Sheet2!$C$2:'Sheet2'!$C$9,MATCH($P$11,Sheet2!$B$2:'Sheet2'!$B$9,0))</f>
        <v>2</v>
      </c>
      <c r="N11" s="15">
        <f ca="1">INDEX(Sheet2!$A$2:'Sheet2'!$A$9,MATCH($P$11,Sheet2!$B$2:'Sheet2'!$B$9,0))</f>
        <v>8</v>
      </c>
      <c r="O11" s="15" t="str">
        <f>_xlfn.CONCAT(MAX(150,MROUND(($C$3*20*1.2)/1024,10))," GB")</f>
        <v>150 GB</v>
      </c>
      <c r="P11" s="15" t="str">
        <f>Sheet2!B2</f>
        <v>m5.large</v>
      </c>
    </row>
    <row r="12" spans="1:16">
      <c r="B12" s="10" t="s">
        <v>29</v>
      </c>
      <c r="C12" s="11">
        <v>2</v>
      </c>
    </row>
    <row r="14" spans="1:16">
      <c r="L14" t="s">
        <v>30</v>
      </c>
    </row>
    <row r="15" spans="1:16">
      <c r="B15" t="str">
        <f xml:space="preserve"> _xlfn.CONCAT("All Scans should be run staggered i.e. spread out in a period of ",IF($D$5="Per Hour",60/$C$5,24/$C$5), IF($D$5="Per Hour"," minutes", " hours"))</f>
        <v>All Scans should be run staggered i.e. spread out in a period of 60 minutes</v>
      </c>
    </row>
    <row r="16" spans="1:16">
      <c r="B16" t="s">
        <v>31</v>
      </c>
      <c r="C16" s="1">
        <f>$C$3/IF($D$4="Per Hour",(60/$C$4)*0.5,(24/$C$4)*60*0.5)</f>
        <v>166.66666666666666</v>
      </c>
      <c r="D16" t="s">
        <v>32</v>
      </c>
    </row>
    <row r="17" spans="2:4">
      <c r="B17" t="s">
        <v>33</v>
      </c>
      <c r="C17" s="2">
        <f>$C$3/IF($D$5="Per Hour",(60/$C$5)*0.5,(24/$C$5)*60*0.5)</f>
        <v>166.66666666666666</v>
      </c>
      <c r="D17" t="s">
        <v>32</v>
      </c>
    </row>
    <row r="18" spans="2:4">
      <c r="B18" t="s">
        <v>34</v>
      </c>
      <c r="C18" s="1">
        <f>$C$3/IF($D$6="Per Hour",(60/$C$6)*0.5,(24/$C$6)*60*0.5)</f>
        <v>166.66666666666666</v>
      </c>
      <c r="D18" t="s">
        <v>32</v>
      </c>
    </row>
    <row r="20" spans="2:4">
      <c r="B20" t="s">
        <v>35</v>
      </c>
      <c r="C20" s="18">
        <f>MAX(0.2,IF($D$9="MB",$C$9*1024,$C$9)/2500)</f>
        <v>0.2</v>
      </c>
      <c r="D20" t="s">
        <v>36</v>
      </c>
    </row>
    <row r="21" spans="2:4">
      <c r="B21" t="s">
        <v>37</v>
      </c>
      <c r="C21">
        <f>MAX(0.2,IF($D$10="MB",$C$10*1024,$C$10)/2500)</f>
        <v>0.2</v>
      </c>
      <c r="D21" t="s">
        <v>36</v>
      </c>
    </row>
    <row r="22" spans="2:4">
      <c r="B22" t="s">
        <v>38</v>
      </c>
      <c r="C22">
        <f>MAX(0.2,IF($D$11="MB",$C$11*1024,$C$11)/2500)</f>
        <v>0.2</v>
      </c>
      <c r="D22" t="s">
        <v>36</v>
      </c>
    </row>
    <row r="23" spans="2:4">
      <c r="B23" t="s">
        <v>39</v>
      </c>
      <c r="C23">
        <v>0.3</v>
      </c>
    </row>
    <row r="25" spans="2:4" ht="21">
      <c r="B25" s="7" t="s">
        <v>40</v>
      </c>
    </row>
    <row r="26" spans="2:4">
      <c r="B26" s="5" t="s">
        <v>41</v>
      </c>
      <c r="C26" s="6">
        <f>MAX(3,ODD((IF($D$4="Per Hour",$C$4*24,$C$4)*$C$9*$C$3*$C$23/IF($D$9="MB",1,1024))/1024/32),ODD((IF($D$5="Per Hour",$C$5*24,$C$5)*$C$10*$C$3*$C$23/IF($D$10="MB",1,1024))/1024/32),ODD((IF($D$5="Per Hour",$C$5*24,$C$5)*$C$11*$C$3*$C$23/IF($D$11="MB",1,1024))/1024/32))</f>
        <v>3</v>
      </c>
      <c r="D26" s="3"/>
    </row>
    <row r="27" spans="2:4">
      <c r="B27" t="s">
        <v>42</v>
      </c>
      <c r="C27" s="4">
        <f>(MAX((IF($D$4="Per Hour",$C$4*24,$C$4)*$C$9*$C$3*$C$23/IF($D$9="MB",1,1024)/1024),(IF($D$5="Per Hour",$C$5*24,$C$5)*$C$10*$C$3*$C$23/IF($D$10="MB",1,1024)/1024),(IF($D$6="Per Hour",$C$6*24,$C$6)*$C$11*$C$3*$C$23/IF($D$11="MB",1,1024)/1024))/$C$26)*1.3*1.5</f>
        <v>8.9263916015625</v>
      </c>
      <c r="D27" t="s">
        <v>43</v>
      </c>
    </row>
    <row r="28" spans="2:4">
      <c r="B28" s="5" t="s">
        <v>44</v>
      </c>
      <c r="C28" s="5" cm="1">
        <f t="array" aca="1" ref="C28" ca="1">INDEX(Sheet2!A2:'Sheet2'!A9,MATCH(MIN(ABS(Sheet2!A2:'Sheet2'!A9-$C$27)),ABS(Sheet2!A2:'Sheet2'!A9-$C$27),0))</f>
        <v>8</v>
      </c>
      <c r="D28" s="5" t="s">
        <v>43</v>
      </c>
    </row>
    <row r="29" spans="2:4">
      <c r="B29" s="5" t="s">
        <v>45</v>
      </c>
      <c r="C29" s="5" t="str" cm="1">
        <f t="array" aca="1" ref="C29" ca="1">INDEX(Sheet2!$B$2:'Sheet2'!$B$9,MATCH(MIN(ABS(Sheet2!$A$2:'Sheet2'!$A$9-$C$27)),ABS(Sheet2!$A$2:'Sheet2'!$A$9-$C$27),0))</f>
        <v>m5.large</v>
      </c>
      <c r="D29" s="5" t="str">
        <f>_xlfn.CONCAT("   ",$C$26," number of nodes")</f>
        <v xml:space="preserve">   3 number of nodes</v>
      </c>
    </row>
    <row r="32" spans="2:4">
      <c r="B32" s="5" t="s">
        <v>46</v>
      </c>
      <c r="C32" s="5">
        <f>MAX(2,ROUND(((($C$16*$C$20)+($C$17*$C$21)+($C$18*$C$22))/60/2/8),0))</f>
        <v>2</v>
      </c>
    </row>
    <row r="33" spans="2:7">
      <c r="B33" t="s">
        <v>47</v>
      </c>
      <c r="C33" s="4">
        <f>((($C$16/60)*$C$20)+(($C$17/60)/$C$21)+(($C$18/60)*$C$22))/($C$32*4)</f>
        <v>1.8749999999999998</v>
      </c>
      <c r="D33" t="s">
        <v>14</v>
      </c>
    </row>
    <row r="34" spans="2:7">
      <c r="B34" s="5" t="s">
        <v>48</v>
      </c>
      <c r="C34" s="5" cm="1">
        <f t="array" aca="1" ref="C34" ca="1">INDEX(Sheet2!C2:'Sheet2'!C9,MATCH(MIN(ABS(Sheet2!C2:'Sheet2'!C9-$C$33)),ABS(Sheet2!C2:'Sheet2'!C9-$C$33),0))</f>
        <v>2</v>
      </c>
      <c r="D34" s="5" t="s">
        <v>14</v>
      </c>
    </row>
    <row r="35" spans="2:7">
      <c r="B35" s="5" t="s">
        <v>49</v>
      </c>
      <c r="C35" s="5" t="str" cm="1">
        <f t="array" aca="1" ref="C35" ca="1">INDEX(Sheet2!$B$2:'Sheet2'!$B$9,MATCH(MIN(ABS(Sheet2!$C$2:'Sheet2'!$C$9-$C$33)),ABS(Sheet2!$C$2:'Sheet2'!$C$9-$C$33),0))</f>
        <v>m5.large</v>
      </c>
      <c r="D35" s="5" t="str">
        <f>_xlfn.CONCAT("   ",$C$32," number of nodes")</f>
        <v xml:space="preserve">   2 number of nodes</v>
      </c>
    </row>
    <row r="38" spans="2:7">
      <c r="B38" t="s">
        <v>50</v>
      </c>
      <c r="C38" s="4">
        <f>(((($C$7*IF($D$9="MB",$C$9,$C$9/1024)*IF($D$4="Per Day",$C$4,$C$4*24)*$C$3*$C$12) + ($C$7*IF($D$10="MB",$C$10,$C$10/1024)*IF($D$5="Per Day",$C$5,$C$5*24)*$C$3*$C$12) + ($C$7*IF($D$11="MB",$C$11,$C$11/1024)*IF($D$6="Per Day",$C$6,$C$6*24)*$C$3*$C$12))/1024)*1.1)/$C$26</f>
        <v>58.914184570312507</v>
      </c>
      <c r="D38" t="s">
        <v>43</v>
      </c>
      <c r="F38" s="14"/>
      <c r="G38" s="14"/>
    </row>
    <row r="39" spans="2:7">
      <c r="B39" s="5" t="s">
        <v>51</v>
      </c>
      <c r="C39" s="13">
        <f>IF($C$38&gt;1024,$C$38/1024,$C$38)</f>
        <v>58.914184570312507</v>
      </c>
      <c r="D39" s="5" t="str">
        <f>IF($C$38&gt;1024,"TB","GB")</f>
        <v>GB</v>
      </c>
    </row>
  </sheetData>
  <sheetProtection sheet="1" objects="1" scenarios="1"/>
  <protectedRanges>
    <protectedRange sqref="C3:D12" name="Range1"/>
  </protectedRanges>
  <mergeCells count="3">
    <mergeCell ref="G2:J2"/>
    <mergeCell ref="G4:J4"/>
    <mergeCell ref="L4:O4"/>
  </mergeCells>
  <dataValidations count="12">
    <dataValidation type="list" showInputMessage="1" showErrorMessage="1" sqref="D9:D11" xr:uid="{3F9CC802-860F-476F-9E8C-ABA15EB1CF86}">
      <formula1>"MB, KB"</formula1>
    </dataValidation>
    <dataValidation type="whole" showInputMessage="1" showErrorMessage="1" sqref="C3" xr:uid="{AEC682B1-8F5E-41A0-A95D-292E3CD39FD4}">
      <formula1>1</formula1>
      <formula2>200000</formula2>
    </dataValidation>
    <dataValidation type="whole" allowBlank="1" showInputMessage="1" showErrorMessage="1" sqref="C9:C10" xr:uid="{8BFEB313-1546-44CE-9E69-CABFE37F051C}">
      <formula1>1</formula1>
      <formula2>1024</formula2>
    </dataValidation>
    <dataValidation type="list" showInputMessage="1" showErrorMessage="1" sqref="D7" xr:uid="{258FE3BD-16BE-4F09-8F40-509331A214EA}">
      <formula1>"Days"</formula1>
    </dataValidation>
    <dataValidation type="whole" showInputMessage="1" showErrorMessage="1" sqref="C7" xr:uid="{1C4EAFE6-0CF2-4CBA-A442-6CA36E11C9C0}">
      <formula1>1</formula1>
      <formula2>365</formula2>
    </dataValidation>
    <dataValidation type="decimal" showInputMessage="1" showErrorMessage="1" sqref="C20:C23" xr:uid="{1EADBC76-1A1A-41AD-B45A-285108F46690}">
      <formula1>0.0001</formula1>
      <formula2>100</formula2>
    </dataValidation>
    <dataValidation type="list" showInputMessage="1" showErrorMessage="1" sqref="D20:D23" xr:uid="{11FC42D2-7ABB-4A80-A8D9-84F38C6E10A8}">
      <formula1>"Seconds"</formula1>
    </dataValidation>
    <dataValidation type="whole" showInputMessage="1" showErrorMessage="1" sqref="C12" xr:uid="{07BE887B-0B2F-49B4-8EDA-DF441BD31A0E}">
      <formula1>1</formula1>
      <formula2>5</formula2>
    </dataValidation>
    <dataValidation type="whole" allowBlank="1" showInputMessage="1" showErrorMessage="1" sqref="C9:C10 C4:C5" xr:uid="{EA4BC509-8784-4E6C-8111-83A3B4B8C7D4}">
      <formula1>1</formula1>
      <formula2>100</formula2>
    </dataValidation>
    <dataValidation type="list" showInputMessage="1" showErrorMessage="1" sqref="D9:D10 D4:D5" xr:uid="{176EEC33-3ADE-4262-9DB0-DEB98E55882B}">
      <formula1>"Per Day, Per Hour"</formula1>
    </dataValidation>
    <dataValidation type="list" showInputMessage="1" showErrorMessage="1" sqref="D6" xr:uid="{0A59C82B-403A-43E6-B034-F838ACECA807}">
      <formula1>"Per Hour, Per Day"</formula1>
    </dataValidation>
    <dataValidation type="decimal" showInputMessage="1" showErrorMessage="1" sqref="C11" xr:uid="{BB28DE5A-016B-412A-81CF-C2EEF0876B85}">
      <formula1>0.0001</formula1>
      <formula2>1024</formula2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6FCE6-4241-4132-B2B9-C7A78358DBFB}">
  <dimension ref="A1:C9"/>
  <sheetViews>
    <sheetView workbookViewId="0">
      <selection activeCell="C3" sqref="C3"/>
    </sheetView>
  </sheetViews>
  <sheetFormatPr defaultRowHeight="15"/>
  <sheetData>
    <row r="1" spans="1:3">
      <c r="A1" t="s">
        <v>52</v>
      </c>
      <c r="B1" t="s">
        <v>53</v>
      </c>
      <c r="C1" t="s">
        <v>54</v>
      </c>
    </row>
    <row r="2" spans="1:3">
      <c r="A2">
        <v>8</v>
      </c>
      <c r="B2" t="s">
        <v>55</v>
      </c>
      <c r="C2">
        <v>2</v>
      </c>
    </row>
    <row r="3" spans="1:3">
      <c r="A3">
        <v>16</v>
      </c>
      <c r="B3" t="s">
        <v>56</v>
      </c>
      <c r="C3">
        <v>4</v>
      </c>
    </row>
    <row r="4" spans="1:3">
      <c r="A4">
        <v>32</v>
      </c>
      <c r="B4" t="s">
        <v>57</v>
      </c>
      <c r="C4">
        <v>8</v>
      </c>
    </row>
    <row r="5" spans="1:3">
      <c r="A5">
        <v>64</v>
      </c>
      <c r="B5" t="s">
        <v>58</v>
      </c>
      <c r="C5">
        <v>16</v>
      </c>
    </row>
    <row r="6" spans="1:3">
      <c r="A6">
        <v>128</v>
      </c>
      <c r="B6" t="s">
        <v>59</v>
      </c>
      <c r="C6">
        <v>32</v>
      </c>
    </row>
    <row r="7" spans="1:3">
      <c r="A7">
        <v>192</v>
      </c>
      <c r="B7" t="s">
        <v>60</v>
      </c>
      <c r="C7">
        <v>48</v>
      </c>
    </row>
    <row r="8" spans="1:3">
      <c r="A8">
        <v>256</v>
      </c>
      <c r="B8" t="s">
        <v>61</v>
      </c>
      <c r="C8">
        <v>64</v>
      </c>
    </row>
    <row r="9" spans="1:3">
      <c r="A9">
        <v>384</v>
      </c>
      <c r="B9" t="s">
        <v>62</v>
      </c>
      <c r="C9">
        <v>96</v>
      </c>
    </row>
  </sheetData>
  <sheetProtection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27FAE51E038C41BAD01F89945E9328" ma:contentTypeVersion="21" ma:contentTypeDescription="Create a new document." ma:contentTypeScope="" ma:versionID="794a841236f158cc08bab6d8dae19bba">
  <xsd:schema xmlns:xsd="http://www.w3.org/2001/XMLSchema" xmlns:xs="http://www.w3.org/2001/XMLSchema" xmlns:p="http://schemas.microsoft.com/office/2006/metadata/properties" xmlns:ns2="5712601c-4137-4c53-ac8c-2395ac8d0b4e" xmlns:ns3="77bfaf30-28d1-46cd-bb4b-b6e7f7a97e42" xmlns:ns4="0dfb052e-cb13-4d19-82cf-940ca1bb85b7" targetNamespace="http://schemas.microsoft.com/office/2006/metadata/properties" ma:root="true" ma:fieldsID="cd6e02a022e236667f2c94c6418cf3af" ns2:_="" ns3:_="" ns4:_="">
    <xsd:import namespace="5712601c-4137-4c53-ac8c-2395ac8d0b4e"/>
    <xsd:import namespace="77bfaf30-28d1-46cd-bb4b-b6e7f7a97e42"/>
    <xsd:import namespace="0dfb052e-cb13-4d19-82cf-940ca1bb85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ebco" minOccurs="0"/>
                <xsd:element ref="ns2:MediaServiceLocation" minOccurs="0"/>
                <xsd:element ref="ns2:MediaLengthInSeconds" minOccurs="0"/>
                <xsd:element ref="ns4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2601c-4137-4c53-ac8c-2395ac8d0b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ebco" ma:index="19" nillable="true" ma:displayName="Text" ma:internalName="ebco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c28caf4e-97a5-482b-b76c-1611355cdda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bfaf30-28d1-46cd-bb4b-b6e7f7a97e4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fb052e-cb13-4d19-82cf-940ca1bb85b7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c2df8fae-6802-48ab-9366-e8143c4e3961}" ma:internalName="TaxCatchAll" ma:showField="CatchAllData" ma:web="77bfaf30-28d1-46cd-bb4b-b6e7f7a97e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712601c-4137-4c53-ac8c-2395ac8d0b4e">
      <Terms xmlns="http://schemas.microsoft.com/office/infopath/2007/PartnerControls"/>
    </lcf76f155ced4ddcb4097134ff3c332f>
    <ebco xmlns="5712601c-4137-4c53-ac8c-2395ac8d0b4e" xsi:nil="true"/>
    <TaxCatchAll xmlns="0dfb052e-cb13-4d19-82cf-940ca1bb85b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DCFC80-DE31-4D62-BE6F-AEE54BCB3A5D}"/>
</file>

<file path=customXml/itemProps2.xml><?xml version="1.0" encoding="utf-8"?>
<ds:datastoreItem xmlns:ds="http://schemas.openxmlformats.org/officeDocument/2006/customXml" ds:itemID="{23643DB7-AF00-4C10-B696-5877E2243C0A}"/>
</file>

<file path=customXml/itemProps3.xml><?xml version="1.0" encoding="utf-8"?>
<ds:datastoreItem xmlns:ds="http://schemas.openxmlformats.org/officeDocument/2006/customXml" ds:itemID="{14702B79-0641-4C37-B714-6CDAE45636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2022-06-04T12:49:08Z</dcterms:created>
  <dcterms:modified xsi:type="dcterms:W3CDTF">2022-06-14T09:56:04Z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0x010100AF27FAE51E038C41BAD01F89945E9328</vt:lpwstr>
  </property>
  <property fmtid="{D5CDD505-2E9C-101B-9397-08002B2CF9AE}" pid="3" name="MediaServiceImageTags">
    <vt:lpwstr/>
  </property>
</Properties>
</file>