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mc:AlternateContent xmlns:mc="http://schemas.openxmlformats.org/markup-compatibility/2006">
    <mc:Choice Requires="x15">
      <x15ac:absPath xmlns:x15ac="http://schemas.microsoft.com/office/spreadsheetml/2010/11/ac" url="C:\Users\felix\Documents\AI4Good\AI4Good\final_documents\"/>
    </mc:Choice>
  </mc:AlternateContent>
  <xr:revisionPtr revIDLastSave="0" documentId="13_ncr:1_{64863F3D-A936-4D86-A93E-E8CC6CBEE510}" xr6:coauthVersionLast="47" xr6:coauthVersionMax="47" xr10:uidLastSave="{00000000-0000-0000-0000-000000000000}"/>
  <bookViews>
    <workbookView xWindow="-93" yWindow="-93" windowWidth="21520" windowHeight="12800" xr2:uid="{00000000-000D-0000-FFFF-FFFF00000000}"/>
  </bookViews>
  <sheets>
    <sheet name="Assessment" sheetId="1" r:id="rId1"/>
  </sheets>
  <definedNames>
    <definedName name="_xlnm.Print_Area" localSheetId="0">Assessment!$A$1:$P$56</definedName>
  </definedNames>
  <calcPr calcId="181029"/>
  <fileRecoveryPr autoRecover="0"/>
</workbook>
</file>

<file path=xl/calcChain.xml><?xml version="1.0" encoding="utf-8"?>
<calcChain xmlns="http://schemas.openxmlformats.org/spreadsheetml/2006/main">
  <c r="E23" i="1" l="1"/>
  <c r="E22" i="1"/>
  <c r="H37" i="1"/>
  <c r="I50" i="1"/>
  <c r="P50" i="1" s="1"/>
  <c r="H50" i="1"/>
  <c r="H45" i="1"/>
  <c r="I41" i="1"/>
  <c r="P41" i="1" s="1"/>
  <c r="H41" i="1"/>
  <c r="I40" i="1"/>
  <c r="H40" i="1"/>
  <c r="G37" i="1"/>
  <c r="I37" i="1"/>
  <c r="I32" i="1"/>
  <c r="P32" i="1" s="1"/>
  <c r="I31" i="1"/>
  <c r="P31" i="1" s="1"/>
  <c r="I29" i="1"/>
  <c r="G29" i="1"/>
  <c r="H29" i="1"/>
  <c r="J30" i="1"/>
  <c r="J38" i="1"/>
  <c r="J54" i="1"/>
  <c r="I54" i="1"/>
  <c r="P54" i="1" s="1"/>
  <c r="I53" i="1"/>
  <c r="G53" i="1"/>
  <c r="G44" i="1"/>
  <c r="G41" i="1"/>
  <c r="H23" i="1"/>
  <c r="H22" i="1"/>
  <c r="H21" i="1"/>
  <c r="H20" i="1"/>
  <c r="E21" i="1"/>
  <c r="G54" i="1"/>
  <c r="I44" i="1"/>
  <c r="G55" i="1"/>
  <c r="H54" i="1"/>
  <c r="G51" i="1"/>
  <c r="H43" i="1"/>
  <c r="I42" i="1"/>
  <c r="I36" i="1"/>
  <c r="P36" i="1" s="1"/>
  <c r="H36" i="1"/>
  <c r="G36" i="1"/>
  <c r="H32" i="1"/>
  <c r="G32" i="1"/>
  <c r="H31" i="1"/>
  <c r="J55" i="1"/>
  <c r="I55" i="1"/>
  <c r="P55" i="1" s="1"/>
  <c r="H55" i="1"/>
  <c r="H53" i="1"/>
  <c r="J51" i="1"/>
  <c r="I51" i="1"/>
  <c r="P51" i="1" s="1"/>
  <c r="H51" i="1"/>
  <c r="G50" i="1"/>
  <c r="I48" i="1"/>
  <c r="H48" i="1"/>
  <c r="G48" i="1"/>
  <c r="I45" i="1"/>
  <c r="G45" i="1"/>
  <c r="J44" i="1"/>
  <c r="H44" i="1"/>
  <c r="J43" i="1"/>
  <c r="I43" i="1"/>
  <c r="G43" i="1"/>
  <c r="H42" i="1"/>
  <c r="G42" i="1"/>
  <c r="G40" i="1"/>
  <c r="I38" i="1"/>
  <c r="H38" i="1"/>
  <c r="G38" i="1"/>
  <c r="I35" i="1"/>
  <c r="H35" i="1"/>
  <c r="G35" i="1"/>
  <c r="I34" i="1"/>
  <c r="H34" i="1"/>
  <c r="G34" i="1"/>
  <c r="G31" i="1"/>
  <c r="I30" i="1"/>
  <c r="H30" i="1"/>
  <c r="G30" i="1"/>
  <c r="E24" i="1" l="1"/>
  <c r="M21" i="1" s="1"/>
  <c r="F51" i="1"/>
  <c r="L51" i="1" s="1"/>
  <c r="F29" i="1"/>
  <c r="L29" i="1" s="1"/>
  <c r="P29" i="1"/>
  <c r="F30" i="1"/>
  <c r="L30" i="1" s="1"/>
  <c r="G47" i="1"/>
  <c r="I21" i="1"/>
  <c r="I22" i="1"/>
  <c r="I23" i="1"/>
  <c r="I20" i="1"/>
  <c r="L21" i="1" l="1"/>
  <c r="B19" i="1"/>
  <c r="I47" i="1"/>
  <c r="H47" i="1"/>
  <c r="P44" i="1" l="1"/>
  <c r="P30" i="1" l="1"/>
  <c r="P34" i="1"/>
  <c r="P35" i="1"/>
  <c r="P37" i="1"/>
  <c r="P38" i="1"/>
  <c r="P40" i="1"/>
  <c r="P42" i="1"/>
  <c r="P43" i="1"/>
  <c r="P45" i="1"/>
  <c r="P47" i="1"/>
  <c r="P48" i="1"/>
  <c r="P53" i="1"/>
  <c r="F55" i="1" l="1"/>
  <c r="L55" i="1" s="1"/>
  <c r="F54" i="1"/>
  <c r="L54" i="1" s="1"/>
  <c r="B54" i="1"/>
  <c r="B55" i="1" s="1"/>
  <c r="F53" i="1"/>
  <c r="L53" i="1" s="1"/>
  <c r="B51" i="1"/>
  <c r="F50" i="1"/>
  <c r="L50" i="1" s="1"/>
  <c r="F48" i="1"/>
  <c r="L48" i="1" s="1"/>
  <c r="B48" i="1"/>
  <c r="F47" i="1"/>
  <c r="L47" i="1" s="1"/>
  <c r="F45" i="1"/>
  <c r="L45" i="1" s="1"/>
  <c r="F44" i="1"/>
  <c r="L44" i="1" s="1"/>
  <c r="F43" i="1"/>
  <c r="L43" i="1" s="1"/>
  <c r="F42" i="1"/>
  <c r="L42" i="1" s="1"/>
  <c r="F41" i="1"/>
  <c r="L41" i="1" s="1"/>
  <c r="B41" i="1"/>
  <c r="B42" i="1" s="1"/>
  <c r="B43" i="1" s="1"/>
  <c r="B44" i="1" s="1"/>
  <c r="B45" i="1" s="1"/>
  <c r="F40" i="1"/>
  <c r="L40" i="1" s="1"/>
  <c r="F38" i="1"/>
  <c r="L38" i="1" s="1"/>
  <c r="F37" i="1"/>
  <c r="L37" i="1" s="1"/>
  <c r="F36" i="1"/>
  <c r="L36" i="1" s="1"/>
  <c r="F35" i="1"/>
  <c r="L35" i="1" s="1"/>
  <c r="B35" i="1"/>
  <c r="B36" i="1" s="1"/>
  <c r="B37" i="1" s="1"/>
  <c r="B38" i="1" s="1"/>
  <c r="F34" i="1"/>
  <c r="L34" i="1" s="1"/>
  <c r="F32" i="1"/>
  <c r="L32" i="1" s="1"/>
  <c r="F31" i="1"/>
  <c r="L31" i="1" s="1"/>
  <c r="B30" i="1"/>
  <c r="B31" i="1" s="1"/>
  <c r="B32" i="1" s="1"/>
  <c r="K30" i="1" l="1"/>
  <c r="K50" i="1"/>
  <c r="K51" i="1" s="1"/>
  <c r="K47" i="1"/>
  <c r="K42" i="1"/>
  <c r="K43" i="1" s="1"/>
  <c r="K36" i="1"/>
  <c r="K37" i="1" s="1"/>
  <c r="K53" i="1"/>
  <c r="K54" i="1" s="1"/>
  <c r="R21" i="1" l="1"/>
  <c r="K29" i="1"/>
  <c r="K32" i="1"/>
  <c r="K46" i="1"/>
  <c r="K48" i="1"/>
  <c r="K49" i="1"/>
  <c r="K35" i="1"/>
  <c r="K34" i="1" s="1"/>
  <c r="K41" i="1"/>
  <c r="K40" i="1" s="1"/>
  <c r="K52" i="1"/>
  <c r="K55" i="1"/>
  <c r="K44" i="1"/>
  <c r="K38" i="1"/>
  <c r="K31" i="1"/>
  <c r="K28" i="1" s="1"/>
  <c r="K45" i="1" l="1"/>
  <c r="K39" i="1"/>
  <c r="K33" i="1"/>
</calcChain>
</file>

<file path=xl/sharedStrings.xml><?xml version="1.0" encoding="utf-8"?>
<sst xmlns="http://schemas.openxmlformats.org/spreadsheetml/2006/main" count="186" uniqueCount="153">
  <si>
    <t>Self-Assessment Form</t>
  </si>
  <si>
    <t>Version 3.0</t>
  </si>
  <si>
    <t>Project Title</t>
  </si>
  <si>
    <t>Public good</t>
  </si>
  <si>
    <t>Validity</t>
  </si>
  <si>
    <t>Public Views</t>
  </si>
  <si>
    <t>Project Timeline</t>
  </si>
  <si>
    <t>Please provide some details about your project timeline (e.g. start date, end date, any key dates for dissemination activities)</t>
  </si>
  <si>
    <t>This research will provide a significant public good in line with best practice guidance</t>
  </si>
  <si>
    <t>Confidence that the methods used, and quality of data will lead to valid conclusions</t>
  </si>
  <si>
    <t>The public is widely supportive of the project aim and  method</t>
  </si>
  <si>
    <t>Potential to achieve public good which requires further exploration</t>
  </si>
  <si>
    <t>There is limited confidence/it is unsure whether the methods used, and quality of data will lead to valid conclusions</t>
  </si>
  <si>
    <t>There is limited support of the project aim and methods from the public</t>
  </si>
  <si>
    <t>Negligible public good that is not in line with best practice guidance</t>
  </si>
  <si>
    <t>Potential that methods used, and quality of data may/will lead to invalid conclusions</t>
  </si>
  <si>
    <t>The public’s views of the project aims, and method are negative or unknown</t>
  </si>
  <si>
    <t>Project Purpose</t>
  </si>
  <si>
    <t>Please provide a detailed description of your project’s research aims/questions including project partners and sponsors</t>
  </si>
  <si>
    <t>Population Coverage</t>
  </si>
  <si>
    <t>Standards</t>
  </si>
  <si>
    <t>Public engagement</t>
  </si>
  <si>
    <t>When completing the purpose and overview boxes please provide a level of detail that would enable someone not familiar with the project to understand the aims of your project and how it is being undertaken</t>
  </si>
  <si>
    <t>Public good applicable to entire population</t>
  </si>
  <si>
    <t>The research organisation has established and tested procedures, and complies with recognised standards</t>
  </si>
  <si>
    <t>The research involves regular engagement with the public and/or stakeholders</t>
  </si>
  <si>
    <r>
      <t>Societal benefits </t>
    </r>
    <r>
      <rPr>
        <b/>
        <sz val="11"/>
        <color rgb="FF000000"/>
        <rFont val="Calibri"/>
        <family val="2"/>
        <scheme val="minor"/>
      </rPr>
      <t>might</t>
    </r>
    <r>
      <rPr>
        <sz val="11"/>
        <color rgb="FF000000"/>
        <rFont val="Calibri"/>
        <family val="2"/>
        <scheme val="minor"/>
      </rPr>
      <t> be limited to certain groups/areas</t>
    </r>
  </si>
  <si>
    <t>There is limited confidence/it is not clear whether the organisation has established and tested procedures, and complies with recognised standards</t>
  </si>
  <si>
    <t>The research involves some engagement, though it is not regular throughout the research project</t>
  </si>
  <si>
    <t>Research Overview</t>
  </si>
  <si>
    <t>Please provide some details about your project (e.g. how data are collected, used, processed and shared, as well as the research environment used)</t>
  </si>
  <si>
    <r>
      <t>Societal benefits </t>
    </r>
    <r>
      <rPr>
        <b/>
        <sz val="11"/>
        <color rgb="FF000000"/>
        <rFont val="Calibri"/>
        <family val="2"/>
        <scheme val="minor"/>
      </rPr>
      <t>will</t>
    </r>
    <r>
      <rPr>
        <sz val="11"/>
        <color rgb="FF000000"/>
        <rFont val="Calibri"/>
        <family val="2"/>
        <scheme val="minor"/>
      </rPr>
      <t> be limited to certain groups/areas</t>
    </r>
  </si>
  <si>
    <t>The research organisation does not have established clear procedures or may not comply with recognised standards</t>
  </si>
  <si>
    <t>No public engagement has been conducted, or planned, as part of the project</t>
  </si>
  <si>
    <t>N/A: Omit this item when the scope of this research specifically targets a particular group</t>
  </si>
  <si>
    <t>Training</t>
  </si>
  <si>
    <t>N/A: Omit this item when no public engagement is required and can be clearly justified</t>
  </si>
  <si>
    <t>Potential Harm</t>
  </si>
  <si>
    <t>Researchers are appropriately trained to recognised standards</t>
  </si>
  <si>
    <t>Public access to outcomes</t>
  </si>
  <si>
    <t>Data Sources</t>
  </si>
  <si>
    <t>Please provide detail of what data is being used, and what kind of data it is (i.e. Survey, Admin, Social Media, Web scraped etc)</t>
  </si>
  <si>
    <t>Negligible harm to anyone involved, including the public</t>
  </si>
  <si>
    <t>Researchers are trained but have limited experience in particular research area</t>
  </si>
  <si>
    <t>Research outcomes are,or will be, openly available to the public</t>
  </si>
  <si>
    <t>Identified potential harm to anyone involved that can be justified and mitigated against</t>
  </si>
  <si>
    <t>Researchers are trained but there is limited assurance in training that relates to this research</t>
  </si>
  <si>
    <t>Don’t know, or unsure if research outcomes will be openly available to the public</t>
  </si>
  <si>
    <t>Identified potential harm that cannot be mitigated against</t>
  </si>
  <si>
    <t>Human Oversight</t>
  </si>
  <si>
    <t>Research outcomes are not, or will not be, openly available to the public</t>
  </si>
  <si>
    <t>Bias</t>
  </si>
  <si>
    <t>Human oversight of all elements of research process, and regular audits of automated outcomes</t>
  </si>
  <si>
    <t>Sharing of methods and tools</t>
  </si>
  <si>
    <r>
      <t xml:space="preserve">Type </t>
    </r>
    <r>
      <rPr>
        <b/>
        <sz val="12"/>
        <color rgb="FF053E59"/>
        <rFont val="Arial"/>
        <family val="2"/>
      </rPr>
      <t>1</t>
    </r>
    <r>
      <rPr>
        <sz val="12"/>
        <color rgb="FF053E59"/>
        <rFont val="Arial"/>
        <family val="2"/>
      </rPr>
      <t xml:space="preserve"> if applicable</t>
    </r>
  </si>
  <si>
    <t>Weight Formula</t>
  </si>
  <si>
    <t>Weight Nudge Formula</t>
  </si>
  <si>
    <t>Result 
(Red/Amber/Green)</t>
  </si>
  <si>
    <t>As yet, bias has not been identified in planned methods and outcomes</t>
  </si>
  <si>
    <t>Significant use of automated processes and/or off the shelf solutions with some level of human oversight</t>
  </si>
  <si>
    <t>Both methods and/or tools are, or will be, made widely available to the public</t>
  </si>
  <si>
    <t xml:space="preserve">Is this a data linkage project, or include linked data? </t>
  </si>
  <si>
    <t>Form Completion Nudges</t>
  </si>
  <si>
    <t>Score that Informs RAG</t>
  </si>
  <si>
    <t>As yet, there is potential for bias/bias has been identified, but it can be justified and mitigated against</t>
  </si>
  <si>
    <t>Research based on automated or opaque processes with minimal human oversight</t>
  </si>
  <si>
    <t>Don’t know, or unsure if methods and tools will be available to the public</t>
  </si>
  <si>
    <t xml:space="preserve">Does the project involve the use of sensitive personal data (under the DPA and GDPR)? </t>
  </si>
  <si>
    <t>As yet, there is potential for bias/bias has been identified, but it cannot be mitigated against</t>
  </si>
  <si>
    <t>N/A: Omit this item in case of fully transparent automated or manual processes with well documented assumptions</t>
  </si>
  <si>
    <t>Both methods and tools are not, or will not be, made widely available to the public, or will only be shared internally</t>
  </si>
  <si>
    <t xml:space="preserve">Does the project involve the use of patient level health data? </t>
  </si>
  <si>
    <t>Direct Identification</t>
  </si>
  <si>
    <t>New technologies</t>
  </si>
  <si>
    <t>N/A: Omit this item when you are not able to share these tools and methods</t>
  </si>
  <si>
    <t>Could this research or its outcomes relate to individuals based on their protected characteristics, as defined by the Equality Act 2010, or those deemed to be at greater risk of disadvantage?</t>
  </si>
  <si>
    <t>Data or research outcomes cannot be used to directly identify data subjects or specific populations</t>
  </si>
  <si>
    <t>Research utilises well established methods and technologies</t>
  </si>
  <si>
    <t>Data curation and re-use</t>
  </si>
  <si>
    <t>Don’t know, or unsure if data or research outcomes could be used to directly identify data subjects</t>
  </si>
  <si>
    <t>Methods and tools may be tried, but are still novel or automated</t>
  </si>
  <si>
    <t>Data will be curated based on data retention policies and it will be available for re-use by the wider research community</t>
  </si>
  <si>
    <t>Data or research outcomes could directly identify data subjects or specific population groups</t>
  </si>
  <si>
    <t>Research utilises untested or automated methods and technologies</t>
  </si>
  <si>
    <t>It is unsure whether data will be available for re-use, and/or data retention policies are not known/unclear</t>
  </si>
  <si>
    <t>Indirect Identification</t>
  </si>
  <si>
    <t>N/A: Omit this item for small-scale exploratory projects and feasibility studies which are not used to produce any research/statistical outputs</t>
  </si>
  <si>
    <t>Data will not be available for re-use, or data retention policies are not in place</t>
  </si>
  <si>
    <t>Links to specific item guidance can be found by clicking on each item</t>
  </si>
  <si>
    <r>
      <rPr>
        <b/>
        <sz val="14"/>
        <color rgb="FF053E59"/>
        <rFont val="Arial"/>
        <family val="2"/>
      </rPr>
      <t>Please select the statements which are most applicable to your research project</t>
    </r>
    <r>
      <rPr>
        <b/>
        <sz val="16"/>
        <color rgb="FF053E59"/>
        <rFont val="Arial"/>
        <family val="2"/>
      </rPr>
      <t xml:space="preserve">
</t>
    </r>
    <r>
      <rPr>
        <sz val="14"/>
        <color rgb="FF053E59"/>
        <rFont val="Arial"/>
        <family val="2"/>
      </rPr>
      <t xml:space="preserve">If you are unsure which statement to select, please choose the second response, and explain your situation in the justification box.
</t>
    </r>
    <r>
      <rPr>
        <sz val="16"/>
        <color rgb="FF053E59"/>
        <rFont val="Arial"/>
        <family val="2"/>
      </rPr>
      <t xml:space="preserve">
</t>
    </r>
    <r>
      <rPr>
        <i/>
        <sz val="14"/>
        <color rgb="FF053E59"/>
        <rFont val="Arial"/>
        <family val="2"/>
      </rPr>
      <t>You may wish to zoom in to see the drop down options</t>
    </r>
  </si>
  <si>
    <t>Score Matrix</t>
  </si>
  <si>
    <t>Score per principle</t>
  </si>
  <si>
    <t>This section is to assist responses in the boxes to the right.
 Further detail can be found in the guidance document</t>
  </si>
  <si>
    <r>
      <t xml:space="preserve">Please use this section to justify your selected rating. If a risk is identified, please provide a mitigation
</t>
    </r>
    <r>
      <rPr>
        <sz val="12"/>
        <color theme="5" tint="-0.499984740745262"/>
        <rFont val="Arial"/>
        <family val="2"/>
      </rPr>
      <t>Please provide enough information so that someone not familiar with the project can understand your selection</t>
    </r>
  </si>
  <si>
    <t>Data or research outcomes cannot be used indirectly to identify data subjects or specific population groups</t>
  </si>
  <si>
    <t>Potential to realise benefits</t>
  </si>
  <si>
    <t>N/A: Omit this item when data sharing agreements or original consent does not allow re-use of the dataset.</t>
  </si>
  <si>
    <t>Item</t>
  </si>
  <si>
    <t>Public Good</t>
  </si>
  <si>
    <t>Drop Down</t>
  </si>
  <si>
    <t>Score</t>
  </si>
  <si>
    <t>N/A</t>
  </si>
  <si>
    <t>Justification Suggestions</t>
  </si>
  <si>
    <t>Score Justification</t>
  </si>
  <si>
    <t>Don’t know, or unsure if data or research outcomes could be used to indirectly identify data subjects</t>
  </si>
  <si>
    <t>Methods and quality of data will most likely result in realising the research benefits and fully mitigate any risks</t>
  </si>
  <si>
    <t>Public benefit</t>
  </si>
  <si>
    <t>Please find our comprehensive public good guidance via this link</t>
  </si>
  <si>
    <t>Data or research outcomes could indirectly identify data subjects or specific population groups</t>
  </si>
  <si>
    <t>There is limited confidence/it is unsure whether the methods and quality of data will result in realising research benefits or mitigate risks</t>
  </si>
  <si>
    <t>Population coverage</t>
  </si>
  <si>
    <t>Data Security</t>
  </si>
  <si>
    <t>Methods and quality of data have little/no potential to result in realising research benefits or mitigate risks</t>
  </si>
  <si>
    <t>Potential harm</t>
  </si>
  <si>
    <t>Strict data security in place to recognised standards that is proportionate to data use/sensitivity</t>
  </si>
  <si>
    <t>Legal Gateways</t>
  </si>
  <si>
    <t>Biases</t>
  </si>
  <si>
    <t>Research taking place outside of a recognised secure environment, with proportionate data security precautions taken</t>
  </si>
  <si>
    <t>The proposed use of data has been cleared against all relevant legislation and agreements</t>
  </si>
  <si>
    <t>Confidentiality/Data Security</t>
  </si>
  <si>
    <t>Research taking place outside of a recognised secure environment, with some data security requirements still to be considered</t>
  </si>
  <si>
    <t>Don’t know, or unsure if the proposed use of data has been cleared against all relevant legislation and agreements</t>
  </si>
  <si>
    <t>Direct identification</t>
  </si>
  <si>
    <t>Consent</t>
  </si>
  <si>
    <t>Legality has not been confirmed, and/or there has been no formal action to seek legal advice or clearance from the relevant department</t>
  </si>
  <si>
    <t>Indirect identification</t>
  </si>
  <si>
    <t>Legal Frameworks</t>
  </si>
  <si>
    <t>Data security</t>
  </si>
  <si>
    <t>Informed consent has been obtained from data subjects for all stages of this particular project.</t>
  </si>
  <si>
    <t>Legal frameworks are clear and well established in the research area</t>
  </si>
  <si>
    <t>Ethical consent</t>
  </si>
  <si>
    <t>Consent has not been obtained from data subjects for this particular research and can be justified</t>
  </si>
  <si>
    <t>Don’t know, or unsure what the relevant legal frameworks are in the research area</t>
  </si>
  <si>
    <t>Permitted use of data</t>
  </si>
  <si>
    <t>Informed consent has not been obtained from data subjects and cannot be justified</t>
  </si>
  <si>
    <t>Legal frameworks are unclear or still developing in the research area</t>
  </si>
  <si>
    <t>Methods and Quality</t>
  </si>
  <si>
    <t>Permitted use of Data</t>
  </si>
  <si>
    <t>Permission has been given specifically for this research project, or the proposed use of data is within the same context for which permission was previously given</t>
  </si>
  <si>
    <t>Don’t know, or unsure if the proposed use of data is beyond the initial context for which permission was originally given</t>
  </si>
  <si>
    <t>The proposed use of data is beyond the initial context for which permission was originally given</t>
  </si>
  <si>
    <t>Human oversight</t>
  </si>
  <si>
    <t>N/A: Omit this item when permission to access data is not required</t>
  </si>
  <si>
    <t>Legal Compliance</t>
  </si>
  <si>
    <t>Established legal gateways</t>
  </si>
  <si>
    <t>Established legal frameworks</t>
  </si>
  <si>
    <t>Public Views and Engagement</t>
  </si>
  <si>
    <t>Public views</t>
  </si>
  <si>
    <t>Transparency</t>
  </si>
  <si>
    <t>Sharing of methods or tools</t>
  </si>
  <si>
    <t>Please note that self-assessments submitted to the UK Statistics Authority may be subject to a compliance review audit</t>
  </si>
  <si>
    <t>Water Runoff Dashboard</t>
  </si>
  <si>
    <t>Start date: 04.03.25 (Kick Off Climate), key dates: 24.03.25 (Meeting with Basil and project explanation), 25.03.25 (Milestone I), 15.04.25 (Milestone II), 12.05.25 (Milestone III), 24.05.25 (Final submission), end date: 26.05.25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</si>
</sst>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4" x14ac:knownFonts="1">
    <font>
      <sz val="11"/>
      <color theme="1"/>
      <name val="Calibri"/>
      <family val="2"/>
      <scheme val="minor"/>
    </font>
    <font>
      <sz val="11"/>
      <color theme="1"/>
      <name val="Arial"/>
      <family val="2"/>
    </font>
    <font>
      <sz val="11"/>
      <color theme="0"/>
      <name val="Arial"/>
      <family val="2"/>
    </font>
    <font>
      <sz val="12"/>
      <name val="Arial"/>
      <family val="2"/>
    </font>
    <font>
      <b/>
      <sz val="30"/>
      <name val="Arial"/>
      <family val="2"/>
    </font>
    <font>
      <b/>
      <sz val="12"/>
      <color theme="1"/>
      <name val="Arial"/>
      <family val="2"/>
    </font>
    <font>
      <b/>
      <sz val="15"/>
      <name val="Arial"/>
      <family val="2"/>
    </font>
    <font>
      <b/>
      <sz val="24"/>
      <color rgb="FFFFFFFF"/>
      <name val="Arial"/>
      <family val="2"/>
    </font>
    <font>
      <sz val="11"/>
      <color rgb="FF053E59"/>
      <name val="Arial"/>
      <family val="2"/>
    </font>
    <font>
      <sz val="11"/>
      <color theme="1"/>
      <name val="Calibri"/>
      <family val="2"/>
    </font>
    <font>
      <sz val="12"/>
      <color rgb="FF053E59"/>
      <name val="Arial"/>
      <family val="2"/>
    </font>
    <font>
      <b/>
      <sz val="24"/>
      <color rgb="FF053E59"/>
      <name val="Arial"/>
      <family val="2"/>
    </font>
    <font>
      <sz val="12"/>
      <color theme="0"/>
      <name val="Arial"/>
      <family val="2"/>
    </font>
    <font>
      <sz val="11"/>
      <color theme="0"/>
      <name val="Calibri"/>
      <family val="2"/>
      <scheme val="minor"/>
    </font>
    <font>
      <sz val="11"/>
      <color theme="0"/>
      <name val="Calibri"/>
      <family val="2"/>
    </font>
    <font>
      <b/>
      <sz val="12"/>
      <color theme="5" tint="-0.499984740745262"/>
      <name val="Arial"/>
      <family val="2"/>
    </font>
    <font>
      <sz val="20"/>
      <color rgb="FF053E59"/>
      <name val="Arial"/>
      <family val="2"/>
    </font>
    <font>
      <b/>
      <sz val="12"/>
      <color rgb="FF053E59"/>
      <name val="Arial"/>
      <family val="2"/>
    </font>
    <font>
      <u/>
      <sz val="11"/>
      <color theme="10"/>
      <name val="Calibri"/>
      <family val="2"/>
      <scheme val="minor"/>
    </font>
    <font>
      <u/>
      <sz val="22"/>
      <color theme="10"/>
      <name val="Calibri"/>
      <family val="2"/>
      <scheme val="minor"/>
    </font>
    <font>
      <b/>
      <sz val="14"/>
      <color rgb="FFFFFFFF"/>
      <name val="Arial"/>
      <family val="2"/>
    </font>
    <font>
      <sz val="14"/>
      <name val="Arial"/>
      <family val="2"/>
    </font>
    <font>
      <sz val="16"/>
      <color rgb="FF053E59"/>
      <name val="Arial"/>
      <family val="2"/>
    </font>
    <font>
      <sz val="15"/>
      <name val="Arial"/>
      <family val="2"/>
    </font>
    <font>
      <sz val="16"/>
      <color theme="5" tint="-0.499984740745262"/>
      <name val="Arial"/>
      <family val="2"/>
    </font>
    <font>
      <b/>
      <sz val="12"/>
      <name val="Arial"/>
      <family val="2"/>
    </font>
    <font>
      <sz val="18"/>
      <color rgb="FF053E59"/>
      <name val="Arial"/>
      <family val="2"/>
    </font>
    <font>
      <sz val="18"/>
      <color theme="1"/>
      <name val="Arial"/>
      <family val="2"/>
    </font>
    <font>
      <i/>
      <sz val="16"/>
      <color rgb="FF053E59"/>
      <name val="Arial"/>
      <family val="2"/>
    </font>
    <font>
      <sz val="14"/>
      <color rgb="FF053E59"/>
      <name val="Arial"/>
      <family val="2"/>
    </font>
    <font>
      <u/>
      <sz val="16"/>
      <color theme="10"/>
      <name val="Arial"/>
      <family val="2"/>
    </font>
    <font>
      <sz val="12"/>
      <color rgb="FFFF0000"/>
      <name val="Arial"/>
      <family val="2"/>
    </font>
    <font>
      <sz val="11"/>
      <color rgb="FFFF0000"/>
      <name val="Calibri"/>
      <family val="2"/>
      <scheme val="minor"/>
    </font>
    <font>
      <sz val="11"/>
      <name val="Calibri"/>
      <family val="2"/>
      <scheme val="minor"/>
    </font>
    <font>
      <b/>
      <sz val="30"/>
      <color rgb="FFFF0000"/>
      <name val="Arial"/>
      <family val="2"/>
    </font>
    <font>
      <sz val="16"/>
      <color rgb="FFFF0000"/>
      <name val="Arial"/>
      <family val="2"/>
    </font>
    <font>
      <sz val="11"/>
      <color rgb="FF000000"/>
      <name val="Calibri"/>
      <family val="2"/>
      <scheme val="minor"/>
    </font>
    <font>
      <b/>
      <sz val="11"/>
      <color rgb="FF000000"/>
      <name val="Calibri"/>
      <family val="2"/>
      <scheme val="minor"/>
    </font>
    <font>
      <b/>
      <sz val="12"/>
      <color theme="0"/>
      <name val="Arial"/>
      <family val="2"/>
    </font>
    <font>
      <b/>
      <sz val="14"/>
      <name val="Arial"/>
      <family val="2"/>
    </font>
    <font>
      <u/>
      <sz val="16"/>
      <color theme="10"/>
      <name val="Calibri"/>
      <family val="2"/>
      <scheme val="minor"/>
    </font>
    <font>
      <b/>
      <sz val="16"/>
      <color rgb="FF053E59"/>
      <name val="Arial"/>
      <family val="2"/>
    </font>
    <font>
      <i/>
      <sz val="14"/>
      <color rgb="FF053E59"/>
      <name val="Arial"/>
      <family val="2"/>
    </font>
    <font>
      <b/>
      <sz val="14"/>
      <color rgb="FF053E59"/>
      <name val="Arial"/>
      <family val="2"/>
    </font>
    <font>
      <b/>
      <u/>
      <sz val="12"/>
      <color rgb="FF053E59"/>
      <name val="Arial"/>
      <family val="2"/>
    </font>
    <font>
      <b/>
      <u/>
      <sz val="16"/>
      <color theme="10"/>
      <name val="Calibri"/>
      <family val="2"/>
      <scheme val="minor"/>
    </font>
    <font>
      <sz val="12"/>
      <color theme="5" tint="-0.499984740745262"/>
      <name val="Arial"/>
      <family val="2"/>
    </font>
    <font>
      <i/>
      <sz val="12"/>
      <color rgb="FF053E59"/>
      <name val="Arial"/>
      <family val="2"/>
    </font>
    <font>
      <sz val="11"/>
      <color rgb="FF000000"/>
      <name val="Arial"/>
      <family val="2"/>
    </font>
    <font>
      <b/>
      <sz val="12"/>
      <color theme="1"/>
      <name val="Calibri"/>
      <family val="2"/>
      <scheme val="minor"/>
    </font>
    <font>
      <sz val="18"/>
      <color theme="1"/>
      <name val="Calibri"/>
      <family val="2"/>
      <scheme val="minor"/>
    </font>
    <font>
      <sz val="15"/>
      <color rgb="FFFF0000"/>
      <name val="Arial"/>
      <family val="2"/>
    </font>
    <font>
      <sz val="12"/>
      <color rgb="FF000000"/>
      <name val="Arial"/>
      <family val="2"/>
    </font>
    <font>
      <sz val="12"/>
      <name val="Arial"/>
    </font>
  </fonts>
  <fills count="12">
    <fill>
      <patternFill patternType="none"/>
    </fill>
    <fill>
      <patternFill patternType="gray125"/>
    </fill>
    <fill>
      <patternFill patternType="solid">
        <fgColor theme="0"/>
        <bgColor indexed="64"/>
      </patternFill>
    </fill>
    <fill>
      <patternFill patternType="solid">
        <fgColor rgb="FF053E59"/>
        <bgColor rgb="FF000000"/>
      </patternFill>
    </fill>
    <fill>
      <patternFill patternType="solid">
        <fgColor rgb="FFA9BE3B"/>
        <bgColor rgb="FF000000"/>
      </patternFill>
    </fill>
    <fill>
      <patternFill patternType="solid">
        <fgColor rgb="FFFFFFFF"/>
        <bgColor rgb="FF000000"/>
      </patternFill>
    </fill>
    <fill>
      <patternFill patternType="solid">
        <fgColor rgb="FFA5A5A5"/>
        <bgColor rgb="FF000000"/>
      </patternFill>
    </fill>
    <fill>
      <patternFill patternType="solid">
        <fgColor theme="0"/>
        <bgColor rgb="FF000000"/>
      </patternFill>
    </fill>
    <fill>
      <patternFill patternType="solid">
        <fgColor rgb="FFFFC000"/>
        <bgColor rgb="FF000000"/>
      </patternFill>
    </fill>
    <fill>
      <patternFill patternType="solid">
        <fgColor rgb="FF00B050"/>
        <bgColor rgb="FF000000"/>
      </patternFill>
    </fill>
    <fill>
      <patternFill patternType="solid">
        <fgColor rgb="FFC00000"/>
        <bgColor rgb="FF000000"/>
      </patternFill>
    </fill>
    <fill>
      <patternFill patternType="solid">
        <fgColor theme="0" tint="-0.34998626667073579"/>
        <bgColor rgb="FF000000"/>
      </patternFill>
    </fill>
  </fills>
  <borders count="6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left>
      <right style="thin">
        <color theme="0"/>
      </right>
      <top style="thin">
        <color theme="0"/>
      </top>
      <bottom style="thin">
        <color theme="0"/>
      </bottom>
      <diagonal/>
    </border>
    <border>
      <left style="medium">
        <color theme="0"/>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style="mediumDashDot">
        <color indexed="64"/>
      </right>
      <top style="medium">
        <color indexed="64"/>
      </top>
      <bottom style="thin">
        <color indexed="64"/>
      </bottom>
      <diagonal/>
    </border>
    <border>
      <left style="mediumDashDot">
        <color indexed="64"/>
      </left>
      <right style="mediumDashDot">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237">
    <xf numFmtId="0" fontId="0" fillId="0" borderId="0" xfId="0"/>
    <xf numFmtId="0" fontId="0" fillId="2" borderId="0" xfId="0" applyFill="1" applyProtection="1">
      <protection hidden="1"/>
    </xf>
    <xf numFmtId="0" fontId="7" fillId="3" borderId="0" xfId="0" applyFont="1" applyFill="1" applyAlignment="1" applyProtection="1">
      <alignment vertical="center"/>
      <protection hidden="1"/>
    </xf>
    <xf numFmtId="0" fontId="7" fillId="7" borderId="0" xfId="0" applyFont="1" applyFill="1" applyAlignment="1" applyProtection="1">
      <alignment vertical="center"/>
      <protection hidden="1"/>
    </xf>
    <xf numFmtId="0" fontId="0" fillId="0" borderId="0" xfId="0" applyProtection="1">
      <protection hidden="1"/>
    </xf>
    <xf numFmtId="0" fontId="8" fillId="4" borderId="0" xfId="0" applyFont="1" applyFill="1" applyProtection="1">
      <protection hidden="1"/>
    </xf>
    <xf numFmtId="0" fontId="8" fillId="4" borderId="0" xfId="0" applyFont="1" applyFill="1" applyAlignment="1" applyProtection="1">
      <alignment horizontal="center" vertical="center"/>
      <protection hidden="1"/>
    </xf>
    <xf numFmtId="0" fontId="8" fillId="7" borderId="0" xfId="0" applyFont="1" applyFill="1" applyProtection="1">
      <protection hidden="1"/>
    </xf>
    <xf numFmtId="0" fontId="8" fillId="5" borderId="0" xfId="0" applyFont="1" applyFill="1" applyProtection="1">
      <protection hidden="1"/>
    </xf>
    <xf numFmtId="0" fontId="8" fillId="5" borderId="0" xfId="0" applyFont="1" applyFill="1" applyAlignment="1" applyProtection="1">
      <alignment horizontal="center" vertical="center"/>
      <protection hidden="1"/>
    </xf>
    <xf numFmtId="0" fontId="10" fillId="5" borderId="0" xfId="0" applyFont="1" applyFill="1" applyAlignment="1" applyProtection="1">
      <alignment horizontal="left" vertical="center" wrapText="1"/>
      <protection hidden="1"/>
    </xf>
    <xf numFmtId="0" fontId="9" fillId="2" borderId="0" xfId="0" applyFont="1" applyFill="1" applyProtection="1">
      <protection hidden="1"/>
    </xf>
    <xf numFmtId="0" fontId="8" fillId="7" borderId="0" xfId="0" applyFont="1" applyFill="1" applyAlignment="1" applyProtection="1">
      <alignment horizontal="center" vertical="center"/>
      <protection hidden="1"/>
    </xf>
    <xf numFmtId="0" fontId="10" fillId="5" borderId="16" xfId="0" applyFont="1" applyFill="1" applyBorder="1" applyAlignment="1" applyProtection="1">
      <alignment horizontal="center" vertical="center" wrapText="1"/>
      <protection hidden="1"/>
    </xf>
    <xf numFmtId="0" fontId="8" fillId="5" borderId="0" xfId="0" applyFont="1" applyFill="1" applyAlignment="1" applyProtection="1">
      <alignment horizontal="center" vertical="center" wrapText="1"/>
      <protection hidden="1"/>
    </xf>
    <xf numFmtId="0" fontId="8" fillId="2" borderId="0" xfId="0" applyFont="1" applyFill="1" applyProtection="1">
      <protection hidden="1"/>
    </xf>
    <xf numFmtId="0" fontId="14" fillId="2" borderId="0" xfId="0" applyFont="1" applyFill="1" applyProtection="1">
      <protection hidden="1"/>
    </xf>
    <xf numFmtId="0" fontId="13" fillId="0" borderId="0" xfId="0" applyFont="1" applyProtection="1">
      <protection hidden="1"/>
    </xf>
    <xf numFmtId="1" fontId="5" fillId="5" borderId="4" xfId="0" applyNumberFormat="1" applyFont="1" applyFill="1" applyBorder="1" applyAlignment="1" applyProtection="1">
      <alignment horizontal="center" vertical="center" wrapText="1"/>
      <protection hidden="1"/>
    </xf>
    <xf numFmtId="1" fontId="5" fillId="5" borderId="5" xfId="0" applyNumberFormat="1" applyFont="1" applyFill="1" applyBorder="1" applyAlignment="1" applyProtection="1">
      <alignment horizontal="center" vertical="center"/>
      <protection hidden="1"/>
    </xf>
    <xf numFmtId="0" fontId="1" fillId="0" borderId="4" xfId="0" applyFont="1" applyBorder="1" applyAlignment="1" applyProtection="1">
      <alignment horizontal="right"/>
      <protection hidden="1"/>
    </xf>
    <xf numFmtId="0" fontId="8" fillId="0" borderId="4" xfId="0" applyFont="1" applyBorder="1" applyAlignment="1" applyProtection="1">
      <alignment horizontal="right"/>
      <protection hidden="1"/>
    </xf>
    <xf numFmtId="0" fontId="13" fillId="2" borderId="0" xfId="0" applyFont="1" applyFill="1" applyProtection="1">
      <protection hidden="1"/>
    </xf>
    <xf numFmtId="0" fontId="10" fillId="5" borderId="30" xfId="0" applyFont="1" applyFill="1" applyBorder="1" applyAlignment="1" applyProtection="1">
      <alignment horizontal="center" vertical="center"/>
      <protection locked="0"/>
    </xf>
    <xf numFmtId="0" fontId="10" fillId="5" borderId="19" xfId="0" applyFont="1" applyFill="1" applyBorder="1" applyAlignment="1" applyProtection="1">
      <alignment horizontal="center" vertical="center"/>
      <protection locked="0"/>
    </xf>
    <xf numFmtId="1" fontId="5" fillId="5" borderId="35" xfId="0" applyNumberFormat="1" applyFont="1" applyFill="1" applyBorder="1" applyAlignment="1" applyProtection="1">
      <alignment horizontal="center" vertical="center"/>
      <protection hidden="1"/>
    </xf>
    <xf numFmtId="0" fontId="10" fillId="6" borderId="33" xfId="0" applyFont="1" applyFill="1" applyBorder="1" applyAlignment="1" applyProtection="1">
      <alignment horizontal="center" vertical="center"/>
      <protection hidden="1"/>
    </xf>
    <xf numFmtId="0" fontId="10" fillId="6" borderId="11" xfId="0" applyFont="1" applyFill="1" applyBorder="1" applyAlignment="1" applyProtection="1">
      <alignment horizontal="center" vertical="center"/>
      <protection hidden="1"/>
    </xf>
    <xf numFmtId="0" fontId="10" fillId="6" borderId="34" xfId="0" applyFont="1" applyFill="1" applyBorder="1" applyAlignment="1" applyProtection="1">
      <alignment horizontal="center" vertical="center"/>
      <protection hidden="1"/>
    </xf>
    <xf numFmtId="0" fontId="10" fillId="11" borderId="11" xfId="0" applyFont="1" applyFill="1" applyBorder="1" applyAlignment="1" applyProtection="1">
      <alignment horizontal="center" vertical="center"/>
      <protection hidden="1"/>
    </xf>
    <xf numFmtId="0" fontId="10" fillId="11" borderId="33" xfId="0" applyFont="1" applyFill="1" applyBorder="1" applyAlignment="1" applyProtection="1">
      <alignment horizontal="center" vertical="center"/>
      <protection hidden="1"/>
    </xf>
    <xf numFmtId="164" fontId="6" fillId="5" borderId="36" xfId="0" applyNumberFormat="1" applyFont="1" applyFill="1" applyBorder="1" applyAlignment="1" applyProtection="1">
      <alignment horizontal="center" vertical="center"/>
      <protection hidden="1"/>
    </xf>
    <xf numFmtId="164" fontId="6" fillId="5" borderId="37" xfId="0" applyNumberFormat="1" applyFont="1" applyFill="1" applyBorder="1" applyAlignment="1" applyProtection="1">
      <alignment horizontal="center" vertical="center"/>
      <protection hidden="1"/>
    </xf>
    <xf numFmtId="164" fontId="6" fillId="5" borderId="38" xfId="0" applyNumberFormat="1" applyFont="1" applyFill="1" applyBorder="1" applyAlignment="1" applyProtection="1">
      <alignment horizontal="center" vertical="center"/>
      <protection hidden="1"/>
    </xf>
    <xf numFmtId="0" fontId="10" fillId="5" borderId="30" xfId="0" applyFont="1" applyFill="1" applyBorder="1" applyAlignment="1" applyProtection="1">
      <alignment horizontal="center" vertical="center"/>
      <protection hidden="1"/>
    </xf>
    <xf numFmtId="0" fontId="10" fillId="5" borderId="19" xfId="0" applyFont="1" applyFill="1" applyBorder="1" applyAlignment="1" applyProtection="1">
      <alignment horizontal="center" vertical="center"/>
      <protection hidden="1"/>
    </xf>
    <xf numFmtId="0" fontId="10" fillId="5" borderId="31" xfId="0" applyFont="1" applyFill="1" applyBorder="1" applyAlignment="1" applyProtection="1">
      <alignment horizontal="center" vertical="center"/>
      <protection hidden="1"/>
    </xf>
    <xf numFmtId="1" fontId="5" fillId="5" borderId="16" xfId="0" applyNumberFormat="1" applyFont="1" applyFill="1" applyBorder="1" applyAlignment="1" applyProtection="1">
      <alignment horizontal="center" vertical="center" wrapText="1"/>
      <protection hidden="1"/>
    </xf>
    <xf numFmtId="0" fontId="10" fillId="5" borderId="24" xfId="0" applyFont="1" applyFill="1" applyBorder="1" applyAlignment="1" applyProtection="1">
      <alignment horizontal="center" vertical="center"/>
      <protection hidden="1"/>
    </xf>
    <xf numFmtId="0" fontId="5" fillId="5" borderId="15" xfId="0" applyFont="1" applyFill="1" applyBorder="1" applyAlignment="1" applyProtection="1">
      <alignment horizontal="center" vertical="center"/>
      <protection hidden="1"/>
    </xf>
    <xf numFmtId="0" fontId="10" fillId="5" borderId="0" xfId="0" applyFont="1" applyFill="1" applyAlignment="1" applyProtection="1">
      <alignment vertical="center" wrapText="1"/>
      <protection hidden="1"/>
    </xf>
    <xf numFmtId="0" fontId="19" fillId="5" borderId="0" xfId="1" applyFont="1" applyFill="1" applyBorder="1" applyAlignment="1" applyProtection="1">
      <alignment horizontal="center" vertical="center" wrapText="1"/>
      <protection hidden="1"/>
    </xf>
    <xf numFmtId="0" fontId="20" fillId="3" borderId="0" xfId="0" applyFont="1" applyFill="1" applyAlignment="1" applyProtection="1">
      <alignment horizontal="center" vertical="center"/>
      <protection hidden="1"/>
    </xf>
    <xf numFmtId="0" fontId="10" fillId="5" borderId="31" xfId="0" applyFont="1" applyFill="1" applyBorder="1" applyAlignment="1" applyProtection="1">
      <alignment horizontal="center" vertical="center"/>
      <protection locked="0"/>
    </xf>
    <xf numFmtId="0" fontId="10" fillId="5" borderId="0" xfId="0" applyFont="1" applyFill="1" applyAlignment="1" applyProtection="1">
      <alignment horizontal="center" vertical="center"/>
      <protection locked="0"/>
    </xf>
    <xf numFmtId="0" fontId="23" fillId="5" borderId="0" xfId="0" applyFont="1" applyFill="1" applyAlignment="1" applyProtection="1">
      <alignment horizontal="left" vertical="top" wrapText="1" readingOrder="1"/>
      <protection hidden="1"/>
    </xf>
    <xf numFmtId="164" fontId="25" fillId="5" borderId="37" xfId="0" applyNumberFormat="1" applyFont="1" applyFill="1" applyBorder="1" applyAlignment="1" applyProtection="1">
      <alignment horizontal="center" vertical="center"/>
      <protection hidden="1"/>
    </xf>
    <xf numFmtId="0" fontId="10" fillId="5" borderId="0" xfId="0" applyFont="1" applyFill="1" applyAlignment="1" applyProtection="1">
      <alignment horizontal="center" vertical="center" wrapText="1"/>
      <protection hidden="1"/>
    </xf>
    <xf numFmtId="0" fontId="8" fillId="5" borderId="25" xfId="0" applyFont="1" applyFill="1" applyBorder="1" applyProtection="1">
      <protection hidden="1"/>
    </xf>
    <xf numFmtId="0" fontId="22" fillId="0" borderId="16" xfId="0" applyFont="1" applyBorder="1" applyAlignment="1" applyProtection="1">
      <alignment horizontal="center" vertical="center" wrapText="1"/>
      <protection hidden="1"/>
    </xf>
    <xf numFmtId="0" fontId="13" fillId="0" borderId="0" xfId="0" applyFont="1" applyProtection="1">
      <protection locked="0" hidden="1"/>
    </xf>
    <xf numFmtId="0" fontId="26" fillId="0" borderId="17" xfId="0" applyFont="1" applyBorder="1" applyAlignment="1" applyProtection="1">
      <alignment horizontal="center" vertical="center"/>
      <protection hidden="1"/>
    </xf>
    <xf numFmtId="0" fontId="26" fillId="0" borderId="8" xfId="0" applyFont="1" applyBorder="1" applyAlignment="1" applyProtection="1">
      <alignment horizontal="center" vertical="center"/>
      <protection hidden="1"/>
    </xf>
    <xf numFmtId="0" fontId="26" fillId="0" borderId="21" xfId="0" applyFont="1" applyBorder="1" applyAlignment="1" applyProtection="1">
      <alignment horizontal="center" vertical="center"/>
      <protection hidden="1"/>
    </xf>
    <xf numFmtId="0" fontId="27" fillId="0" borderId="17" xfId="0" applyFont="1" applyBorder="1" applyAlignment="1" applyProtection="1">
      <alignment horizontal="center" vertical="center"/>
      <protection hidden="1"/>
    </xf>
    <xf numFmtId="0" fontId="26" fillId="0" borderId="12" xfId="0" applyFont="1" applyBorder="1" applyAlignment="1" applyProtection="1">
      <alignment horizontal="center" vertical="center"/>
      <protection hidden="1"/>
    </xf>
    <xf numFmtId="0" fontId="5" fillId="5" borderId="35" xfId="0" applyFont="1" applyFill="1" applyBorder="1" applyAlignment="1" applyProtection="1">
      <alignment horizontal="center" vertical="center"/>
      <protection hidden="1"/>
    </xf>
    <xf numFmtId="0" fontId="29" fillId="2" borderId="16" xfId="0" applyFont="1" applyFill="1" applyBorder="1" applyAlignment="1" applyProtection="1">
      <alignment horizontal="center" vertical="center" wrapText="1"/>
      <protection hidden="1"/>
    </xf>
    <xf numFmtId="0" fontId="2" fillId="2" borderId="42" xfId="0" applyFont="1" applyFill="1" applyBorder="1" applyProtection="1">
      <protection hidden="1"/>
    </xf>
    <xf numFmtId="0" fontId="31" fillId="7" borderId="0" xfId="0" applyFont="1" applyFill="1" applyProtection="1">
      <protection hidden="1"/>
    </xf>
    <xf numFmtId="9" fontId="23" fillId="5" borderId="0" xfId="0" applyNumberFormat="1" applyFont="1" applyFill="1" applyAlignment="1" applyProtection="1">
      <alignment horizontal="center" vertical="center" wrapText="1" readingOrder="1"/>
      <protection hidden="1"/>
    </xf>
    <xf numFmtId="0" fontId="0" fillId="2" borderId="27" xfId="0" applyFill="1" applyBorder="1" applyProtection="1">
      <protection hidden="1"/>
    </xf>
    <xf numFmtId="0" fontId="11" fillId="5" borderId="0" xfId="0" applyFont="1" applyFill="1" applyAlignment="1" applyProtection="1">
      <alignment vertical="center"/>
      <protection hidden="1"/>
    </xf>
    <xf numFmtId="0" fontId="22" fillId="5" borderId="0" xfId="0" applyFont="1" applyFill="1" applyAlignment="1" applyProtection="1">
      <alignment vertical="center" wrapText="1"/>
      <protection hidden="1"/>
    </xf>
    <xf numFmtId="0" fontId="13" fillId="0" borderId="40" xfId="0" applyFont="1" applyBorder="1" applyProtection="1">
      <protection hidden="1"/>
    </xf>
    <xf numFmtId="0" fontId="0" fillId="0" borderId="49" xfId="0" applyBorder="1" applyProtection="1">
      <protection hidden="1"/>
    </xf>
    <xf numFmtId="0" fontId="32" fillId="0" borderId="49" xfId="0" applyFont="1" applyBorder="1" applyProtection="1">
      <protection hidden="1"/>
    </xf>
    <xf numFmtId="0" fontId="0" fillId="0" borderId="50" xfId="0" applyBorder="1" applyProtection="1">
      <protection hidden="1"/>
    </xf>
    <xf numFmtId="0" fontId="32" fillId="0" borderId="49" xfId="0" applyFont="1" applyBorder="1" applyAlignment="1" applyProtection="1">
      <alignment horizontal="left" vertical="center"/>
      <protection hidden="1"/>
    </xf>
    <xf numFmtId="164" fontId="6" fillId="5" borderId="16" xfId="0" applyNumberFormat="1" applyFont="1" applyFill="1" applyBorder="1" applyAlignment="1" applyProtection="1">
      <alignment horizontal="center" vertical="center"/>
      <protection hidden="1"/>
    </xf>
    <xf numFmtId="0" fontId="31" fillId="5" borderId="0" xfId="0" applyFont="1" applyFill="1" applyAlignment="1" applyProtection="1">
      <alignment horizontal="right" vertical="center" wrapText="1"/>
      <protection hidden="1"/>
    </xf>
    <xf numFmtId="0" fontId="32" fillId="0" borderId="51" xfId="0" applyFont="1" applyBorder="1" applyProtection="1">
      <protection hidden="1"/>
    </xf>
    <xf numFmtId="0" fontId="32" fillId="0" borderId="52" xfId="0" applyFont="1" applyBorder="1" applyProtection="1">
      <protection hidden="1"/>
    </xf>
    <xf numFmtId="0" fontId="31" fillId="5" borderId="0" xfId="0" applyFont="1" applyFill="1" applyAlignment="1" applyProtection="1">
      <alignment horizontal="right"/>
      <protection hidden="1"/>
    </xf>
    <xf numFmtId="164" fontId="34" fillId="5" borderId="0" xfId="0" applyNumberFormat="1" applyFont="1" applyFill="1" applyAlignment="1" applyProtection="1">
      <alignment horizontal="center" vertical="center"/>
      <protection hidden="1"/>
    </xf>
    <xf numFmtId="0" fontId="35" fillId="5" borderId="0" xfId="0" applyFont="1" applyFill="1" applyAlignment="1" applyProtection="1">
      <alignment horizontal="center" vertical="center" wrapText="1"/>
      <protection hidden="1"/>
    </xf>
    <xf numFmtId="0" fontId="0" fillId="0" borderId="36" xfId="0" applyBorder="1" applyProtection="1">
      <protection hidden="1"/>
    </xf>
    <xf numFmtId="0" fontId="0" fillId="0" borderId="37" xfId="0" applyBorder="1" applyProtection="1">
      <protection hidden="1"/>
    </xf>
    <xf numFmtId="0" fontId="0" fillId="0" borderId="37" xfId="0" applyBorder="1" applyAlignment="1" applyProtection="1">
      <alignment wrapText="1"/>
      <protection hidden="1"/>
    </xf>
    <xf numFmtId="0" fontId="0" fillId="0" borderId="38" xfId="0" applyBorder="1" applyAlignment="1" applyProtection="1">
      <alignment wrapText="1"/>
      <protection hidden="1"/>
    </xf>
    <xf numFmtId="0" fontId="0" fillId="2" borderId="41" xfId="0" applyFill="1" applyBorder="1" applyProtection="1">
      <protection hidden="1"/>
    </xf>
    <xf numFmtId="0" fontId="36" fillId="0" borderId="37" xfId="0" applyFont="1" applyBorder="1" applyAlignment="1">
      <alignment wrapText="1"/>
    </xf>
    <xf numFmtId="0" fontId="36" fillId="0" borderId="38" xfId="0" applyFont="1" applyBorder="1" applyAlignment="1">
      <alignment wrapText="1"/>
    </xf>
    <xf numFmtId="0" fontId="33" fillId="0" borderId="37" xfId="0" applyFont="1" applyBorder="1" applyAlignment="1" applyProtection="1">
      <alignment wrapText="1"/>
      <protection hidden="1"/>
    </xf>
    <xf numFmtId="0" fontId="0" fillId="0" borderId="37" xfId="0" applyBorder="1" applyAlignment="1">
      <alignment wrapText="1"/>
    </xf>
    <xf numFmtId="0" fontId="0" fillId="0" borderId="38" xfId="0" applyBorder="1" applyAlignment="1">
      <alignment wrapText="1"/>
    </xf>
    <xf numFmtId="0" fontId="33" fillId="0" borderId="36" xfId="0" applyFont="1" applyBorder="1" applyProtection="1">
      <protection locked="0" hidden="1"/>
    </xf>
    <xf numFmtId="0" fontId="33" fillId="0" borderId="38" xfId="0" applyFont="1" applyBorder="1" applyAlignment="1" applyProtection="1">
      <alignment wrapText="1"/>
      <protection hidden="1"/>
    </xf>
    <xf numFmtId="0" fontId="33" fillId="0" borderId="36" xfId="0" applyFont="1" applyBorder="1" applyAlignment="1" applyProtection="1">
      <alignment wrapText="1"/>
      <protection hidden="1"/>
    </xf>
    <xf numFmtId="0" fontId="0" fillId="0" borderId="28" xfId="0" applyBorder="1" applyProtection="1">
      <protection hidden="1"/>
    </xf>
    <xf numFmtId="0" fontId="0" fillId="0" borderId="41" xfId="0" applyBorder="1" applyAlignment="1" applyProtection="1">
      <alignment wrapText="1"/>
      <protection hidden="1"/>
    </xf>
    <xf numFmtId="0" fontId="0" fillId="0" borderId="42" xfId="0" applyBorder="1" applyAlignment="1" applyProtection="1">
      <alignment wrapText="1"/>
      <protection hidden="1"/>
    </xf>
    <xf numFmtId="0" fontId="0" fillId="0" borderId="36" xfId="0" applyBorder="1" applyAlignment="1" applyProtection="1">
      <alignment wrapText="1"/>
      <protection hidden="1"/>
    </xf>
    <xf numFmtId="0" fontId="33" fillId="0" borderId="37" xfId="0" applyFont="1" applyBorder="1" applyAlignment="1" applyProtection="1">
      <alignment wrapText="1"/>
      <protection locked="0" hidden="1"/>
    </xf>
    <xf numFmtId="0" fontId="33" fillId="0" borderId="38" xfId="0" applyFont="1" applyBorder="1" applyAlignment="1" applyProtection="1">
      <alignment wrapText="1"/>
      <protection locked="0" hidden="1"/>
    </xf>
    <xf numFmtId="0" fontId="33" fillId="0" borderId="36" xfId="0" applyFont="1" applyBorder="1" applyProtection="1">
      <protection hidden="1"/>
    </xf>
    <xf numFmtId="0" fontId="3" fillId="7" borderId="14" xfId="0" applyFont="1" applyFill="1" applyBorder="1" applyAlignment="1" applyProtection="1">
      <alignment horizontal="center" vertical="center"/>
      <protection hidden="1"/>
    </xf>
    <xf numFmtId="0" fontId="10" fillId="9" borderId="17" xfId="0" applyFont="1" applyFill="1" applyBorder="1" applyAlignment="1" applyProtection="1">
      <alignment horizontal="center" vertical="center"/>
      <protection hidden="1"/>
    </xf>
    <xf numFmtId="0" fontId="12" fillId="10" borderId="7" xfId="0" applyFont="1" applyFill="1" applyBorder="1" applyAlignment="1" applyProtection="1">
      <alignment horizontal="center" vertical="center"/>
      <protection hidden="1"/>
    </xf>
    <xf numFmtId="0" fontId="10" fillId="9" borderId="8" xfId="0" applyFont="1" applyFill="1" applyBorder="1" applyAlignment="1" applyProtection="1">
      <alignment horizontal="center" vertical="center"/>
      <protection hidden="1"/>
    </xf>
    <xf numFmtId="0" fontId="10" fillId="8" borderId="9" xfId="0" applyFont="1" applyFill="1" applyBorder="1" applyAlignment="1" applyProtection="1">
      <alignment horizontal="center" vertical="center"/>
      <protection hidden="1"/>
    </xf>
    <xf numFmtId="0" fontId="12" fillId="10" borderId="9" xfId="0" applyFont="1" applyFill="1" applyBorder="1" applyAlignment="1" applyProtection="1">
      <alignment horizontal="center" vertical="center"/>
      <protection hidden="1"/>
    </xf>
    <xf numFmtId="0" fontId="10" fillId="5" borderId="11" xfId="0" applyFont="1" applyFill="1" applyBorder="1" applyAlignment="1" applyProtection="1">
      <alignment horizontal="center" vertical="center"/>
      <protection hidden="1"/>
    </xf>
    <xf numFmtId="0" fontId="10" fillId="9" borderId="12" xfId="0" applyFont="1" applyFill="1" applyBorder="1" applyAlignment="1" applyProtection="1">
      <alignment horizontal="center" vertical="center"/>
      <protection hidden="1"/>
    </xf>
    <xf numFmtId="0" fontId="10" fillId="8" borderId="13" xfId="0" applyFont="1" applyFill="1" applyBorder="1" applyAlignment="1" applyProtection="1">
      <alignment horizontal="center" vertical="center"/>
      <protection hidden="1"/>
    </xf>
    <xf numFmtId="0" fontId="12" fillId="10" borderId="13" xfId="0" applyFont="1" applyFill="1" applyBorder="1" applyAlignment="1" applyProtection="1">
      <alignment horizontal="center" vertical="center"/>
      <protection hidden="1"/>
    </xf>
    <xf numFmtId="0" fontId="10" fillId="9" borderId="21" xfId="0" applyFont="1" applyFill="1" applyBorder="1" applyAlignment="1" applyProtection="1">
      <alignment horizontal="center" vertical="center"/>
      <protection hidden="1"/>
    </xf>
    <xf numFmtId="0" fontId="3" fillId="8" borderId="22" xfId="0" applyFont="1" applyFill="1" applyBorder="1" applyAlignment="1" applyProtection="1">
      <alignment horizontal="center" vertical="center"/>
      <protection hidden="1"/>
    </xf>
    <xf numFmtId="0" fontId="12" fillId="10" borderId="22" xfId="0" applyFont="1" applyFill="1" applyBorder="1" applyAlignment="1" applyProtection="1">
      <alignment horizontal="center" vertical="center"/>
      <protection hidden="1"/>
    </xf>
    <xf numFmtId="0" fontId="10" fillId="5" borderId="34" xfId="0" applyFont="1" applyFill="1" applyBorder="1" applyAlignment="1" applyProtection="1">
      <alignment horizontal="center" vertical="center"/>
      <protection hidden="1"/>
    </xf>
    <xf numFmtId="0" fontId="10" fillId="8" borderId="7" xfId="0" applyFont="1" applyFill="1" applyBorder="1" applyAlignment="1" applyProtection="1">
      <alignment horizontal="center" vertical="center"/>
      <protection hidden="1"/>
    </xf>
    <xf numFmtId="0" fontId="10" fillId="8" borderId="22" xfId="0" applyFont="1" applyFill="1" applyBorder="1" applyAlignment="1" applyProtection="1">
      <alignment horizontal="center" vertical="center"/>
      <protection hidden="1"/>
    </xf>
    <xf numFmtId="0" fontId="3" fillId="8" borderId="9" xfId="0" applyFont="1" applyFill="1" applyBorder="1" applyAlignment="1" applyProtection="1">
      <alignment horizontal="center" vertical="center"/>
      <protection hidden="1"/>
    </xf>
    <xf numFmtId="0" fontId="3" fillId="8" borderId="7" xfId="0" applyFont="1" applyFill="1" applyBorder="1" applyAlignment="1" applyProtection="1">
      <alignment horizontal="center" vertical="center"/>
      <protection hidden="1"/>
    </xf>
    <xf numFmtId="0" fontId="5" fillId="5" borderId="2" xfId="0" applyFont="1" applyFill="1" applyBorder="1" applyAlignment="1" applyProtection="1">
      <alignment horizontal="center"/>
      <protection hidden="1"/>
    </xf>
    <xf numFmtId="0" fontId="13" fillId="0" borderId="37" xfId="0" applyFont="1" applyBorder="1" applyProtection="1">
      <protection hidden="1"/>
    </xf>
    <xf numFmtId="0" fontId="14" fillId="2" borderId="40" xfId="0" applyFont="1" applyFill="1" applyBorder="1" applyProtection="1">
      <protection hidden="1"/>
    </xf>
    <xf numFmtId="1" fontId="38" fillId="5" borderId="0" xfId="0" applyNumberFormat="1" applyFont="1" applyFill="1" applyAlignment="1" applyProtection="1">
      <alignment vertical="center" wrapText="1"/>
      <protection hidden="1"/>
    </xf>
    <xf numFmtId="0" fontId="17" fillId="5" borderId="0" xfId="0" applyFont="1" applyFill="1" applyAlignment="1" applyProtection="1">
      <alignment horizontal="left" vertical="center" wrapText="1"/>
      <protection hidden="1"/>
    </xf>
    <xf numFmtId="0" fontId="10" fillId="5" borderId="27" xfId="0" applyFont="1" applyFill="1" applyBorder="1" applyAlignment="1" applyProtection="1">
      <alignment horizontal="center" vertical="center"/>
      <protection hidden="1"/>
    </xf>
    <xf numFmtId="0" fontId="30" fillId="5" borderId="20" xfId="1" applyFont="1" applyFill="1" applyBorder="1" applyAlignment="1" applyProtection="1">
      <alignment horizontal="center" vertical="center"/>
      <protection locked="0"/>
    </xf>
    <xf numFmtId="0" fontId="30" fillId="5" borderId="14" xfId="1" applyFont="1" applyFill="1" applyBorder="1" applyAlignment="1" applyProtection="1">
      <alignment horizontal="center" vertical="center"/>
      <protection locked="0"/>
    </xf>
    <xf numFmtId="0" fontId="30" fillId="5" borderId="10" xfId="1" applyFont="1" applyFill="1" applyBorder="1" applyAlignment="1" applyProtection="1">
      <alignment horizontal="center" vertical="center"/>
      <protection locked="0"/>
    </xf>
    <xf numFmtId="0" fontId="30" fillId="5" borderId="11" xfId="1" applyFont="1" applyFill="1" applyBorder="1" applyAlignment="1" applyProtection="1">
      <alignment horizontal="center" vertical="center"/>
      <protection locked="0"/>
    </xf>
    <xf numFmtId="0" fontId="30" fillId="5" borderId="23" xfId="1" applyFont="1" applyFill="1" applyBorder="1" applyAlignment="1" applyProtection="1">
      <alignment horizontal="center" vertical="center" wrapText="1"/>
      <protection locked="0"/>
    </xf>
    <xf numFmtId="0" fontId="30" fillId="5" borderId="10" xfId="1" applyFont="1" applyFill="1" applyBorder="1" applyAlignment="1" applyProtection="1">
      <alignment horizontal="center" vertical="center" wrapText="1"/>
      <protection locked="0"/>
    </xf>
    <xf numFmtId="0" fontId="30" fillId="5" borderId="14" xfId="1" applyFont="1" applyFill="1" applyBorder="1" applyAlignment="1" applyProtection="1">
      <alignment horizontal="center" vertical="center" wrapText="1"/>
      <protection locked="0"/>
    </xf>
    <xf numFmtId="0" fontId="30" fillId="5" borderId="11" xfId="1" applyFont="1" applyFill="1" applyBorder="1" applyAlignment="1" applyProtection="1">
      <alignment horizontal="center" vertical="center" wrapText="1"/>
      <protection locked="0"/>
    </xf>
    <xf numFmtId="0" fontId="40" fillId="5" borderId="0" xfId="1" applyFont="1" applyFill="1" applyAlignment="1" applyProtection="1">
      <alignment horizontal="center" vertical="center" wrapText="1"/>
      <protection hidden="1"/>
    </xf>
    <xf numFmtId="0" fontId="28" fillId="0" borderId="46" xfId="0" applyFont="1" applyBorder="1" applyAlignment="1" applyProtection="1">
      <alignment horizontal="center" vertical="center" wrapText="1"/>
      <protection locked="0"/>
    </xf>
    <xf numFmtId="0" fontId="30" fillId="5" borderId="60" xfId="1" applyFont="1" applyFill="1" applyBorder="1" applyAlignment="1" applyProtection="1">
      <alignment horizontal="center" vertical="center"/>
      <protection locked="0"/>
    </xf>
    <xf numFmtId="0" fontId="45" fillId="0" borderId="61" xfId="1" applyFont="1" applyBorder="1" applyAlignment="1" applyProtection="1">
      <alignment horizontal="center" vertical="center" wrapText="1"/>
      <protection locked="0"/>
    </xf>
    <xf numFmtId="0" fontId="47" fillId="5" borderId="62" xfId="0" applyFont="1" applyFill="1" applyBorder="1" applyAlignment="1" applyProtection="1">
      <alignment horizontal="center" vertical="center" wrapText="1"/>
      <protection hidden="1"/>
    </xf>
    <xf numFmtId="0" fontId="48" fillId="0" borderId="0" xfId="0" applyFont="1" applyAlignment="1">
      <alignment horizontal="right" vertical="center" wrapText="1"/>
    </xf>
    <xf numFmtId="0" fontId="0" fillId="0" borderId="36" xfId="0" applyBorder="1" applyAlignment="1" applyProtection="1">
      <alignment horizontal="center" wrapText="1"/>
      <protection hidden="1"/>
    </xf>
    <xf numFmtId="0" fontId="50" fillId="0" borderId="38" xfId="0" applyFont="1" applyBorder="1" applyAlignment="1" applyProtection="1">
      <alignment horizontal="center" vertical="center"/>
      <protection hidden="1"/>
    </xf>
    <xf numFmtId="0" fontId="13" fillId="0" borderId="37" xfId="0" applyFont="1" applyBorder="1" applyAlignment="1" applyProtection="1">
      <alignment horizontal="center"/>
      <protection hidden="1"/>
    </xf>
    <xf numFmtId="0" fontId="13" fillId="0" borderId="41" xfId="0" applyFont="1" applyBorder="1" applyProtection="1">
      <protection hidden="1"/>
    </xf>
    <xf numFmtId="0" fontId="51" fillId="5" borderId="0" xfId="0" applyFont="1" applyFill="1" applyAlignment="1" applyProtection="1">
      <alignment horizontal="left" vertical="top" wrapText="1" readingOrder="1"/>
      <protection hidden="1"/>
    </xf>
    <xf numFmtId="0" fontId="13" fillId="0" borderId="0" xfId="0" applyFont="1" applyAlignment="1" applyProtection="1">
      <alignment horizontal="center"/>
      <protection hidden="1"/>
    </xf>
    <xf numFmtId="0" fontId="23" fillId="0" borderId="58" xfId="0" applyFont="1" applyBorder="1" applyAlignment="1" applyProtection="1">
      <alignment horizontal="center" vertical="center" wrapText="1" readingOrder="1"/>
      <protection hidden="1"/>
    </xf>
    <xf numFmtId="0" fontId="23" fillId="0" borderId="59" xfId="0" applyFont="1" applyBorder="1" applyAlignment="1" applyProtection="1">
      <alignment horizontal="center" vertical="center" wrapText="1" readingOrder="1"/>
      <protection hidden="1"/>
    </xf>
    <xf numFmtId="0" fontId="28" fillId="5" borderId="43" xfId="0" applyFont="1" applyFill="1" applyBorder="1" applyAlignment="1" applyProtection="1">
      <alignment horizontal="center" vertical="center" wrapText="1"/>
      <protection locked="0"/>
    </xf>
    <xf numFmtId="0" fontId="28" fillId="5" borderId="44" xfId="0" applyFont="1" applyFill="1" applyBorder="1" applyAlignment="1" applyProtection="1">
      <alignment horizontal="center" vertical="center" wrapText="1"/>
      <protection locked="0"/>
    </xf>
    <xf numFmtId="0" fontId="28" fillId="5" borderId="45" xfId="0" applyFont="1" applyFill="1" applyBorder="1" applyAlignment="1" applyProtection="1">
      <alignment horizontal="center" vertical="center" wrapText="1"/>
      <protection locked="0"/>
    </xf>
    <xf numFmtId="0" fontId="28" fillId="5" borderId="46" xfId="0" applyFont="1" applyFill="1" applyBorder="1" applyAlignment="1" applyProtection="1">
      <alignment horizontal="center" vertical="center" wrapText="1"/>
      <protection locked="0"/>
    </xf>
    <xf numFmtId="0" fontId="28" fillId="5" borderId="47" xfId="0" applyFont="1" applyFill="1" applyBorder="1" applyAlignment="1" applyProtection="1">
      <alignment horizontal="center" vertical="center" wrapText="1"/>
      <protection locked="0"/>
    </xf>
    <xf numFmtId="0" fontId="28" fillId="5" borderId="48" xfId="0" applyFont="1" applyFill="1" applyBorder="1" applyAlignment="1" applyProtection="1">
      <alignment horizontal="center" vertical="center" wrapText="1"/>
      <protection locked="0"/>
    </xf>
    <xf numFmtId="0" fontId="28" fillId="0" borderId="45" xfId="0" applyFont="1" applyBorder="1" applyAlignment="1" applyProtection="1">
      <alignment horizontal="center" vertical="center" wrapText="1"/>
      <protection locked="0"/>
    </xf>
    <xf numFmtId="0" fontId="28" fillId="0" borderId="46" xfId="0" applyFont="1" applyBorder="1" applyAlignment="1" applyProtection="1">
      <alignment horizontal="center" vertical="center" wrapText="1"/>
      <protection locked="0"/>
    </xf>
    <xf numFmtId="0" fontId="28" fillId="0" borderId="43" xfId="0" applyFont="1" applyBorder="1" applyAlignment="1" applyProtection="1">
      <alignment horizontal="center" vertical="center" wrapText="1"/>
      <protection locked="0"/>
    </xf>
    <xf numFmtId="0" fontId="28" fillId="0" borderId="44" xfId="0" applyFont="1" applyBorder="1" applyAlignment="1" applyProtection="1">
      <alignment horizontal="center" vertical="center" wrapText="1"/>
      <protection locked="0"/>
    </xf>
    <xf numFmtId="1" fontId="15" fillId="5" borderId="1" xfId="0" applyNumberFormat="1" applyFont="1" applyFill="1" applyBorder="1" applyAlignment="1" applyProtection="1">
      <alignment horizontal="center" vertical="center" wrapText="1"/>
      <protection hidden="1"/>
    </xf>
    <xf numFmtId="1" fontId="15" fillId="5" borderId="3" xfId="0" applyNumberFormat="1" applyFont="1" applyFill="1" applyBorder="1" applyAlignment="1" applyProtection="1">
      <alignment horizontal="center" vertical="center" wrapText="1"/>
      <protection hidden="1"/>
    </xf>
    <xf numFmtId="0" fontId="24" fillId="0" borderId="4"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wrapText="1"/>
      <protection hidden="1"/>
    </xf>
    <xf numFmtId="0" fontId="24" fillId="0" borderId="35" xfId="0" applyFont="1" applyBorder="1" applyAlignment="1" applyProtection="1">
      <alignment horizontal="center" vertical="center" wrapText="1"/>
      <protection hidden="1"/>
    </xf>
    <xf numFmtId="0" fontId="28" fillId="0" borderId="47" xfId="0" applyFont="1" applyBorder="1" applyAlignment="1" applyProtection="1">
      <alignment horizontal="center" vertical="center" wrapText="1"/>
      <protection locked="0"/>
    </xf>
    <xf numFmtId="0" fontId="28" fillId="0" borderId="48" xfId="0" applyFont="1" applyBorder="1" applyAlignment="1" applyProtection="1">
      <alignment horizontal="center" vertical="center" wrapText="1"/>
      <protection locked="0"/>
    </xf>
    <xf numFmtId="0" fontId="5" fillId="5" borderId="2"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5" fillId="5" borderId="1" xfId="0" applyFont="1" applyFill="1" applyBorder="1" applyAlignment="1" applyProtection="1">
      <alignment horizontal="center" vertical="center"/>
      <protection hidden="1"/>
    </xf>
    <xf numFmtId="0" fontId="23" fillId="5" borderId="6" xfId="0" applyFont="1" applyFill="1" applyBorder="1" applyAlignment="1" applyProtection="1">
      <alignment horizontal="center" vertical="center" wrapText="1" readingOrder="1"/>
      <protection hidden="1"/>
    </xf>
    <xf numFmtId="0" fontId="23" fillId="5" borderId="10" xfId="0" applyFont="1" applyFill="1" applyBorder="1" applyAlignment="1" applyProtection="1">
      <alignment horizontal="center" vertical="center" wrapText="1" readingOrder="1"/>
      <protection hidden="1"/>
    </xf>
    <xf numFmtId="0" fontId="23" fillId="5" borderId="17" xfId="0" applyFont="1" applyFill="1" applyBorder="1" applyAlignment="1" applyProtection="1">
      <alignment horizontal="center" vertical="center" wrapText="1" readingOrder="1"/>
      <protection hidden="1"/>
    </xf>
    <xf numFmtId="0" fontId="23" fillId="5" borderId="18" xfId="0" applyFont="1" applyFill="1" applyBorder="1" applyAlignment="1" applyProtection="1">
      <alignment horizontal="center" vertical="center" wrapText="1" readingOrder="1"/>
      <protection hidden="1"/>
    </xf>
    <xf numFmtId="0" fontId="23" fillId="5" borderId="8" xfId="0" applyFont="1" applyFill="1" applyBorder="1" applyAlignment="1" applyProtection="1">
      <alignment horizontal="center" vertical="center" wrapText="1" readingOrder="1"/>
      <protection hidden="1"/>
    </xf>
    <xf numFmtId="0" fontId="23" fillId="5" borderId="20" xfId="0" applyFont="1" applyFill="1" applyBorder="1" applyAlignment="1" applyProtection="1">
      <alignment horizontal="center" vertical="center" wrapText="1" readingOrder="1"/>
      <protection hidden="1"/>
    </xf>
    <xf numFmtId="0" fontId="23" fillId="5" borderId="47" xfId="0" applyFont="1" applyFill="1" applyBorder="1" applyAlignment="1" applyProtection="1">
      <alignment horizontal="center" vertical="center" wrapText="1" readingOrder="1"/>
      <protection hidden="1"/>
    </xf>
    <xf numFmtId="0" fontId="23" fillId="5" borderId="48" xfId="0" applyFont="1" applyFill="1" applyBorder="1" applyAlignment="1" applyProtection="1">
      <alignment horizontal="center" vertical="center" wrapText="1" readingOrder="1"/>
      <protection hidden="1"/>
    </xf>
    <xf numFmtId="0" fontId="16" fillId="5" borderId="1" xfId="0" applyFont="1" applyFill="1" applyBorder="1" applyAlignment="1" applyProtection="1">
      <alignment horizontal="center" vertical="center" wrapText="1"/>
      <protection hidden="1"/>
    </xf>
    <xf numFmtId="0" fontId="16" fillId="5" borderId="3" xfId="0" applyFont="1" applyFill="1" applyBorder="1" applyAlignment="1" applyProtection="1">
      <alignment horizontal="center" vertical="center" wrapText="1"/>
      <protection hidden="1"/>
    </xf>
    <xf numFmtId="0" fontId="22" fillId="2" borderId="1" xfId="0" applyFont="1" applyFill="1" applyBorder="1" applyAlignment="1" applyProtection="1">
      <alignment horizontal="center" vertical="center" wrapText="1"/>
      <protection hidden="1"/>
    </xf>
    <xf numFmtId="0" fontId="29" fillId="2" borderId="3" xfId="0" applyFont="1" applyFill="1" applyBorder="1" applyAlignment="1" applyProtection="1">
      <alignment horizontal="center" vertical="center" wrapText="1"/>
      <protection hidden="1"/>
    </xf>
    <xf numFmtId="164" fontId="4" fillId="5" borderId="53" xfId="0" applyNumberFormat="1" applyFont="1" applyFill="1" applyBorder="1" applyAlignment="1" applyProtection="1">
      <alignment horizontal="center" vertical="center"/>
      <protection hidden="1"/>
    </xf>
    <xf numFmtId="164" fontId="4" fillId="5" borderId="54" xfId="0" applyNumberFormat="1" applyFont="1" applyFill="1" applyBorder="1" applyAlignment="1" applyProtection="1">
      <alignment horizontal="center" vertical="center"/>
      <protection hidden="1"/>
    </xf>
    <xf numFmtId="164" fontId="4" fillId="5" borderId="55" xfId="0" applyNumberFormat="1" applyFont="1" applyFill="1" applyBorder="1" applyAlignment="1" applyProtection="1">
      <alignment horizontal="center" vertical="center"/>
      <protection hidden="1"/>
    </xf>
    <xf numFmtId="0" fontId="10" fillId="5" borderId="1" xfId="0" applyFont="1" applyFill="1" applyBorder="1" applyAlignment="1" applyProtection="1">
      <alignment horizontal="left" vertical="top" wrapText="1"/>
      <protection locked="0"/>
    </xf>
    <xf numFmtId="0" fontId="10" fillId="5" borderId="2" xfId="0" applyFont="1" applyFill="1" applyBorder="1" applyAlignment="1" applyProtection="1">
      <alignment horizontal="left" vertical="top" wrapText="1"/>
      <protection locked="0"/>
    </xf>
    <xf numFmtId="0" fontId="10" fillId="5" borderId="3" xfId="0" applyFont="1" applyFill="1" applyBorder="1" applyAlignment="1" applyProtection="1">
      <alignment horizontal="left" vertical="top" wrapText="1"/>
      <protection locked="0"/>
    </xf>
    <xf numFmtId="0" fontId="52" fillId="5" borderId="1" xfId="0" applyFont="1" applyFill="1" applyBorder="1" applyAlignment="1" applyProtection="1">
      <alignment horizontal="left" vertical="top" wrapText="1"/>
      <protection locked="0"/>
    </xf>
    <xf numFmtId="0" fontId="52" fillId="5" borderId="2" xfId="0" applyFont="1" applyFill="1" applyBorder="1" applyAlignment="1" applyProtection="1">
      <alignment horizontal="left" vertical="top" wrapText="1"/>
      <protection locked="0"/>
    </xf>
    <xf numFmtId="0" fontId="52" fillId="5" borderId="3" xfId="0" applyFont="1" applyFill="1" applyBorder="1" applyAlignment="1" applyProtection="1">
      <alignment horizontal="left" vertical="top" wrapText="1"/>
      <protection locked="0"/>
    </xf>
    <xf numFmtId="0" fontId="3" fillId="5" borderId="1" xfId="0" applyFont="1" applyFill="1" applyBorder="1" applyAlignment="1" applyProtection="1">
      <alignment horizontal="left" vertical="top" wrapText="1"/>
      <protection locked="0"/>
    </xf>
    <xf numFmtId="0" fontId="3" fillId="5" borderId="2" xfId="0" applyFont="1" applyFill="1" applyBorder="1" applyAlignment="1" applyProtection="1">
      <alignment horizontal="left" vertical="top" wrapText="1"/>
      <protection locked="0"/>
    </xf>
    <xf numFmtId="0" fontId="3" fillId="5" borderId="3" xfId="0" applyFont="1" applyFill="1" applyBorder="1" applyAlignment="1" applyProtection="1">
      <alignment horizontal="left" vertical="top" wrapText="1"/>
      <protection locked="0"/>
    </xf>
    <xf numFmtId="0" fontId="21" fillId="5" borderId="25" xfId="0" applyFont="1" applyFill="1" applyBorder="1" applyAlignment="1" applyProtection="1">
      <alignment horizontal="left" vertical="center" wrapText="1"/>
      <protection hidden="1"/>
    </xf>
    <xf numFmtId="0" fontId="21" fillId="5" borderId="25" xfId="0" applyFont="1" applyFill="1" applyBorder="1" applyAlignment="1" applyProtection="1">
      <alignment horizontal="left" vertical="center"/>
      <protection hidden="1"/>
    </xf>
    <xf numFmtId="0" fontId="21" fillId="5" borderId="25" xfId="0" applyFont="1" applyFill="1" applyBorder="1" applyAlignment="1">
      <alignment horizontal="left" vertical="center" wrapText="1"/>
    </xf>
    <xf numFmtId="0" fontId="21" fillId="2" borderId="25" xfId="0" applyFont="1" applyFill="1" applyBorder="1" applyAlignment="1" applyProtection="1">
      <alignment horizontal="left" vertical="center" wrapText="1"/>
      <protection hidden="1"/>
    </xf>
    <xf numFmtId="0" fontId="15" fillId="5" borderId="0" xfId="0" applyFont="1" applyFill="1" applyAlignment="1" applyProtection="1">
      <alignment horizontal="left" vertical="center" wrapText="1"/>
      <protection hidden="1"/>
    </xf>
    <xf numFmtId="0" fontId="17" fillId="5" borderId="0" xfId="0" applyFont="1" applyFill="1" applyAlignment="1" applyProtection="1">
      <alignment horizontal="left" vertical="center" wrapText="1"/>
      <protection hidden="1"/>
    </xf>
    <xf numFmtId="0" fontId="44" fillId="5" borderId="27" xfId="0" applyFont="1" applyFill="1" applyBorder="1" applyAlignment="1" applyProtection="1">
      <alignment horizontal="center" vertical="center"/>
      <protection hidden="1"/>
    </xf>
    <xf numFmtId="0" fontId="5" fillId="5" borderId="26" xfId="0" applyFont="1" applyFill="1" applyBorder="1" applyAlignment="1" applyProtection="1">
      <alignment horizontal="center" vertical="center"/>
      <protection hidden="1"/>
    </xf>
    <xf numFmtId="0" fontId="28" fillId="0" borderId="40" xfId="0" applyFont="1" applyBorder="1" applyAlignment="1" applyProtection="1">
      <alignment horizontal="center" vertical="center" wrapText="1"/>
      <protection locked="0"/>
    </xf>
    <xf numFmtId="0" fontId="28" fillId="0" borderId="32" xfId="0" applyFont="1" applyBorder="1" applyAlignment="1" applyProtection="1">
      <alignment horizontal="center" vertical="center" wrapText="1"/>
      <protection locked="0"/>
    </xf>
    <xf numFmtId="0" fontId="28" fillId="0" borderId="29"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wrapText="1"/>
      <protection locked="0"/>
    </xf>
    <xf numFmtId="0" fontId="24" fillId="0" borderId="1" xfId="0" applyFont="1" applyBorder="1" applyAlignment="1" applyProtection="1">
      <alignment horizontal="center" vertical="center" wrapText="1"/>
      <protection hidden="1"/>
    </xf>
    <xf numFmtId="0" fontId="24" fillId="0" borderId="3" xfId="0" applyFont="1" applyBorder="1" applyAlignment="1" applyProtection="1">
      <alignment horizontal="center" vertical="center" wrapText="1"/>
      <protection hidden="1"/>
    </xf>
    <xf numFmtId="0" fontId="39" fillId="5" borderId="47" xfId="0" applyFont="1" applyFill="1" applyBorder="1" applyAlignment="1" applyProtection="1">
      <alignment horizontal="center" vertical="center" wrapText="1"/>
      <protection hidden="1"/>
    </xf>
    <xf numFmtId="0" fontId="39" fillId="5" borderId="48" xfId="0" applyFont="1" applyFill="1" applyBorder="1" applyAlignment="1" applyProtection="1">
      <alignment horizontal="center" vertical="center" wrapText="1"/>
      <protection hidden="1"/>
    </xf>
    <xf numFmtId="0" fontId="39" fillId="5" borderId="63" xfId="0" applyFont="1" applyFill="1" applyBorder="1" applyAlignment="1" applyProtection="1">
      <alignment horizontal="center" vertical="center" wrapText="1"/>
      <protection hidden="1"/>
    </xf>
    <xf numFmtId="0" fontId="39" fillId="5" borderId="64" xfId="0" applyFont="1" applyFill="1" applyBorder="1" applyAlignment="1" applyProtection="1">
      <alignment horizontal="center" vertical="center" wrapText="1"/>
      <protection hidden="1"/>
    </xf>
    <xf numFmtId="0" fontId="39" fillId="5" borderId="45" xfId="0" applyFont="1" applyFill="1" applyBorder="1" applyAlignment="1" applyProtection="1">
      <alignment horizontal="center" vertical="center" wrapText="1"/>
      <protection hidden="1"/>
    </xf>
    <xf numFmtId="0" fontId="39" fillId="5" borderId="46" xfId="0" applyFont="1" applyFill="1" applyBorder="1" applyAlignment="1" applyProtection="1">
      <alignment horizontal="center" vertical="center" wrapText="1"/>
      <protection hidden="1"/>
    </xf>
    <xf numFmtId="0" fontId="39" fillId="5" borderId="43" xfId="0" applyFont="1" applyFill="1" applyBorder="1" applyAlignment="1" applyProtection="1">
      <alignment horizontal="center" vertical="center" wrapText="1"/>
      <protection hidden="1"/>
    </xf>
    <xf numFmtId="0" fontId="39" fillId="5" borderId="44" xfId="0" applyFont="1" applyFill="1" applyBorder="1" applyAlignment="1" applyProtection="1">
      <alignment horizontal="center" vertical="center" wrapText="1"/>
      <protection hidden="1"/>
    </xf>
    <xf numFmtId="0" fontId="24" fillId="0" borderId="26" xfId="0" applyFont="1" applyBorder="1" applyAlignment="1" applyProtection="1">
      <alignment horizontal="center" vertical="center" wrapText="1"/>
      <protection hidden="1"/>
    </xf>
    <xf numFmtId="0" fontId="24" fillId="0" borderId="28" xfId="0" applyFont="1" applyBorder="1" applyAlignment="1" applyProtection="1">
      <alignment horizontal="center" vertical="center" wrapText="1"/>
      <protection hidden="1"/>
    </xf>
    <xf numFmtId="0" fontId="3" fillId="5" borderId="45" xfId="0" applyFont="1" applyFill="1" applyBorder="1" applyAlignment="1" applyProtection="1">
      <alignment horizontal="left" vertical="top" wrapText="1"/>
      <protection locked="0"/>
    </xf>
    <xf numFmtId="0" fontId="3" fillId="5" borderId="46" xfId="0" applyFont="1" applyFill="1" applyBorder="1" applyAlignment="1" applyProtection="1">
      <alignment horizontal="left" vertical="top" wrapText="1"/>
      <protection locked="0"/>
    </xf>
    <xf numFmtId="0" fontId="3" fillId="5" borderId="40" xfId="0" applyFont="1" applyFill="1" applyBorder="1" applyAlignment="1" applyProtection="1">
      <alignment horizontal="left" vertical="top" wrapText="1"/>
      <protection locked="0"/>
    </xf>
    <xf numFmtId="0" fontId="3" fillId="5" borderId="41" xfId="0" applyFont="1" applyFill="1" applyBorder="1" applyAlignment="1" applyProtection="1">
      <alignment horizontal="left" vertical="top" wrapText="1"/>
      <protection locked="0"/>
    </xf>
    <xf numFmtId="0" fontId="3" fillId="5" borderId="39" xfId="0" applyFont="1" applyFill="1" applyBorder="1" applyAlignment="1" applyProtection="1">
      <alignment horizontal="left" vertical="top" wrapText="1"/>
      <protection locked="0"/>
    </xf>
    <xf numFmtId="0" fontId="3" fillId="5" borderId="32" xfId="0" applyFont="1" applyFill="1" applyBorder="1" applyAlignment="1" applyProtection="1">
      <alignment horizontal="left" vertical="top" wrapText="1"/>
      <protection locked="0"/>
    </xf>
    <xf numFmtId="0" fontId="49" fillId="2" borderId="0" xfId="0" applyFont="1" applyFill="1" applyAlignment="1" applyProtection="1">
      <alignment horizontal="right" vertical="center" wrapText="1"/>
      <protection hidden="1"/>
    </xf>
    <xf numFmtId="0" fontId="22" fillId="5" borderId="26" xfId="0" applyFont="1" applyFill="1" applyBorder="1" applyAlignment="1" applyProtection="1">
      <alignment horizontal="center" vertical="center" wrapText="1"/>
      <protection hidden="1"/>
    </xf>
    <xf numFmtId="0" fontId="22" fillId="5" borderId="28" xfId="0" applyFont="1" applyFill="1" applyBorder="1" applyAlignment="1" applyProtection="1">
      <alignment horizontal="center" vertical="center" wrapText="1"/>
      <protection hidden="1"/>
    </xf>
    <xf numFmtId="0" fontId="22" fillId="5" borderId="40" xfId="0" applyFont="1" applyFill="1" applyBorder="1" applyAlignment="1" applyProtection="1">
      <alignment horizontal="center" vertical="center" wrapText="1"/>
      <protection hidden="1"/>
    </xf>
    <xf numFmtId="0" fontId="22" fillId="5" borderId="41" xfId="0" applyFont="1" applyFill="1" applyBorder="1" applyAlignment="1" applyProtection="1">
      <alignment horizontal="center" vertical="center" wrapText="1"/>
      <protection hidden="1"/>
    </xf>
    <xf numFmtId="0" fontId="22" fillId="5" borderId="29" xfId="0" applyFont="1" applyFill="1" applyBorder="1" applyAlignment="1" applyProtection="1">
      <alignment horizontal="center" vertical="center" wrapText="1"/>
      <protection hidden="1"/>
    </xf>
    <xf numFmtId="0" fontId="22" fillId="5" borderId="42" xfId="0" applyFont="1" applyFill="1" applyBorder="1" applyAlignment="1" applyProtection="1">
      <alignment horizontal="center" vertical="center" wrapText="1"/>
      <protection hidden="1"/>
    </xf>
    <xf numFmtId="0" fontId="11" fillId="5" borderId="56" xfId="0" applyFont="1" applyFill="1" applyBorder="1" applyAlignment="1" applyProtection="1">
      <alignment horizontal="center" vertical="center" wrapText="1"/>
      <protection hidden="1"/>
    </xf>
    <xf numFmtId="0" fontId="11" fillId="5" borderId="27" xfId="0" applyFont="1" applyFill="1" applyBorder="1" applyAlignment="1" applyProtection="1">
      <alignment horizontal="center" vertical="center"/>
      <protection hidden="1"/>
    </xf>
    <xf numFmtId="0" fontId="11" fillId="5" borderId="28" xfId="0" applyFont="1" applyFill="1" applyBorder="1" applyAlignment="1" applyProtection="1">
      <alignment horizontal="center" vertical="center"/>
      <protection hidden="1"/>
    </xf>
    <xf numFmtId="0" fontId="11" fillId="5" borderId="57" xfId="0" applyFont="1" applyFill="1" applyBorder="1" applyAlignment="1" applyProtection="1">
      <alignment horizontal="center" vertical="center"/>
      <protection hidden="1"/>
    </xf>
    <xf numFmtId="0" fontId="11" fillId="5" borderId="25" xfId="0" applyFont="1" applyFill="1" applyBorder="1" applyAlignment="1" applyProtection="1">
      <alignment horizontal="center" vertical="center"/>
      <protection hidden="1"/>
    </xf>
    <xf numFmtId="0" fontId="11" fillId="5" borderId="42" xfId="0" applyFont="1" applyFill="1" applyBorder="1" applyAlignment="1" applyProtection="1">
      <alignment horizontal="center" vertical="center"/>
      <protection hidden="1"/>
    </xf>
    <xf numFmtId="0" fontId="3" fillId="5" borderId="43" xfId="0" applyFont="1" applyFill="1" applyBorder="1" applyAlignment="1" applyProtection="1">
      <alignment horizontal="left" vertical="top" wrapText="1"/>
      <protection locked="0"/>
    </xf>
    <xf numFmtId="0" fontId="3" fillId="5" borderId="44" xfId="0" applyFont="1" applyFill="1" applyBorder="1" applyAlignment="1" applyProtection="1">
      <alignment horizontal="left" vertical="top" wrapText="1"/>
      <protection locked="0"/>
    </xf>
    <xf numFmtId="0" fontId="3" fillId="5" borderId="29" xfId="0" applyFont="1" applyFill="1" applyBorder="1" applyAlignment="1" applyProtection="1">
      <alignment horizontal="left" vertical="top" wrapText="1"/>
      <protection locked="0"/>
    </xf>
    <xf numFmtId="0" fontId="3" fillId="5" borderId="42" xfId="0" applyFont="1" applyFill="1" applyBorder="1" applyAlignment="1" applyProtection="1">
      <alignment horizontal="left" vertical="top" wrapText="1"/>
      <protection locked="0"/>
    </xf>
    <xf numFmtId="0" fontId="53" fillId="2" borderId="40" xfId="0" applyFont="1" applyFill="1" applyBorder="1" applyAlignment="1" applyProtection="1">
      <alignment horizontal="left" vertical="top" wrapText="1"/>
      <protection locked="0"/>
    </xf>
    <xf numFmtId="0" fontId="53" fillId="2" borderId="41" xfId="0" applyFont="1" applyFill="1" applyBorder="1" applyAlignment="1" applyProtection="1">
      <alignment horizontal="left" vertical="top" wrapText="1"/>
      <protection locked="0"/>
    </xf>
    <xf numFmtId="0" fontId="3" fillId="5" borderId="47" xfId="0" applyFont="1" applyFill="1" applyBorder="1" applyAlignment="1" applyProtection="1">
      <alignment horizontal="left" vertical="top" wrapText="1"/>
      <protection locked="0"/>
    </xf>
    <xf numFmtId="0" fontId="3" fillId="5" borderId="48" xfId="0" applyFont="1" applyFill="1" applyBorder="1" applyAlignment="1" applyProtection="1">
      <alignment horizontal="left" vertical="top" wrapText="1"/>
      <protection locked="0"/>
    </xf>
  </cellXfs>
  <cellStyles count="2">
    <cellStyle name="Link" xfId="1" builtinId="8"/>
    <cellStyle name="Standard" xfId="0" builtinId="0"/>
  </cellStyles>
  <dxfs count="46">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rgb="FF9C0006"/>
      </font>
      <fill>
        <patternFill>
          <bgColor rgb="FFFFC7CE"/>
        </patternFill>
      </fill>
    </dxf>
    <dxf>
      <font>
        <color auto="1"/>
      </font>
      <fill>
        <patternFill patternType="none">
          <bgColor auto="1"/>
        </patternFill>
      </fill>
    </dxf>
    <dxf>
      <fill>
        <patternFill>
          <bgColor rgb="FF00B050"/>
        </patternFill>
      </fill>
    </dxf>
    <dxf>
      <fill>
        <patternFill>
          <bgColor rgb="FF92D050"/>
        </patternFill>
      </fill>
    </dxf>
    <dxf>
      <fill>
        <patternFill>
          <bgColor rgb="FFFFC000"/>
        </patternFill>
      </fill>
    </dxf>
    <dxf>
      <font>
        <color auto="1"/>
      </font>
      <fill>
        <patternFill>
          <bgColor theme="0"/>
        </patternFill>
      </fill>
    </dxf>
    <dxf>
      <fill>
        <patternFill>
          <bgColor rgb="FFC00000"/>
        </patternFill>
      </fill>
    </dxf>
    <dxf>
      <font>
        <color rgb="FF00B050"/>
      </font>
      <fill>
        <patternFill>
          <bgColor rgb="FF00B050"/>
        </patternFill>
      </fill>
    </dxf>
    <dxf>
      <font>
        <color rgb="FF92D050"/>
      </font>
      <fill>
        <patternFill>
          <bgColor rgb="FF92D050"/>
        </patternFill>
      </fill>
    </dxf>
    <dxf>
      <font>
        <color rgb="FFFFC000"/>
      </font>
      <fill>
        <patternFill>
          <bgColor rgb="FFFFC000"/>
        </patternFill>
      </fill>
    </dxf>
    <dxf>
      <font>
        <color rgb="FFC00000"/>
      </font>
      <fill>
        <patternFill>
          <bgColor rgb="FFC00000"/>
        </patternFill>
      </fill>
    </dxf>
    <dxf>
      <font>
        <color theme="0"/>
      </font>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
      <font>
        <color auto="1"/>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xdr:from>
      <xdr:col>12</xdr:col>
      <xdr:colOff>1255833</xdr:colOff>
      <xdr:row>2</xdr:row>
      <xdr:rowOff>36060</xdr:rowOff>
    </xdr:from>
    <xdr:to>
      <xdr:col>14</xdr:col>
      <xdr:colOff>1294306</xdr:colOff>
      <xdr:row>8</xdr:row>
      <xdr:rowOff>192860</xdr:rowOff>
    </xdr:to>
    <xdr:pic>
      <xdr:nvPicPr>
        <xdr:cNvPr id="3" name="Picture 2">
          <a:extLst>
            <a:ext uri="{FF2B5EF4-FFF2-40B4-BE49-F238E27FC236}">
              <a16:creationId xmlns:a16="http://schemas.microsoft.com/office/drawing/2014/main" id="{A0C8E6E3-6F28-463B-BBE8-F8221ECE1E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94690" y="893310"/>
          <a:ext cx="3562723" cy="2211479"/>
        </a:xfrm>
        <a:prstGeom prst="rect">
          <a:avLst/>
        </a:prstGeom>
      </xdr:spPr>
    </xdr:pic>
    <xdr:clientData/>
  </xdr:twoCellAnchor>
</xdr:wsDr>
</file>

<file path=xl/theme/theme1.xml><?xml version="1.0" encoding="utf-8"?>
<a:theme xmlns:a="http://schemas.openxmlformats.org/drawingml/2006/main" name="Office Theme">
  <a:themeElements>
    <a:clrScheme name="UKSA Suitable Colours">
      <a:dk1>
        <a:srgbClr val="053E59"/>
      </a:dk1>
      <a:lt1>
        <a:sysClr val="window" lastClr="FFFFFF"/>
      </a:lt1>
      <a:dk2>
        <a:srgbClr val="274060"/>
      </a:dk2>
      <a:lt2>
        <a:srgbClr val="EEECE1"/>
      </a:lt2>
      <a:accent1>
        <a:srgbClr val="A9BE3B"/>
      </a:accent1>
      <a:accent2>
        <a:srgbClr val="347FC4"/>
      </a:accent2>
      <a:accent3>
        <a:srgbClr val="335C81"/>
      </a:accent3>
      <a:accent4>
        <a:srgbClr val="FF6F59"/>
      </a:accent4>
      <a:accent5>
        <a:srgbClr val="4BACC6"/>
      </a:accent5>
      <a:accent6>
        <a:srgbClr val="254441"/>
      </a:accent6>
      <a:hlink>
        <a:srgbClr val="265F93"/>
      </a:hlink>
      <a:folHlink>
        <a:srgbClr val="A9BE3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ksa.statisticsauthority.gov.uk/publication/guidelines-on-using-the-ethics-self-assessment-process/pages/4/" TargetMode="External"/><Relationship Id="rId13" Type="http://schemas.openxmlformats.org/officeDocument/2006/relationships/hyperlink" Target="https://uksa.statisticsauthority.gov.uk/publication/guidelines-on-using-the-ethics-self-assessment-process/pages/5/" TargetMode="External"/><Relationship Id="rId18" Type="http://schemas.openxmlformats.org/officeDocument/2006/relationships/hyperlink" Target="https://uksa.statisticsauthority.gov.uk/publication/guidelines-on-using-the-ethics-self-assessment-process/pages/7/" TargetMode="External"/><Relationship Id="rId3" Type="http://schemas.openxmlformats.org/officeDocument/2006/relationships/hyperlink" Target="https://uksa.statisticsauthority.gov.uk/publication/guidelines-on-using-the-ethics-self-assessment-process/pages/3/" TargetMode="External"/><Relationship Id="rId21" Type="http://schemas.openxmlformats.org/officeDocument/2006/relationships/hyperlink" Target="https://uksa.statisticsauthority.gov.uk/publication/guidelines-on-using-the-ethics-self-assessment-process/pages/8/" TargetMode="External"/><Relationship Id="rId7" Type="http://schemas.openxmlformats.org/officeDocument/2006/relationships/hyperlink" Target="https://uksa.statisticsauthority.gov.uk/publication/guidelines-on-using-the-ethics-self-assessment-process/pages/4/" TargetMode="External"/><Relationship Id="rId12" Type="http://schemas.openxmlformats.org/officeDocument/2006/relationships/hyperlink" Target="https://uksa.statisticsauthority.gov.uk/publication/guidelines-on-using-the-ethics-self-assessment-process/pages/5/" TargetMode="External"/><Relationship Id="rId17" Type="http://schemas.openxmlformats.org/officeDocument/2006/relationships/hyperlink" Target="https://uksa.statisticsauthority.gov.uk/publication/guidelines-on-using-the-ethics-self-assessment-process/pages/6/" TargetMode="External"/><Relationship Id="rId25" Type="http://schemas.openxmlformats.org/officeDocument/2006/relationships/drawing" Target="../drawings/drawing1.xml"/><Relationship Id="rId2" Type="http://schemas.openxmlformats.org/officeDocument/2006/relationships/hyperlink" Target="https://uksa.statisticsauthority.gov.uk/publication/guidelines-on-using-the-ethics-self-assessment-process/pages/3/" TargetMode="External"/><Relationship Id="rId16" Type="http://schemas.openxmlformats.org/officeDocument/2006/relationships/hyperlink" Target="https://uksa.statisticsauthority.gov.uk/publication/guidelines-on-using-the-ethics-self-assessment-process/pages/6/" TargetMode="External"/><Relationship Id="rId20" Type="http://schemas.openxmlformats.org/officeDocument/2006/relationships/hyperlink" Target="https://uksa.statisticsauthority.gov.uk/publication/guidelines-on-using-the-ethics-self-assessment-process/pages/8/" TargetMode="External"/><Relationship Id="rId1" Type="http://schemas.openxmlformats.org/officeDocument/2006/relationships/hyperlink" Target="https://uksa.statisticsauthority.gov.uk/publication/guidelines-on-using-the-ethics-self-assessment-process/pages/3/" TargetMode="External"/><Relationship Id="rId6" Type="http://schemas.openxmlformats.org/officeDocument/2006/relationships/hyperlink" Target="https://uksa.statisticsauthority.gov.uk/publication/guidelines-on-using-the-ethics-self-assessment-process/pages/4/" TargetMode="External"/><Relationship Id="rId11" Type="http://schemas.openxmlformats.org/officeDocument/2006/relationships/hyperlink" Target="https://uksa.statisticsauthority.gov.uk/publication/guidelines-on-using-the-ethics-self-assessment-process/pages/5/" TargetMode="External"/><Relationship Id="rId24" Type="http://schemas.openxmlformats.org/officeDocument/2006/relationships/printerSettings" Target="../printerSettings/printerSettings1.bin"/><Relationship Id="rId5" Type="http://schemas.openxmlformats.org/officeDocument/2006/relationships/hyperlink" Target="https://uksa.statisticsauthority.gov.uk/publication/guidelines-on-using-the-ethics-self-assessment-process/pages/4/" TargetMode="External"/><Relationship Id="rId15" Type="http://schemas.openxmlformats.org/officeDocument/2006/relationships/hyperlink" Target="https://uksa.statisticsauthority.gov.uk/publication/guidelines-on-using-the-ethics-self-assessment-process/pages/5/" TargetMode="External"/><Relationship Id="rId23" Type="http://schemas.openxmlformats.org/officeDocument/2006/relationships/hyperlink" Target="https://uksa.statisticsauthority.gov.uk/publication/considering-public-good-in-research-and-statistics-ethics-guidance/pages/1/" TargetMode="External"/><Relationship Id="rId10" Type="http://schemas.openxmlformats.org/officeDocument/2006/relationships/hyperlink" Target="https://uksa.statisticsauthority.gov.uk/publication/guidelines-on-using-the-ethics-self-assessment-process/pages/5/" TargetMode="External"/><Relationship Id="rId19" Type="http://schemas.openxmlformats.org/officeDocument/2006/relationships/hyperlink" Target="https://uksa.statisticsauthority.gov.uk/publication/guidelines-on-using-the-ethics-self-assessment-process/pages/7/" TargetMode="External"/><Relationship Id="rId4" Type="http://schemas.openxmlformats.org/officeDocument/2006/relationships/hyperlink" Target="https://uksa.statisticsauthority.gov.uk/publication/guidelines-on-using-the-ethics-self-assessment-process/pages/3/" TargetMode="External"/><Relationship Id="rId9" Type="http://schemas.openxmlformats.org/officeDocument/2006/relationships/hyperlink" Target="https://uksa.statisticsauthority.gov.uk/publication/guidelines-on-using-the-ethics-self-assessment-process/pages/4/" TargetMode="External"/><Relationship Id="rId14" Type="http://schemas.openxmlformats.org/officeDocument/2006/relationships/hyperlink" Target="https://uksa.statisticsauthority.gov.uk/publication/guidelines-on-using-the-ethics-self-assessment-process/pages/5/" TargetMode="External"/><Relationship Id="rId22" Type="http://schemas.openxmlformats.org/officeDocument/2006/relationships/hyperlink" Target="https://uksa.statisticsauthority.gov.uk/publication/guidelines-on-using-the-ethics-self-assessment-process/pages/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C1048576"/>
  <sheetViews>
    <sheetView showGridLines="0" tabSelected="1" zoomScale="70" zoomScaleNormal="70" workbookViewId="0">
      <selection activeCell="C10" sqref="C10:L10"/>
    </sheetView>
  </sheetViews>
  <sheetFormatPr baseColWidth="10" defaultColWidth="0" defaultRowHeight="14.35" zeroHeight="1" x14ac:dyDescent="0.5"/>
  <cols>
    <col min="1" max="1" width="1" style="1" customWidth="1"/>
    <col min="2" max="2" width="13.87890625" style="1" customWidth="1"/>
    <col min="3" max="3" width="41.41015625" style="1" customWidth="1"/>
    <col min="4" max="4" width="24" style="1" customWidth="1"/>
    <col min="5" max="5" width="57.29296875" style="1" customWidth="1"/>
    <col min="6" max="6" width="16.41015625" style="1" hidden="1" customWidth="1"/>
    <col min="7" max="7" width="19.1171875" style="1" hidden="1" customWidth="1"/>
    <col min="8" max="8" width="11.1171875" style="1" hidden="1" customWidth="1"/>
    <col min="9" max="9" width="9.5859375" style="1" hidden="1" customWidth="1"/>
    <col min="10" max="10" width="12" style="1" hidden="1" customWidth="1"/>
    <col min="11" max="11" width="17.87890625" style="1" hidden="1" customWidth="1"/>
    <col min="12" max="12" width="31.5859375" style="1" customWidth="1"/>
    <col min="13" max="13" width="24.29296875" style="1" customWidth="1"/>
    <col min="14" max="14" width="26.1171875" style="1" customWidth="1"/>
    <col min="15" max="15" width="41.5859375" style="1" customWidth="1"/>
    <col min="16" max="16" width="3.5859375" style="17" customWidth="1"/>
    <col min="17" max="17" width="20.5859375" style="17" hidden="1" customWidth="1"/>
    <col min="18" max="18" width="15.5859375" style="17" hidden="1" customWidth="1"/>
    <col min="19" max="16380" width="8.87890625" style="17" hidden="1"/>
    <col min="16381" max="16381" width="27.87890625" style="17" hidden="1" customWidth="1"/>
    <col min="16382" max="16382" width="51.29296875" style="17" hidden="1" customWidth="1"/>
    <col min="16383" max="16383" width="20.5859375" style="17" hidden="1" customWidth="1"/>
    <col min="16384" max="16384" width="6.41015625" style="17" hidden="1" customWidth="1"/>
  </cols>
  <sheetData>
    <row r="1" spans="1:16 16381:16383" s="4" customFormat="1" ht="49.95" customHeight="1" x14ac:dyDescent="0.5">
      <c r="A1" s="1"/>
      <c r="B1" s="2" t="s">
        <v>0</v>
      </c>
      <c r="C1" s="2"/>
      <c r="D1" s="2"/>
      <c r="E1" s="2"/>
      <c r="F1" s="2"/>
      <c r="G1" s="2"/>
      <c r="H1" s="2"/>
      <c r="I1" s="2"/>
      <c r="J1" s="2"/>
      <c r="K1" s="2"/>
      <c r="L1" s="42" t="s">
        <v>1</v>
      </c>
      <c r="M1" s="42"/>
      <c r="N1" s="42"/>
      <c r="O1" s="42"/>
      <c r="P1" s="3"/>
    </row>
    <row r="2" spans="1:16 16381:16383" s="4" customFormat="1" ht="18" customHeight="1" x14ac:dyDescent="0.5">
      <c r="A2" s="1"/>
      <c r="B2" s="5"/>
      <c r="C2" s="5"/>
      <c r="D2" s="5"/>
      <c r="E2" s="5"/>
      <c r="F2" s="5"/>
      <c r="G2" s="5"/>
      <c r="H2" s="5"/>
      <c r="I2" s="5"/>
      <c r="J2" s="5"/>
      <c r="K2" s="6"/>
      <c r="L2" s="5"/>
      <c r="M2" s="5"/>
      <c r="N2" s="5"/>
      <c r="O2" s="5"/>
      <c r="P2" s="7"/>
    </row>
    <row r="3" spans="1:16 16381:16383" s="4" customFormat="1" ht="12.95" customHeight="1" thickBot="1" x14ac:dyDescent="0.55000000000000004">
      <c r="A3" s="1"/>
      <c r="B3" s="8"/>
      <c r="C3" s="8"/>
      <c r="D3" s="8"/>
      <c r="E3" s="8"/>
      <c r="F3" s="8"/>
      <c r="G3" s="8"/>
      <c r="H3" s="8"/>
      <c r="I3" s="8"/>
      <c r="J3" s="8"/>
      <c r="K3" s="9"/>
      <c r="L3" s="8"/>
      <c r="M3" s="8"/>
      <c r="N3" s="8"/>
      <c r="O3" s="8"/>
      <c r="P3" s="7"/>
    </row>
    <row r="4" spans="1:16 16381:16383" s="4" customFormat="1" ht="34.5" customHeight="1" thickBot="1" x14ac:dyDescent="0.55000000000000004">
      <c r="A4" s="1"/>
      <c r="B4" s="118" t="s">
        <v>2</v>
      </c>
      <c r="C4" s="177" t="s">
        <v>151</v>
      </c>
      <c r="D4" s="178"/>
      <c r="E4" s="178"/>
      <c r="F4" s="178"/>
      <c r="G4" s="178"/>
      <c r="H4" s="178"/>
      <c r="I4" s="178"/>
      <c r="J4" s="178"/>
      <c r="K4" s="178"/>
      <c r="L4" s="179"/>
      <c r="M4" s="47"/>
      <c r="N4" s="47"/>
      <c r="O4" s="47"/>
      <c r="P4" s="11"/>
      <c r="XFA4" s="76" t="s">
        <v>3</v>
      </c>
      <c r="XFB4" s="76" t="s">
        <v>4</v>
      </c>
      <c r="XFC4" s="76" t="s">
        <v>5</v>
      </c>
    </row>
    <row r="5" spans="1:16 16381:16383" s="4" customFormat="1" ht="6.95" customHeight="1" x14ac:dyDescent="0.5">
      <c r="A5" s="1"/>
      <c r="B5" s="8"/>
      <c r="C5" s="8"/>
      <c r="D5" s="8"/>
      <c r="E5" s="8"/>
      <c r="F5" s="8"/>
      <c r="G5" s="8"/>
      <c r="H5" s="8"/>
      <c r="I5" s="8"/>
      <c r="J5" s="8"/>
      <c r="K5" s="9"/>
      <c r="L5" s="40"/>
      <c r="M5" s="47"/>
      <c r="N5" s="47"/>
      <c r="O5" s="47"/>
      <c r="P5" s="11"/>
      <c r="XFA5" s="77"/>
      <c r="XFB5" s="77"/>
      <c r="XFC5" s="77"/>
    </row>
    <row r="6" spans="1:16 16381:16383" s="4" customFormat="1" ht="39.950000000000003" customHeight="1" thickBot="1" x14ac:dyDescent="0.55000000000000004">
      <c r="A6" s="1"/>
      <c r="B6" s="190" t="s">
        <v>6</v>
      </c>
      <c r="C6" s="186" t="s">
        <v>7</v>
      </c>
      <c r="D6" s="186"/>
      <c r="E6" s="186"/>
      <c r="F6" s="186"/>
      <c r="G6" s="186"/>
      <c r="H6" s="186"/>
      <c r="I6" s="186"/>
      <c r="J6" s="186"/>
      <c r="K6" s="186"/>
      <c r="L6" s="186"/>
      <c r="M6" s="47"/>
      <c r="N6" s="47"/>
      <c r="O6" s="47"/>
      <c r="P6" s="11"/>
      <c r="XFA6" s="78" t="s">
        <v>8</v>
      </c>
      <c r="XFB6" s="78" t="s">
        <v>9</v>
      </c>
      <c r="XFC6" s="78" t="s">
        <v>10</v>
      </c>
    </row>
    <row r="7" spans="1:16 16381:16383" s="4" customFormat="1" ht="61.5" customHeight="1" thickBot="1" x14ac:dyDescent="0.55000000000000004">
      <c r="A7" s="1"/>
      <c r="B7" s="190"/>
      <c r="C7" s="177" t="s">
        <v>152</v>
      </c>
      <c r="D7" s="178"/>
      <c r="E7" s="178"/>
      <c r="F7" s="178"/>
      <c r="G7" s="178"/>
      <c r="H7" s="178"/>
      <c r="I7" s="178"/>
      <c r="J7" s="178"/>
      <c r="K7" s="178"/>
      <c r="L7" s="179"/>
      <c r="M7" s="47"/>
      <c r="N7" s="47"/>
      <c r="O7" s="47"/>
      <c r="P7" s="11"/>
      <c r="XFA7" s="78" t="s">
        <v>11</v>
      </c>
      <c r="XFB7" s="84" t="s">
        <v>12</v>
      </c>
      <c r="XFC7" s="78" t="s">
        <v>13</v>
      </c>
    </row>
    <row r="8" spans="1:16 16381:16383" s="4" customFormat="1" ht="8.1" customHeight="1" thickBot="1" x14ac:dyDescent="0.55000000000000004">
      <c r="A8" s="1"/>
      <c r="B8" s="8"/>
      <c r="C8" s="192"/>
      <c r="D8" s="192"/>
      <c r="E8" s="192"/>
      <c r="F8" s="192"/>
      <c r="G8" s="192"/>
      <c r="H8" s="192"/>
      <c r="I8" s="192"/>
      <c r="J8" s="192"/>
      <c r="K8" s="192"/>
      <c r="L8" s="192"/>
      <c r="M8" s="47"/>
      <c r="N8" s="47"/>
      <c r="O8" s="47"/>
      <c r="P8" s="11"/>
      <c r="XFA8" s="133" t="s">
        <v>14</v>
      </c>
      <c r="XFB8" s="85" t="s">
        <v>15</v>
      </c>
      <c r="XFC8" s="79" t="s">
        <v>16</v>
      </c>
    </row>
    <row r="9" spans="1:16 16381:16383" s="4" customFormat="1" ht="39" customHeight="1" thickBot="1" x14ac:dyDescent="0.55000000000000004">
      <c r="A9" s="1"/>
      <c r="B9" s="191" t="s">
        <v>17</v>
      </c>
      <c r="C9" s="187" t="s">
        <v>18</v>
      </c>
      <c r="D9" s="187"/>
      <c r="E9" s="187"/>
      <c r="F9" s="187"/>
      <c r="G9" s="187"/>
      <c r="H9" s="187"/>
      <c r="I9" s="187"/>
      <c r="J9" s="187"/>
      <c r="K9" s="187"/>
      <c r="L9" s="187"/>
      <c r="M9" s="47"/>
      <c r="N9" s="47"/>
      <c r="O9" s="47"/>
      <c r="P9" s="11"/>
      <c r="XFA9" s="76" t="s">
        <v>19</v>
      </c>
      <c r="XFB9" s="76" t="s">
        <v>20</v>
      </c>
      <c r="XFC9" s="76" t="s">
        <v>21</v>
      </c>
    </row>
    <row r="10" spans="1:16 16381:16383" s="4" customFormat="1" ht="169.5" customHeight="1" x14ac:dyDescent="0.5">
      <c r="A10" s="1"/>
      <c r="B10" s="191"/>
      <c r="C10" s="177">
        <v>0</v>
      </c>
      <c r="D10" s="178"/>
      <c r="E10" s="178"/>
      <c r="F10" s="178"/>
      <c r="G10" s="178"/>
      <c r="H10" s="178"/>
      <c r="I10" s="178"/>
      <c r="J10" s="178"/>
      <c r="K10" s="178"/>
      <c r="L10" s="179"/>
      <c r="M10" s="47"/>
      <c r="N10" s="132" t="s">
        <v>22</v>
      </c>
      <c r="O10" s="47"/>
      <c r="P10" s="11"/>
      <c r="XFA10" s="78" t="s">
        <v>23</v>
      </c>
      <c r="XFB10" s="84" t="s">
        <v>24</v>
      </c>
      <c r="XFC10" s="78" t="s">
        <v>25</v>
      </c>
    </row>
    <row r="11" spans="1:16 16381:16383" s="4" customFormat="1" ht="11.1" customHeight="1" x14ac:dyDescent="0.5">
      <c r="A11" s="1"/>
      <c r="C11" s="10"/>
      <c r="D11" s="10"/>
      <c r="E11" s="10"/>
      <c r="F11" s="10"/>
      <c r="G11" s="10"/>
      <c r="H11" s="10"/>
      <c r="I11" s="10"/>
      <c r="J11" s="10"/>
      <c r="K11" s="10"/>
      <c r="L11" s="10"/>
      <c r="M11" s="10"/>
      <c r="N11" s="10"/>
      <c r="O11" s="10"/>
      <c r="P11" s="11"/>
      <c r="XFA11" s="81" t="s">
        <v>26</v>
      </c>
      <c r="XFB11" s="78" t="s">
        <v>27</v>
      </c>
      <c r="XFC11" s="78" t="s">
        <v>28</v>
      </c>
    </row>
    <row r="12" spans="1:16 16381:16383" s="4" customFormat="1" ht="39" customHeight="1" thickBot="1" x14ac:dyDescent="0.55000000000000004">
      <c r="A12" s="1"/>
      <c r="B12" s="191" t="s">
        <v>29</v>
      </c>
      <c r="C12" s="188" t="s">
        <v>30</v>
      </c>
      <c r="D12" s="188"/>
      <c r="E12" s="188"/>
      <c r="F12" s="188"/>
      <c r="G12" s="188"/>
      <c r="H12" s="188"/>
      <c r="I12" s="188"/>
      <c r="J12" s="188"/>
      <c r="K12" s="188"/>
      <c r="L12" s="188"/>
      <c r="M12" s="10"/>
      <c r="N12" s="10"/>
      <c r="O12" s="10"/>
      <c r="P12" s="11"/>
      <c r="XFA12" s="81" t="s">
        <v>31</v>
      </c>
      <c r="XFB12" s="85" t="s">
        <v>32</v>
      </c>
      <c r="XFC12" s="78" t="s">
        <v>33</v>
      </c>
    </row>
    <row r="13" spans="1:16 16381:16383" s="4" customFormat="1" ht="205.5" customHeight="1" x14ac:dyDescent="0.5">
      <c r="A13" s="1"/>
      <c r="B13" s="191"/>
      <c r="C13" s="180"/>
      <c r="D13" s="181"/>
      <c r="E13" s="181"/>
      <c r="F13" s="181"/>
      <c r="G13" s="181"/>
      <c r="H13" s="181"/>
      <c r="I13" s="181"/>
      <c r="J13" s="181"/>
      <c r="K13" s="181"/>
      <c r="L13" s="182"/>
      <c r="N13" s="67"/>
      <c r="O13" s="67"/>
      <c r="P13" s="11"/>
      <c r="XFA13" s="82" t="s">
        <v>34</v>
      </c>
      <c r="XFB13" s="76" t="s">
        <v>35</v>
      </c>
      <c r="XFC13" s="79" t="s">
        <v>36</v>
      </c>
    </row>
    <row r="14" spans="1:16 16381:16383" s="4" customFormat="1" ht="3.95" customHeight="1" x14ac:dyDescent="0.5">
      <c r="A14" s="1"/>
      <c r="B14" s="8"/>
      <c r="C14" s="7"/>
      <c r="D14" s="7"/>
      <c r="E14" s="7"/>
      <c r="F14" s="7"/>
      <c r="G14" s="7"/>
      <c r="H14" s="7"/>
      <c r="I14" s="7"/>
      <c r="J14" s="7"/>
      <c r="K14" s="12"/>
      <c r="L14" s="40"/>
      <c r="M14" s="40"/>
      <c r="N14" s="40"/>
      <c r="O14" s="40"/>
      <c r="P14" s="11"/>
      <c r="XFA14" s="76" t="s">
        <v>37</v>
      </c>
      <c r="XFB14" s="84" t="s">
        <v>38</v>
      </c>
      <c r="XFC14" s="76" t="s">
        <v>39</v>
      </c>
    </row>
    <row r="15" spans="1:16 16381:16383" s="4" customFormat="1" ht="39" customHeight="1" thickBot="1" x14ac:dyDescent="0.55000000000000004">
      <c r="A15" s="1"/>
      <c r="B15" s="191" t="s">
        <v>40</v>
      </c>
      <c r="C15" s="189" t="s">
        <v>41</v>
      </c>
      <c r="D15" s="189"/>
      <c r="E15" s="189"/>
      <c r="F15" s="189"/>
      <c r="G15" s="189"/>
      <c r="H15" s="189"/>
      <c r="I15" s="189"/>
      <c r="J15" s="189"/>
      <c r="K15" s="189"/>
      <c r="L15" s="189"/>
      <c r="M15" s="40"/>
      <c r="N15" s="40"/>
      <c r="O15" s="40"/>
      <c r="P15" s="11"/>
      <c r="XFA15" s="81" t="s">
        <v>42</v>
      </c>
      <c r="XFB15" s="84" t="s">
        <v>43</v>
      </c>
      <c r="XFC15" s="78" t="s">
        <v>44</v>
      </c>
    </row>
    <row r="16" spans="1:16 16381:16383" s="4" customFormat="1" ht="113.25" customHeight="1" thickBot="1" x14ac:dyDescent="0.55000000000000004">
      <c r="A16" s="1"/>
      <c r="B16" s="191"/>
      <c r="C16" s="183"/>
      <c r="D16" s="184"/>
      <c r="E16" s="184"/>
      <c r="F16" s="184"/>
      <c r="G16" s="184"/>
      <c r="H16" s="184"/>
      <c r="I16" s="184"/>
      <c r="J16" s="184"/>
      <c r="K16" s="184"/>
      <c r="L16" s="185"/>
      <c r="M16" s="41"/>
      <c r="N16" s="41"/>
      <c r="O16" s="41"/>
      <c r="P16" s="11"/>
      <c r="XFA16" s="78" t="s">
        <v>45</v>
      </c>
      <c r="XFB16" s="85" t="s">
        <v>46</v>
      </c>
      <c r="XFC16" s="78" t="s">
        <v>47</v>
      </c>
    </row>
    <row r="17" spans="1:18 16381:16383" s="4" customFormat="1" ht="12.75" customHeight="1" thickBot="1" x14ac:dyDescent="0.55000000000000004">
      <c r="A17" s="1"/>
      <c r="B17" s="8"/>
      <c r="C17" s="8"/>
      <c r="D17" s="8"/>
      <c r="E17" s="8"/>
      <c r="F17" s="8"/>
      <c r="G17" s="8"/>
      <c r="H17" s="8"/>
      <c r="I17" s="8"/>
      <c r="J17" s="8"/>
      <c r="K17" s="9"/>
      <c r="L17" s="8"/>
      <c r="M17" s="8"/>
      <c r="N17" s="8"/>
      <c r="O17" s="8"/>
      <c r="P17" s="11"/>
      <c r="XFA17" s="82" t="s">
        <v>48</v>
      </c>
      <c r="XFB17" s="76" t="s">
        <v>49</v>
      </c>
      <c r="XFC17" s="79" t="s">
        <v>50</v>
      </c>
    </row>
    <row r="18" spans="1:18 16381:16383" s="4" customFormat="1" ht="20.45" customHeight="1" thickBot="1" x14ac:dyDescent="0.55000000000000004">
      <c r="A18" s="1"/>
      <c r="B18" s="48"/>
      <c r="C18" s="48"/>
      <c r="D18" s="48"/>
      <c r="E18" s="8"/>
      <c r="F18" s="8"/>
      <c r="G18" s="8"/>
      <c r="H18" s="8"/>
      <c r="I18" s="8"/>
      <c r="J18" s="8"/>
      <c r="K18" s="9"/>
      <c r="L18" s="8"/>
      <c r="M18" s="8"/>
      <c r="N18" s="8"/>
      <c r="O18" s="8"/>
      <c r="P18" s="11"/>
      <c r="XFA18" s="76" t="s">
        <v>51</v>
      </c>
      <c r="XFB18" s="78" t="s">
        <v>52</v>
      </c>
      <c r="XFC18" s="92" t="s">
        <v>53</v>
      </c>
    </row>
    <row r="19" spans="1:18 16381:16383" s="4" customFormat="1" ht="58.95" customHeight="1" thickBot="1" x14ac:dyDescent="0.55000000000000004">
      <c r="A19" s="1"/>
      <c r="B19" s="170" t="str">
        <f>IF(SUM(I20:I24)=0,"Have you considered these questions?","")</f>
        <v>Have you considered these questions?</v>
      </c>
      <c r="C19" s="171"/>
      <c r="D19" s="13" t="s">
        <v>54</v>
      </c>
      <c r="E19" s="77"/>
      <c r="G19" s="65"/>
      <c r="H19" s="70" t="s">
        <v>55</v>
      </c>
      <c r="I19" s="68" t="s">
        <v>56</v>
      </c>
      <c r="J19" s="66"/>
      <c r="K19" s="71"/>
      <c r="L19" s="223" t="s">
        <v>57</v>
      </c>
      <c r="M19" s="224"/>
      <c r="N19" s="225"/>
      <c r="O19" s="62"/>
      <c r="P19" s="11"/>
      <c r="XFA19" s="78" t="s">
        <v>58</v>
      </c>
      <c r="XFB19" s="78" t="s">
        <v>59</v>
      </c>
      <c r="XFC19" s="78" t="s">
        <v>60</v>
      </c>
    </row>
    <row r="20" spans="1:18 16381:16383" s="4" customFormat="1" ht="46.5" customHeight="1" thickBot="1" x14ac:dyDescent="0.55000000000000004">
      <c r="A20" s="1"/>
      <c r="B20" s="162" t="s">
        <v>61</v>
      </c>
      <c r="C20" s="163"/>
      <c r="D20" s="23"/>
      <c r="E20" s="136" t="s">
        <v>62</v>
      </c>
      <c r="G20" s="65"/>
      <c r="H20" s="59">
        <f>IF(D20=1, 1+0.05, 1)</f>
        <v>1</v>
      </c>
      <c r="I20" s="66">
        <f>IF(ISBLANK(D20),0,1)</f>
        <v>0</v>
      </c>
      <c r="J20" s="66"/>
      <c r="K20" s="71"/>
      <c r="L20" s="226"/>
      <c r="M20" s="227"/>
      <c r="N20" s="228"/>
      <c r="O20" s="62"/>
      <c r="R20" s="134" t="s">
        <v>63</v>
      </c>
      <c r="XFA20" s="78" t="s">
        <v>64</v>
      </c>
      <c r="XFB20" s="78" t="s">
        <v>65</v>
      </c>
      <c r="XFC20" s="78" t="s">
        <v>66</v>
      </c>
    </row>
    <row r="21" spans="1:18 16381:16383" s="4" customFormat="1" ht="64.5" customHeight="1" thickBot="1" x14ac:dyDescent="0.55000000000000004">
      <c r="A21" s="1"/>
      <c r="B21" s="164" t="s">
        <v>67</v>
      </c>
      <c r="C21" s="165"/>
      <c r="D21" s="24"/>
      <c r="E21" s="115">
        <f>IF(COUNTBLANK($N$28:$N$55)&gt;0,1,0)</f>
        <v>1</v>
      </c>
      <c r="G21" s="65"/>
      <c r="H21" s="59">
        <f>IF(D21=1, 1+0.1, 1)</f>
        <v>1</v>
      </c>
      <c r="I21" s="66">
        <f>IF(ISBLANK(D21),0,1)</f>
        <v>0</v>
      </c>
      <c r="J21" s="72"/>
      <c r="K21" s="71"/>
      <c r="L21" s="174" t="str">
        <f>IF(AND($E$21=1,$E$24&gt;=1),"-",IF($E$24&gt;=1,"-",IF($E$21=1,"-",IF($R$21&lt;1,"Green",IF(AND($R$21&gt;=1,$R$21&lt;1.6),"Green",IF(AND($R$21&gt;=1.6,$R$21&lt;2.3),"Amber",IF(AND($R$21&gt;=2.3,$R$21&lt;3),"Red",IF(AND($R$21&gt;=3,$R$21&lt;=100),"Red","-"))))))))</f>
        <v>-</v>
      </c>
      <c r="M21" s="217" t="str">
        <f>IF(AND($E$21=1,$E$24&gt;=1),"Form not complete, please select an option in each of the drop down boxes and provide justifications",IF($E$24&gt;=1,"Form not complete, please select an option in each of the drop down boxes",IF($E$21=1,"One or more justifications have been left blank, please complete all justifications as per the justification suggestion",IF(SUM(P27:P55)&gt;0,"One or more items have reached or exceeded a tolerance level - consult with the Data Ethics team",IF($R$21&lt;1,"Very low risk - project may proceed after confirmation from the Data Ethics team",IF(AND($R$21&gt;=1,$R$21&lt;1.6),"Low risk - project may proceed after confirmation from the Data Ethics team",IF(AND($R$21&gt;=1.6,$R$21&lt;2.3),"Average risk - consult with the Data Ethics team to discuss actions to mitigate any highlighted risks before proceeding with the project",IF(AND($R$21&gt;=2.3,$R$21&lt;3),"High risk - consult with the Data Ethics team. If risks cannot be mitigated then this project should be presented to NSDEC for a full independent ethical review before proceeding",IF(AND($R$21&gt;=3,$R$21&lt;=100),"Very High risk - consult with the Data Ethics team. If risks cannot be mitigated then this project should be presented to NSDEC for a full independent ethical review before proceeding","Project requires an ethical review before proceeding, please select an option in each of the drop down boxes")))))))))</f>
        <v>Form not complete, please select an option in each of the drop down boxes and provide justifications</v>
      </c>
      <c r="N21" s="218"/>
      <c r="O21" s="128"/>
      <c r="R21" s="135" t="str">
        <f>IFERROR(AVERAGE(K30,K36,K42,K47,K50,K53)*PRODUCT($H$20:$H$23),"-")</f>
        <v>-</v>
      </c>
      <c r="XFA21" s="79" t="s">
        <v>68</v>
      </c>
      <c r="XFB21" s="79" t="s">
        <v>69</v>
      </c>
      <c r="XFC21" s="78" t="s">
        <v>70</v>
      </c>
    </row>
    <row r="22" spans="1:18 16381:16383" s="4" customFormat="1" ht="48.95" customHeight="1" thickBot="1" x14ac:dyDescent="0.55000000000000004">
      <c r="A22" s="1"/>
      <c r="B22" s="166" t="s">
        <v>71</v>
      </c>
      <c r="C22" s="167"/>
      <c r="D22" s="24"/>
      <c r="E22" s="115">
        <f>IF(COUNTBLANK($D$30:$D$55)&gt;0,1,0)</f>
        <v>1</v>
      </c>
      <c r="G22" s="65"/>
      <c r="H22" s="59">
        <f>IF(D22=1, 1+0.2, 1)</f>
        <v>1</v>
      </c>
      <c r="I22" s="66">
        <f>IF(ISBLANK(D22),0,1)</f>
        <v>0</v>
      </c>
      <c r="J22" s="66"/>
      <c r="K22" s="71"/>
      <c r="L22" s="175"/>
      <c r="M22" s="219"/>
      <c r="N22" s="220"/>
      <c r="O22" s="63"/>
      <c r="XFA22" s="76" t="s">
        <v>72</v>
      </c>
      <c r="XFB22" s="76" t="s">
        <v>73</v>
      </c>
      <c r="XFC22" s="79" t="s">
        <v>74</v>
      </c>
    </row>
    <row r="23" spans="1:18 16381:16383" s="4" customFormat="1" ht="101.1" customHeight="1" thickBot="1" x14ac:dyDescent="0.55000000000000004">
      <c r="A23" s="1"/>
      <c r="B23" s="168" t="s">
        <v>75</v>
      </c>
      <c r="C23" s="169"/>
      <c r="D23" s="43"/>
      <c r="E23" s="115">
        <f>IF(COUNTBLANK($E$29)&gt;0,1,0)</f>
        <v>1</v>
      </c>
      <c r="G23" s="65"/>
      <c r="H23" s="59">
        <f>IF(D23=1, 1+0.2, 1)</f>
        <v>1</v>
      </c>
      <c r="I23" s="66">
        <f>IF(ISBLANK(D23),0,1)</f>
        <v>0</v>
      </c>
      <c r="J23" s="66"/>
      <c r="K23" s="71"/>
      <c r="L23" s="175"/>
      <c r="M23" s="219"/>
      <c r="N23" s="220"/>
      <c r="O23" s="63"/>
      <c r="XFA23" s="78" t="s">
        <v>76</v>
      </c>
      <c r="XFB23" s="78" t="s">
        <v>77</v>
      </c>
      <c r="XFC23" s="92" t="s">
        <v>78</v>
      </c>
    </row>
    <row r="24" spans="1:18 16381:16383" s="4" customFormat="1" ht="12" customHeight="1" thickBot="1" x14ac:dyDescent="0.55000000000000004">
      <c r="A24" s="1"/>
      <c r="B24" s="140"/>
      <c r="C24" s="141"/>
      <c r="D24" s="119"/>
      <c r="E24" s="137">
        <f>SUM($E$22,$E$23)</f>
        <v>2</v>
      </c>
      <c r="G24" s="65"/>
      <c r="H24" s="59"/>
      <c r="I24" s="66"/>
      <c r="J24" s="66"/>
      <c r="K24" s="71"/>
      <c r="L24" s="176"/>
      <c r="M24" s="221"/>
      <c r="N24" s="222"/>
      <c r="O24" s="63"/>
      <c r="XFA24" s="78" t="s">
        <v>79</v>
      </c>
      <c r="XFB24" s="78" t="s">
        <v>80</v>
      </c>
      <c r="XFC24" s="78" t="s">
        <v>81</v>
      </c>
    </row>
    <row r="25" spans="1:18 16381:16383" s="4" customFormat="1" ht="18.600000000000001" customHeight="1" thickBot="1" x14ac:dyDescent="0.55000000000000004">
      <c r="A25" s="1"/>
      <c r="B25" s="45"/>
      <c r="C25" s="45"/>
      <c r="D25" s="45"/>
      <c r="E25" s="138"/>
      <c r="F25" s="60"/>
      <c r="G25" s="44"/>
      <c r="H25" s="73"/>
      <c r="I25" s="74"/>
      <c r="J25" s="75"/>
      <c r="K25" s="75"/>
      <c r="L25" s="14"/>
      <c r="M25" s="14"/>
      <c r="XFA25" s="79" t="s">
        <v>82</v>
      </c>
      <c r="XFB25" s="78" t="s">
        <v>83</v>
      </c>
      <c r="XFC25" s="78" t="s">
        <v>84</v>
      </c>
    </row>
    <row r="26" spans="1:18 16381:16383" s="4" customFormat="1" ht="12.6" customHeight="1" thickBot="1" x14ac:dyDescent="0.55000000000000004">
      <c r="A26" s="1"/>
      <c r="B26" s="8"/>
      <c r="C26" s="8"/>
      <c r="D26" s="8"/>
      <c r="E26" s="8"/>
      <c r="F26" s="8"/>
      <c r="G26" s="8"/>
      <c r="H26" s="8"/>
      <c r="I26" s="8"/>
      <c r="J26" s="8"/>
      <c r="K26" s="9"/>
      <c r="L26" s="8"/>
      <c r="M26" s="8"/>
      <c r="N26" s="48"/>
      <c r="O26" s="48"/>
      <c r="P26" s="11"/>
      <c r="XFA26" s="92" t="s">
        <v>85</v>
      </c>
      <c r="XFB26" s="79" t="s">
        <v>86</v>
      </c>
      <c r="XFC26" s="78" t="s">
        <v>87</v>
      </c>
    </row>
    <row r="27" spans="1:18 16381:16383" ht="127.5" customHeight="1" thickBot="1" x14ac:dyDescent="0.55000000000000004">
      <c r="B27" s="58"/>
      <c r="C27" s="57" t="s">
        <v>88</v>
      </c>
      <c r="D27" s="172" t="s">
        <v>89</v>
      </c>
      <c r="E27" s="173"/>
      <c r="F27" s="15"/>
      <c r="G27" s="154" t="s">
        <v>90</v>
      </c>
      <c r="H27" s="155"/>
      <c r="I27" s="155"/>
      <c r="J27" s="156"/>
      <c r="K27" s="49" t="s">
        <v>91</v>
      </c>
      <c r="L27" s="198" t="s">
        <v>92</v>
      </c>
      <c r="M27" s="199"/>
      <c r="N27" s="208" t="s">
        <v>93</v>
      </c>
      <c r="O27" s="209"/>
      <c r="P27" s="16"/>
      <c r="XFA27" s="83" t="s">
        <v>94</v>
      </c>
      <c r="XFB27" s="88" t="s">
        <v>95</v>
      </c>
      <c r="XFC27" s="87" t="s">
        <v>96</v>
      </c>
    </row>
    <row r="28" spans="1:18 16381:16383" ht="16.2" customHeight="1" thickBot="1" x14ac:dyDescent="0.55000000000000004">
      <c r="A28" s="80"/>
      <c r="B28" s="114" t="s">
        <v>97</v>
      </c>
      <c r="C28" s="56" t="s">
        <v>98</v>
      </c>
      <c r="D28" s="193" t="s">
        <v>99</v>
      </c>
      <c r="E28" s="160"/>
      <c r="F28" s="37" t="s">
        <v>100</v>
      </c>
      <c r="G28" s="18">
        <v>1</v>
      </c>
      <c r="H28" s="19">
        <v>2</v>
      </c>
      <c r="I28" s="19">
        <v>3</v>
      </c>
      <c r="J28" s="25" t="s">
        <v>101</v>
      </c>
      <c r="K28" s="69" t="str">
        <f>K31</f>
        <v>-</v>
      </c>
      <c r="L28" s="152" t="s">
        <v>102</v>
      </c>
      <c r="M28" s="153"/>
      <c r="N28" s="152" t="s">
        <v>103</v>
      </c>
      <c r="O28" s="153"/>
      <c r="XFA28" s="84" t="s">
        <v>104</v>
      </c>
      <c r="XFB28" s="83" t="s">
        <v>105</v>
      </c>
    </row>
    <row r="29" spans="1:18 16381:16383" s="50" customFormat="1" ht="150" customHeight="1" thickBot="1" x14ac:dyDescent="0.55000000000000004">
      <c r="A29" s="1"/>
      <c r="B29" s="51">
        <v>1</v>
      </c>
      <c r="C29" s="130" t="s">
        <v>106</v>
      </c>
      <c r="D29" s="131" t="s">
        <v>107</v>
      </c>
      <c r="E29" s="129"/>
      <c r="F29" s="35" t="str">
        <f>IFERROR(INDEX($G$28:$I$28,0,MATCH(0,$G29:$I29,-1)), "")</f>
        <v/>
      </c>
      <c r="G29" s="97" t="str">
        <f>IF($E$29="This research will provide a significant public good in line with best practice guidance",1,"")</f>
        <v/>
      </c>
      <c r="H29" s="98" t="str">
        <f>IF($E$29="Potential to achieve Public Good which requires further exploration",1,"")</f>
        <v/>
      </c>
      <c r="I29" s="98" t="str">
        <f>IF($E$29="Negligible public good that is not in line with best practice guidance",1,"")</f>
        <v/>
      </c>
      <c r="J29" s="26"/>
      <c r="K29" s="32" t="str">
        <f>K30</f>
        <v>-</v>
      </c>
      <c r="L29" s="206" t="str">
        <f>IF($F$29=1,"Please explain the public good for this project. A link to our public good guidance can be found to the left of the drop down statement",IF($F$29=2,"This selection has passed a tolerance. Please explain the potential public good, and what is to be done to further explore this potential",IF($F$29=3,"This selection has passed a tolerance. Please explain why there is not a public good","Please select an option in cell D29")))</f>
        <v>Please select an option in cell D29</v>
      </c>
      <c r="M29" s="207"/>
      <c r="N29" s="210"/>
      <c r="O29" s="211"/>
      <c r="P29" s="16">
        <f>IF(SUM(H29:I29)&gt;0, 1, 0)</f>
        <v>0</v>
      </c>
      <c r="XFA29" s="85" t="s">
        <v>108</v>
      </c>
      <c r="XFB29" s="93" t="s">
        <v>109</v>
      </c>
    </row>
    <row r="30" spans="1:18 16381:16383" s="50" customFormat="1" ht="120" customHeight="1" thickBot="1" x14ac:dyDescent="0.55000000000000004">
      <c r="A30" s="1"/>
      <c r="B30" s="52">
        <f>IF(IFERROR(SEARCH("Principle", C30, 1)&gt; 1, -1)=-1, B29+1, B29)</f>
        <v>2</v>
      </c>
      <c r="C30" s="120" t="s">
        <v>110</v>
      </c>
      <c r="D30" s="194"/>
      <c r="E30" s="195"/>
      <c r="F30" s="35" t="str">
        <f>IFERROR(INDEX($G$28:$I$28,0,MATCH(0,$G30:$I30,-1)), "")</f>
        <v/>
      </c>
      <c r="G30" s="99" t="str">
        <f>IF($D$30="Public good applicable to entire population",1,"")</f>
        <v/>
      </c>
      <c r="H30" s="100" t="str">
        <f>IF($D$30="Societal benefits might be limited to certain groups/areas",1,"")</f>
        <v/>
      </c>
      <c r="I30" s="101" t="str">
        <f>IF($D$30="Societal benefits will be limited to certain groups/areas",1,"")</f>
        <v/>
      </c>
      <c r="J30" s="102" t="str">
        <f>IF($D$30="N/A: Omit this item when the scope of this research specifically targets a particular group",1,"")</f>
        <v/>
      </c>
      <c r="K30" s="32" t="str">
        <f>IFERROR(AVERAGE(F29:F32),"-")</f>
        <v>-</v>
      </c>
      <c r="L30" s="206" t="str">
        <f>IF($F$30=1,"Please explain how the public good is applicable to the whole population",IF($F$30=2,"Please explain why this is proportional, and provide any mitigations against this limitation",IF($F$30=3,"This selection has passed a tolerance. Please explain why this is limited to certain groups, and provide any mitigations",IF($J$30=1,"Please explain why the research is focused on that specific group, and whether this, or other groups, might be adversely affected by this research","Please select an option in cell D30"))))</f>
        <v>Please select an option in cell D30</v>
      </c>
      <c r="M30" s="207"/>
      <c r="N30" s="212"/>
      <c r="O30" s="213"/>
      <c r="P30" s="16">
        <f>IF(SUM(I30:I30)&gt;0, 1, 0)</f>
        <v>0</v>
      </c>
      <c r="XFA30" s="86" t="s">
        <v>111</v>
      </c>
      <c r="XFB30" s="94" t="s">
        <v>112</v>
      </c>
    </row>
    <row r="31" spans="1:18 16381:16383" s="50" customFormat="1" ht="120" customHeight="1" x14ac:dyDescent="0.5">
      <c r="A31" s="1"/>
      <c r="B31" s="52">
        <f t="shared" ref="B31:B55" si="0">IF(IFERROR(SEARCH("Principle", C31, 1)&gt; 1, -1)=-1, B30+1, B30)</f>
        <v>3</v>
      </c>
      <c r="C31" s="120" t="s">
        <v>113</v>
      </c>
      <c r="D31" s="150"/>
      <c r="E31" s="151"/>
      <c r="F31" s="35" t="str">
        <f>IFERROR(INDEX($G$28:$I$28,0,MATCH(0,$G31:$I31,-1)), "")</f>
        <v/>
      </c>
      <c r="G31" s="97" t="str">
        <f>IF($D$31="Negligible harm to anyone involved, including the public",1,"")</f>
        <v/>
      </c>
      <c r="H31" s="113" t="str">
        <f>IF($D$31="Identified potential harm to anyone involved that can be justified and mitigated against",1,"")</f>
        <v/>
      </c>
      <c r="I31" s="98" t="str">
        <f>IF($D$31="Identified potential harm that cannot be mitigated against",1,"")</f>
        <v/>
      </c>
      <c r="J31" s="27"/>
      <c r="K31" s="46" t="str">
        <f>K30</f>
        <v>-</v>
      </c>
      <c r="L31" s="206" t="str">
        <f>IF($F$31=1,"Please explain steps to ensure that there is no potential harm. This includes any potential harm as a result of secondary analysis outcomes",IF($F$31=2,"Please explain why this is proportional, and provide any mitigations against this potential harm",IF($F$31=3,"This selection has passed a tolerance. Please explain this potential harm and why it cannot be mitigated","Please select an option in cell D31")))</f>
        <v>Please select an option in cell D31</v>
      </c>
      <c r="M31" s="207"/>
      <c r="N31" s="214"/>
      <c r="O31" s="215"/>
      <c r="P31" s="16">
        <f>IF(SUM(I31)&gt;0, 1, 0)</f>
        <v>0</v>
      </c>
      <c r="XFA31" s="93" t="s">
        <v>114</v>
      </c>
      <c r="XFB31" s="89" t="s">
        <v>115</v>
      </c>
    </row>
    <row r="32" spans="1:18 16381:16383" s="50" customFormat="1" ht="120" customHeight="1" thickBot="1" x14ac:dyDescent="0.55000000000000004">
      <c r="A32" s="1"/>
      <c r="B32" s="53">
        <f t="shared" si="0"/>
        <v>4</v>
      </c>
      <c r="C32" s="121" t="s">
        <v>116</v>
      </c>
      <c r="D32" s="196"/>
      <c r="E32" s="197"/>
      <c r="F32" s="36" t="str">
        <f>IFERROR(INDEX($G$28:$I$28,0,MATCH(0,$G32:$I32,-1)), "")</f>
        <v/>
      </c>
      <c r="G32" s="99" t="str">
        <f>IF($D$32="As yet, bias has not been identified in planned methods and outcomes",1,"")</f>
        <v/>
      </c>
      <c r="H32" s="100" t="str">
        <f>IF($D$32="As yet, there is potential for bias/bias has been identified, but it can be justified and mitigated against",1,"")</f>
        <v/>
      </c>
      <c r="I32" s="101" t="str">
        <f>IF($D$32="As yet, there is potential for bias/bias has been identified, but it cannot be mitigated against",1,"")</f>
        <v/>
      </c>
      <c r="J32" s="28"/>
      <c r="K32" s="33" t="str">
        <f>K30</f>
        <v>-</v>
      </c>
      <c r="L32" s="206" t="str">
        <f>IF($F$32=1,"Please explain steps taken to ensure that there is no bias",IF($F$32=2,"Please explain why this is proportional, and provide any mitigations against this bias",IF($F$32=3,"This selection has passed a tolerance. Please explain this bias and why it cannot be mitigated","Please select an option in cell D32")))</f>
        <v>Please select an option in cell D32</v>
      </c>
      <c r="M32" s="207"/>
      <c r="N32" s="235"/>
      <c r="O32" s="236"/>
      <c r="P32" s="16">
        <f>IF(SUM(I32)&gt;0, 1, 0)</f>
        <v>0</v>
      </c>
      <c r="XFA32" s="93" t="s">
        <v>117</v>
      </c>
      <c r="XFB32" s="90" t="s">
        <v>118</v>
      </c>
    </row>
    <row r="33" spans="2:16 16381:16383" ht="20.100000000000001" customHeight="1" thickBot="1" x14ac:dyDescent="0.55000000000000004">
      <c r="B33" s="20"/>
      <c r="C33" s="56" t="s">
        <v>119</v>
      </c>
      <c r="D33" s="159" t="s">
        <v>99</v>
      </c>
      <c r="E33" s="160"/>
      <c r="F33" s="37" t="s">
        <v>100</v>
      </c>
      <c r="G33" s="18">
        <v>1</v>
      </c>
      <c r="H33" s="19">
        <v>2</v>
      </c>
      <c r="I33" s="19">
        <v>3</v>
      </c>
      <c r="J33" s="25" t="s">
        <v>101</v>
      </c>
      <c r="K33" s="69" t="str">
        <f t="shared" ref="K33:K35" si="1">K34</f>
        <v>-</v>
      </c>
      <c r="L33" s="152" t="s">
        <v>102</v>
      </c>
      <c r="M33" s="153"/>
      <c r="N33" s="152" t="s">
        <v>103</v>
      </c>
      <c r="O33" s="153"/>
      <c r="P33" s="16"/>
      <c r="XFA33" s="87" t="s">
        <v>120</v>
      </c>
      <c r="XFB33" s="90" t="s">
        <v>121</v>
      </c>
    </row>
    <row r="34" spans="2:16 16381:16383" ht="120" customHeight="1" thickBot="1" x14ac:dyDescent="0.55000000000000004">
      <c r="B34" s="51">
        <v>5</v>
      </c>
      <c r="C34" s="122" t="s">
        <v>122</v>
      </c>
      <c r="D34" s="144"/>
      <c r="E34" s="145"/>
      <c r="F34" s="34" t="str">
        <f>IFERROR(INDEX($G$28:$I$28,0,MATCH(0,$G34:$I34,-1)), "")</f>
        <v/>
      </c>
      <c r="G34" s="97" t="str">
        <f>IF($D$34="Data or research outcomes cannot be used to directly identify data subjects or specific populations",1,"")</f>
        <v/>
      </c>
      <c r="H34" s="101" t="str">
        <f>IF($D$34="Don’t know, or unsure if data or research outcomes could be used to directly identify data subjects",1,"")</f>
        <v/>
      </c>
      <c r="I34" s="98" t="str">
        <f>IF($D$34="Data or research outcomes could directly identify data subjects or specific population groups",1,"")</f>
        <v/>
      </c>
      <c r="J34" s="26"/>
      <c r="K34" s="32" t="str">
        <f t="shared" si="1"/>
        <v>-</v>
      </c>
      <c r="L34" s="206" t="str">
        <f>IF($F$34=1,"Please explain the security arrangments that ensure direct identifcation is not possible",IF($F$34=2,"This selection has passed a tolerance. Please explain what actions will be taken to find out identifiability, and revise this item once known",IF($F$34=3,"This selection has passed a tolerance. Please explain why the data and research outcomes are identifiable and why this cannot be mitigated","Please select an option in cell D34")))</f>
        <v>Please select an option in cell D34</v>
      </c>
      <c r="M34" s="207"/>
      <c r="N34" s="210"/>
      <c r="O34" s="211"/>
      <c r="P34" s="16">
        <f>IF(SUM(H34:I34)&gt;0, 1, 0)</f>
        <v>0</v>
      </c>
      <c r="XFA34" s="76" t="s">
        <v>123</v>
      </c>
      <c r="XFB34" s="91" t="s">
        <v>124</v>
      </c>
    </row>
    <row r="35" spans="2:16 16381:16383" ht="120" customHeight="1" x14ac:dyDescent="0.5">
      <c r="B35" s="52">
        <f t="shared" si="0"/>
        <v>6</v>
      </c>
      <c r="C35" s="120" t="s">
        <v>125</v>
      </c>
      <c r="D35" s="142"/>
      <c r="E35" s="143"/>
      <c r="F35" s="35" t="str">
        <f>IFERROR(INDEX($G$28:$I$28,0,MATCH(0,$G35:$I35,-1)), "")</f>
        <v/>
      </c>
      <c r="G35" s="99" t="str">
        <f>IF($D$35="Data or research outcomes cannot be used indirectly to identify data subjects or specific population groups",1,"")</f>
        <v/>
      </c>
      <c r="H35" s="101" t="str">
        <f>IF($D$35="Don’t know, or unsure if data or research outcomes could be used to indirectly identify data subjects",1,"")</f>
        <v/>
      </c>
      <c r="I35" s="101" t="str">
        <f>IF($D$35="Data or research outcomes could indirectly identify data subjects or specific population groups",1,"")</f>
        <v/>
      </c>
      <c r="J35" s="27"/>
      <c r="K35" s="32" t="str">
        <f t="shared" si="1"/>
        <v>-</v>
      </c>
      <c r="L35" s="206" t="str">
        <f>IF($F$35=1,"Please explain the security arrangments that ensure indirect identifcation is not possible",IF($F$35=2,"This selection has passed a tolerance. Please explain what actions will be taken to find out identifiability, and revise this item once known",IF($F$35=3,"This selection has passed a tolerance. Please explain why the data and research outcomes are indirectly identifiable and why this cannot be mitigated","Please select an option in cell D35")))</f>
        <v>Please select an option in cell D35</v>
      </c>
      <c r="M35" s="207"/>
      <c r="N35" s="212"/>
      <c r="O35" s="213"/>
      <c r="P35" s="16">
        <f>IF(SUM(H35:I35)&gt;0, 1, 0)</f>
        <v>0</v>
      </c>
      <c r="XFA35" s="77"/>
      <c r="XFB35" s="95" t="s">
        <v>126</v>
      </c>
    </row>
    <row r="36" spans="2:16 16381:16383" ht="120" customHeight="1" x14ac:dyDescent="0.5">
      <c r="B36" s="52">
        <f t="shared" si="0"/>
        <v>7</v>
      </c>
      <c r="C36" s="120" t="s">
        <v>127</v>
      </c>
      <c r="D36" s="142"/>
      <c r="E36" s="143"/>
      <c r="F36" s="35" t="str">
        <f>IFERROR(INDEX($G$28:$I$28,0,MATCH(0,$G36:$I36,-1)), "")</f>
        <v/>
      </c>
      <c r="G36" s="99" t="str">
        <f>IF($D$36="Strict data security in place to recognised standards that is proportionate to data use/sensitivity",1,"")</f>
        <v/>
      </c>
      <c r="H36" s="112" t="str">
        <f>IF($D$36="Research taking place outside of a recognised secure environment, with proportionate data security precautions taken",1,"")</f>
        <v/>
      </c>
      <c r="I36" s="101" t="str">
        <f>IF($D$36="Research taking place outside of a recognised secure environment, with some data security requirements still to be considered",1,"")</f>
        <v/>
      </c>
      <c r="J36" s="27"/>
      <c r="K36" s="32" t="str">
        <f>IFERROR(AVERAGE(F34:F38),"-")</f>
        <v>-</v>
      </c>
      <c r="L36" s="206" t="str">
        <f>IF($F$36=1,"Please state the secure research environment being used, and explain the data security arrangments in place",IF($F$36=2,"Please state the research environment being used, and what precautions are being taken to ensure data security",IF($F$36=3,"This selection has passed a tolerance. Please state the research environment being used, and what arrangements are still to be considered","Please select an option in cell D36")))</f>
        <v>Please select an option in cell D36</v>
      </c>
      <c r="M36" s="207"/>
      <c r="N36" s="214"/>
      <c r="O36" s="215"/>
      <c r="P36" s="16">
        <f>IF(SUM(I36)&gt;0, 1, 0)</f>
        <v>0</v>
      </c>
      <c r="XFA36" s="78" t="s">
        <v>128</v>
      </c>
      <c r="XFB36" s="83" t="s">
        <v>129</v>
      </c>
    </row>
    <row r="37" spans="2:16 16381:16383" ht="120" customHeight="1" x14ac:dyDescent="0.5">
      <c r="B37" s="52">
        <f t="shared" si="0"/>
        <v>8</v>
      </c>
      <c r="C37" s="123" t="s">
        <v>130</v>
      </c>
      <c r="D37" s="142"/>
      <c r="E37" s="143"/>
      <c r="F37" s="35" t="str">
        <f>IFERROR(INDEX($G$28:$I$28,0,MATCH(0,$G37:$I37,-1)), "")</f>
        <v/>
      </c>
      <c r="G37" s="99" t="str">
        <f>IF($D$37="Informed consent has been obtained from data subjects for all stages of this particular project.",1,"")</f>
        <v/>
      </c>
      <c r="H37" s="112" t="str">
        <f>IF($D$37="Consent has not been obtained from data subjects for this particular research and can be justified",1,"")</f>
        <v/>
      </c>
      <c r="I37" s="101" t="str">
        <f>IF($D$37="Informed consent has not been obtained from data subjects and cannot be justified",1,"")</f>
        <v/>
      </c>
      <c r="J37" s="29"/>
      <c r="K37" s="32" t="str">
        <f t="shared" ref="K37:K38" si="2">K36</f>
        <v>-</v>
      </c>
      <c r="L37" s="206" t="str">
        <f>IF($F$37=1,"Please explain the measures in place to gain fully informed consent for this project",IF($F$37=2,"Please provide a justification as to why ethcial consent is not being sought for this particular project?",IF($F$37=3,"This selection has passed a tolerance. Please explain why consent is not being sought","Please select an option in cell D37")))</f>
        <v>Please select an option in cell D37</v>
      </c>
      <c r="M37" s="207"/>
      <c r="N37" s="229"/>
      <c r="O37" s="230"/>
      <c r="P37" s="16">
        <f>IF(SUM(I37)&gt;0, 1, 0)</f>
        <v>0</v>
      </c>
      <c r="XFA37" s="78" t="s">
        <v>131</v>
      </c>
      <c r="XFB37" s="83" t="s">
        <v>132</v>
      </c>
    </row>
    <row r="38" spans="2:16 16381:16383" ht="120" customHeight="1" thickBot="1" x14ac:dyDescent="0.55000000000000004">
      <c r="B38" s="53">
        <f t="shared" si="0"/>
        <v>9</v>
      </c>
      <c r="C38" s="121" t="s">
        <v>133</v>
      </c>
      <c r="D38" s="146"/>
      <c r="E38" s="147"/>
      <c r="F38" s="36" t="str">
        <f>IFERROR(INDEX($G$28:$I$28,0,MATCH(0,$G38:$I38,-1)), "")</f>
        <v/>
      </c>
      <c r="G38" s="106" t="str">
        <f>IF($D$38="Permission has been given specifically for this research project, or the proposed use of data is within the same context for which permission was previously given",1,"")</f>
        <v/>
      </c>
      <c r="H38" s="108" t="str">
        <f>IF($D$38="Don’t know, or unsure if the proposed use of data is beyond the initial context for which permission was originally given",1,"")</f>
        <v/>
      </c>
      <c r="I38" s="108" t="str">
        <f>IF($D$38="The proposed use of data is beyond the initial context for which permission was originally given",1,"")</f>
        <v/>
      </c>
      <c r="J38" s="109" t="str">
        <f>IF($D$38="N/A: Omit this item when permission to access data is not required",1,"")</f>
        <v/>
      </c>
      <c r="K38" s="33" t="str">
        <f t="shared" si="2"/>
        <v>-</v>
      </c>
      <c r="L38" s="206" t="str">
        <f>IF($F$38=1,"Please outline the permissions that are in place",IF($F$38=2,"This selection has passed a tolerance. Please seek clarity on this issue",IF($F$38=3,"This selection has passed a tolerance. Please explain how you are going to ensure any outstanding data owner permissions are secured",IF($J$38=1,"In instances where permission is not needed, please provide a solid justification, along with evidence, to explain why permission is not required","Please select an option in cell D38"))))</f>
        <v>Please select an option in cell D38</v>
      </c>
      <c r="M38" s="207"/>
      <c r="N38" s="212"/>
      <c r="O38" s="213"/>
      <c r="P38" s="16">
        <f>IF(SUM(H38:I38)&gt;0, 1, 0)</f>
        <v>0</v>
      </c>
      <c r="XFA38" s="79" t="s">
        <v>134</v>
      </c>
      <c r="XFB38" s="87" t="s">
        <v>135</v>
      </c>
    </row>
    <row r="39" spans="2:16 16381:16383" ht="20.100000000000001" customHeight="1" thickBot="1" x14ac:dyDescent="0.55000000000000004">
      <c r="B39" s="20"/>
      <c r="C39" s="56" t="s">
        <v>136</v>
      </c>
      <c r="D39" s="161" t="s">
        <v>99</v>
      </c>
      <c r="E39" s="160"/>
      <c r="F39" s="37" t="s">
        <v>100</v>
      </c>
      <c r="G39" s="18">
        <v>1</v>
      </c>
      <c r="H39" s="19">
        <v>2</v>
      </c>
      <c r="I39" s="19">
        <v>3</v>
      </c>
      <c r="J39" s="25" t="s">
        <v>101</v>
      </c>
      <c r="K39" s="69" t="str">
        <f t="shared" ref="K39:K41" si="3">K40</f>
        <v>-</v>
      </c>
      <c r="L39" s="152" t="s">
        <v>102</v>
      </c>
      <c r="M39" s="153"/>
      <c r="N39" s="152" t="s">
        <v>103</v>
      </c>
      <c r="O39" s="153"/>
      <c r="P39" s="16"/>
      <c r="XFA39" s="88" t="s">
        <v>137</v>
      </c>
    </row>
    <row r="40" spans="2:16 16381:16383" ht="120" customHeight="1" x14ac:dyDescent="0.5">
      <c r="B40" s="51">
        <v>10</v>
      </c>
      <c r="C40" s="122" t="s">
        <v>4</v>
      </c>
      <c r="D40" s="148"/>
      <c r="E40" s="149"/>
      <c r="F40" s="34" t="str">
        <f t="shared" ref="F40:F45" si="4">IFERROR(INDEX($G$28:$I$28,0,MATCH(0,$G40:$I40,-1)), "")</f>
        <v/>
      </c>
      <c r="G40" s="97" t="str">
        <f>IF($D$40="Confidence that the methods used, and quality of data will lead to valid conclusions",1,"")</f>
        <v/>
      </c>
      <c r="H40" s="110" t="str">
        <f>IF($D$40="There is limited confidence/it is unsure whether the methods used, and quality of data will lead to valid conclusions",1,"")</f>
        <v/>
      </c>
      <c r="I40" s="98" t="str">
        <f>IF($D$40="Potential that methods used, and quality of data may/will lead to invalid conclusions",1,"")</f>
        <v/>
      </c>
      <c r="J40" s="26"/>
      <c r="K40" s="32" t="str">
        <f t="shared" si="3"/>
        <v>-</v>
      </c>
      <c r="L40" s="206" t="str">
        <f>IF($F$40=1,"Please explain why methods and data used will confidently lead to valid conclusions",IF($F$40=2,"Please explain why you have limited confidence/are unsure whether methods and data used will lead to valid conclusions, and provide mitigations against this uncertainty",IF($F$40=3,"This selection has passed a tolerance. Please explain why methods and data used may lead to invalid conclusions, justify the use of these methods or data, and provide any mitigations","Please select an option in cell D40")))</f>
        <v>Please select an option in cell D40</v>
      </c>
      <c r="M40" s="207"/>
      <c r="N40" s="210"/>
      <c r="O40" s="211"/>
      <c r="P40" s="16">
        <f>IF(SUM(I40:I40)&gt;0, 1, 0)</f>
        <v>0</v>
      </c>
      <c r="XFA40" s="88" t="s">
        <v>138</v>
      </c>
    </row>
    <row r="41" spans="2:16 16381:16383" ht="120" customHeight="1" x14ac:dyDescent="0.5">
      <c r="B41" s="52">
        <f t="shared" si="0"/>
        <v>11</v>
      </c>
      <c r="C41" s="123" t="s">
        <v>20</v>
      </c>
      <c r="D41" s="150"/>
      <c r="E41" s="151"/>
      <c r="F41" s="35" t="str">
        <f t="shared" si="4"/>
        <v/>
      </c>
      <c r="G41" s="99" t="str">
        <f>IF($D$41="The research organisation has established and tested procedures, and complies with recognised standards",1,"")</f>
        <v/>
      </c>
      <c r="H41" s="112" t="str">
        <f>IF($D$41="There is limited confidence/it is not clear whether the organisation has established and tested procedures, and complies with recognised standards",1,"")</f>
        <v/>
      </c>
      <c r="I41" s="101" t="str">
        <f>IF($D$41="The research organisation does not have established clear procedures or may not comply with recognised standards",1,"")</f>
        <v/>
      </c>
      <c r="J41" s="27"/>
      <c r="K41" s="32" t="str">
        <f t="shared" si="3"/>
        <v>-</v>
      </c>
      <c r="L41" s="206" t="str">
        <f>IF($F$41=1,"Please explain the established research standards of the research organisation",IF($F$41=2,"Please explain why you have limited confidence/are unsure whether the organisation has established procedures",IF($F$41=3,"This selection has passed a tolerance. Please provide mitigations for this risk, and explain why research is to be done without clear and compliant procedures","Please select an option in cell D41")))</f>
        <v>Please select an option in cell D41</v>
      </c>
      <c r="M41" s="207"/>
      <c r="N41" s="229"/>
      <c r="O41" s="230"/>
      <c r="P41" s="16">
        <f>IF(SUM(I41)&gt;0, 1, 0)</f>
        <v>0</v>
      </c>
      <c r="XFA41" s="83" t="s">
        <v>139</v>
      </c>
    </row>
    <row r="42" spans="2:16 16381:16383" ht="120" customHeight="1" x14ac:dyDescent="0.5">
      <c r="B42" s="52">
        <f t="shared" si="0"/>
        <v>12</v>
      </c>
      <c r="C42" s="120" t="s">
        <v>35</v>
      </c>
      <c r="D42" s="150"/>
      <c r="E42" s="151"/>
      <c r="F42" s="35" t="str">
        <f t="shared" si="4"/>
        <v/>
      </c>
      <c r="G42" s="99" t="str">
        <f>IF($D$42="Researchers are appropriately trained to recognised standards",1,"")</f>
        <v/>
      </c>
      <c r="H42" s="100" t="str">
        <f>IF($D$42="Researchers are trained but have limited experience in particular research area",1,"")</f>
        <v/>
      </c>
      <c r="I42" s="101" t="str">
        <f>IF($D$42="Researchers are trained but there is limited assurance in training that relates to this research",1,"")</f>
        <v/>
      </c>
      <c r="J42" s="27"/>
      <c r="K42" s="32" t="str">
        <f>IFERROR(AVERAGE(F40:F45),"-")</f>
        <v>-</v>
      </c>
      <c r="L42" s="206" t="str">
        <f>IF($F$42=1,"Please explain the training that researchers have received to do this research",IF($F$42=2,"Please explain why researchers are to be used with limited training, and provide a mitigation agasint this limitation",IF($F$42=3,"This selection has passed a tolerance. Please explain the training that has been recieved, and why there is limited assurance that it relates to this research","Please select an option in cell D42")))</f>
        <v>Please select an option in cell D42</v>
      </c>
      <c r="M42" s="207"/>
      <c r="N42" s="212"/>
      <c r="O42" s="213"/>
      <c r="P42" s="16">
        <f>IF(SUM(I42:I42)&gt;0, 1, 0)</f>
        <v>0</v>
      </c>
      <c r="XFA42" s="83" t="s">
        <v>140</v>
      </c>
    </row>
    <row r="43" spans="2:16 16381:16383" ht="120" customHeight="1" thickBot="1" x14ac:dyDescent="0.55000000000000004">
      <c r="B43" s="52">
        <f t="shared" si="0"/>
        <v>13</v>
      </c>
      <c r="C43" s="120" t="s">
        <v>141</v>
      </c>
      <c r="D43" s="150"/>
      <c r="E43" s="151"/>
      <c r="F43" s="35" t="str">
        <f t="shared" si="4"/>
        <v/>
      </c>
      <c r="G43" s="99" t="str">
        <f>IF($D$43="Human oversight of all elements of research process, and regular audits of automated outcomes",1,"")</f>
        <v/>
      </c>
      <c r="H43" s="100" t="str">
        <f>IF($D$43="Significant use of automated processes and/or off the shelf solutions with some level of human oversight",1,"")</f>
        <v/>
      </c>
      <c r="I43" s="101" t="str">
        <f>IF($D$43="Research based on automated or opaque processes with minimal human oversight",1,"")</f>
        <v/>
      </c>
      <c r="J43" s="102" t="str">
        <f>IF($D$43="N/A: Omit this item in case of fully transparent automated or manual processes with well documented assumptions",1,"")</f>
        <v/>
      </c>
      <c r="K43" s="32" t="str">
        <f t="shared" ref="K43:K45" si="5">K42</f>
        <v>-</v>
      </c>
      <c r="L43" s="206" t="str">
        <f>IF($F$43=1,"Please explain the planned human oversight processes for this project",IF($F$43=2,"Please explain the level of human oversight, and explain why it is limited",IF($F$43=3,"This selection has passed a tolerance. Please explain why there is minimal human oversight and provide a mitigation for this",IF($J$43=1,"Please justify the omission of this item","Please select an option in cell D43"))))</f>
        <v>Please select an option in cell D43</v>
      </c>
      <c r="M43" s="207"/>
      <c r="N43" s="229"/>
      <c r="O43" s="230"/>
      <c r="P43" s="16">
        <f>IF(SUM(I43:I43)&gt;0, 1, 0)</f>
        <v>0</v>
      </c>
      <c r="XFA43" s="87" t="s">
        <v>142</v>
      </c>
    </row>
    <row r="44" spans="2:16 16381:16383" ht="120" customHeight="1" x14ac:dyDescent="0.5">
      <c r="B44" s="52">
        <f t="shared" si="0"/>
        <v>14</v>
      </c>
      <c r="C44" s="123" t="s">
        <v>73</v>
      </c>
      <c r="D44" s="150"/>
      <c r="E44" s="151"/>
      <c r="F44" s="35" t="str">
        <f t="shared" si="4"/>
        <v/>
      </c>
      <c r="G44" s="99" t="str">
        <f>IF($D$44="Research utilises well established methods and technologies",1,"")</f>
        <v/>
      </c>
      <c r="H44" s="100" t="str">
        <f>IF($D$44="Methods and tools may be tried, but are still novel or automated",1,"")</f>
        <v/>
      </c>
      <c r="I44" s="101" t="str">
        <f>IF($D$44="Research utilises untested or automated methods and technologies",1,"")</f>
        <v/>
      </c>
      <c r="J44" s="102" t="str">
        <f>IF($D$44="N/A: Omit this item for small-scale exploratory projects and feasibility studies which are not used to produce any research/statistical outputs",1,"")</f>
        <v/>
      </c>
      <c r="K44" s="32" t="str">
        <f t="shared" si="5"/>
        <v>-</v>
      </c>
      <c r="L44" s="206" t="str">
        <f>IF($F$44=1,"Please briefly outline the standard methods and technologies used",IF($F$44=2,"Please justify the use of this method, and provide mitigations against the risk of automation and/or using novel methods",IF($F$44=3,"This selection has passed a tolerance. Please justify the use of this method/tool, and provide mitigations",IF($J$44=1,"Please justify the omission of this item","Please select an option in cell D44"))))</f>
        <v>Please select an option in cell D44</v>
      </c>
      <c r="M44" s="207"/>
      <c r="N44" s="229"/>
      <c r="O44" s="230"/>
      <c r="P44" s="116">
        <f>IF(SUM(I44)&gt;0, 1, 0)</f>
        <v>0</v>
      </c>
      <c r="XFC44" s="64"/>
    </row>
    <row r="45" spans="2:16 16381:16383" ht="120" customHeight="1" x14ac:dyDescent="0.5">
      <c r="B45" s="53">
        <f t="shared" si="0"/>
        <v>15</v>
      </c>
      <c r="C45" s="124" t="s">
        <v>95</v>
      </c>
      <c r="D45" s="157"/>
      <c r="E45" s="158"/>
      <c r="F45" s="36" t="str">
        <f t="shared" si="4"/>
        <v/>
      </c>
      <c r="G45" s="106" t="str">
        <f>IF($D$45="Methods and quality of data will most likely result in realising the research benefits and fully mitigate any risks",1,"")</f>
        <v/>
      </c>
      <c r="H45" s="111" t="str">
        <f>IF($D$45="There is limited confidence/it is unsure whether the methods and quality of data will result in realising research benefits or mitigate risks",1,"")</f>
        <v/>
      </c>
      <c r="I45" s="108" t="str">
        <f>IF($D$45="Methods and quality of data have little/no potential to result in realising research benefits or mitigate risks",1,"")</f>
        <v/>
      </c>
      <c r="J45" s="28"/>
      <c r="K45" s="33" t="str">
        <f t="shared" si="5"/>
        <v>-</v>
      </c>
      <c r="L45" s="206" t="str">
        <f>IF($F$45=1,"Please justify your confidence that the public good will be realised",IF($F$45=2,"Please explain why there is limited confidence/it is unsure that the public good will be realised, and justify why research should occur nonetheless",IF($F$45=3,"This selection has passed a tolerance. Please explain why the methods and data are still being pursued if there is little/no chance of the public good being realised","Please select an option in cell D45")))</f>
        <v>Please select an option in cell D45</v>
      </c>
      <c r="M45" s="207"/>
      <c r="N45" s="233"/>
      <c r="O45" s="234"/>
      <c r="P45" s="16">
        <f>IF(SUM(I45:I45)&gt;0, 1, 0)</f>
        <v>0</v>
      </c>
    </row>
    <row r="46" spans="2:16 16381:16383" ht="20.100000000000001" customHeight="1" thickBot="1" x14ac:dyDescent="0.55000000000000004">
      <c r="B46" s="20"/>
      <c r="C46" s="39" t="s">
        <v>143</v>
      </c>
      <c r="D46" s="161" t="s">
        <v>99</v>
      </c>
      <c r="E46" s="160"/>
      <c r="F46" s="37" t="s">
        <v>100</v>
      </c>
      <c r="G46" s="18">
        <v>1</v>
      </c>
      <c r="H46" s="19">
        <v>2</v>
      </c>
      <c r="I46" s="19">
        <v>3</v>
      </c>
      <c r="J46" s="25" t="s">
        <v>101</v>
      </c>
      <c r="K46" s="32" t="str">
        <f>K47</f>
        <v>-</v>
      </c>
      <c r="L46" s="152" t="s">
        <v>102</v>
      </c>
      <c r="M46" s="153"/>
      <c r="N46" s="152" t="s">
        <v>103</v>
      </c>
      <c r="O46" s="153"/>
      <c r="P46" s="117"/>
    </row>
    <row r="47" spans="2:16 16381:16383" ht="120" customHeight="1" x14ac:dyDescent="0.5">
      <c r="B47" s="51">
        <v>16</v>
      </c>
      <c r="C47" s="125" t="s">
        <v>144</v>
      </c>
      <c r="D47" s="144"/>
      <c r="E47" s="145"/>
      <c r="F47" s="34" t="str">
        <f>IFERROR(INDEX($G$28:$I$28,0,MATCH(0,$G47:$I47,-1)), "")</f>
        <v/>
      </c>
      <c r="G47" s="97" t="str">
        <f>IF($D$47="The proposed use of data has been cleared against all relevant legislation and agreements",1,"")</f>
        <v/>
      </c>
      <c r="H47" s="98" t="str">
        <f>IF($D$47="Don’t know, or unsure if the proposed use of data has been cleared against all relevant legislation and agreements",1,"")</f>
        <v/>
      </c>
      <c r="I47" s="98" t="str">
        <f>IF($D$47="Legality has not been confirmed, and/or there has been no formal action to seek legal advice or clearance from the relevant department",1,"")</f>
        <v/>
      </c>
      <c r="J47" s="26"/>
      <c r="K47" s="31" t="str">
        <f>IFERROR(AVERAGE(F47:F48),"-")</f>
        <v>-</v>
      </c>
      <c r="L47" s="204" t="str">
        <f>IF($F$47=1,"Which legal gateways are required to facilitate this research? You may wish to consult the guidance document.",IF($F$47=2,"This selection has passed a tolerance. Please consult with available legal services support to confirm",IF($F$47=3,"This selection has passed a tolerance. Legality must be confirmed, please consult with available legal services support before proceeding","Please select an option in cell D47")))</f>
        <v>Please select an option in cell D47</v>
      </c>
      <c r="M47" s="205"/>
      <c r="N47" s="210"/>
      <c r="O47" s="211"/>
      <c r="P47" s="116">
        <f>IF(SUM(H47:I47)&gt;0, 1, 0)</f>
        <v>0</v>
      </c>
    </row>
    <row r="48" spans="2:16 16381:16383" ht="120" customHeight="1" thickBot="1" x14ac:dyDescent="0.55000000000000004">
      <c r="B48" s="53">
        <f t="shared" si="0"/>
        <v>17</v>
      </c>
      <c r="C48" s="126" t="s">
        <v>145</v>
      </c>
      <c r="D48" s="146"/>
      <c r="E48" s="147"/>
      <c r="F48" s="36" t="str">
        <f>IFERROR(INDEX($G$28:$I$28,0,MATCH(0,$G48:$I48,-1)), "")</f>
        <v/>
      </c>
      <c r="G48" s="106" t="str">
        <f>IF($D$48="Legal frameworks are clear and well established in the research area",1,"")</f>
        <v/>
      </c>
      <c r="H48" s="108" t="str">
        <f>IF($D$48="Don’t know, or unsure what the relevant legal frameworks are in the research area",1,"")</f>
        <v/>
      </c>
      <c r="I48" s="108" t="str">
        <f>IF($D$48="Legal frameworks are unclear or still developing in the research area",1,"")</f>
        <v/>
      </c>
      <c r="J48" s="26"/>
      <c r="K48" s="32" t="str">
        <f>K47</f>
        <v>-</v>
      </c>
      <c r="L48" s="202" t="str">
        <f>IF($F$48=1,"Which are the legal frameworks pertinent to this project? You may wish to consult the guidance document.",IF($F$48=2,"This selection has passed a tolerance. Please consult with available legal services support to conflrm",IF($F$48=3,"This selection has passed a tolerance. Legality must be confirmed, please consult with available legal services support before proceeding","Please select an option in cell D48")))</f>
        <v>Please select an option in cell D48</v>
      </c>
      <c r="M48" s="203"/>
      <c r="N48" s="212"/>
      <c r="O48" s="213"/>
      <c r="P48" s="16">
        <f>IF(SUM(H48:I48)&gt;0, 1, 0)</f>
        <v>0</v>
      </c>
    </row>
    <row r="49" spans="2:16" ht="20.100000000000001" customHeight="1" thickBot="1" x14ac:dyDescent="0.55000000000000004">
      <c r="B49" s="20"/>
      <c r="C49" s="56" t="s">
        <v>146</v>
      </c>
      <c r="D49" s="161" t="s">
        <v>99</v>
      </c>
      <c r="E49" s="160"/>
      <c r="F49" s="37" t="s">
        <v>100</v>
      </c>
      <c r="G49" s="18">
        <v>1</v>
      </c>
      <c r="H49" s="19">
        <v>2</v>
      </c>
      <c r="I49" s="19">
        <v>3</v>
      </c>
      <c r="J49" s="25" t="s">
        <v>101</v>
      </c>
      <c r="K49" s="69" t="str">
        <f>K50</f>
        <v>-</v>
      </c>
      <c r="L49" s="152" t="s">
        <v>102</v>
      </c>
      <c r="M49" s="153"/>
      <c r="N49" s="152" t="s">
        <v>103</v>
      </c>
      <c r="O49" s="153"/>
      <c r="P49" s="16"/>
    </row>
    <row r="50" spans="2:16" ht="120" customHeight="1" x14ac:dyDescent="0.5">
      <c r="B50" s="54">
        <v>18</v>
      </c>
      <c r="C50" s="122" t="s">
        <v>147</v>
      </c>
      <c r="D50" s="148"/>
      <c r="E50" s="149"/>
      <c r="F50" s="34" t="str">
        <f>IFERROR(INDEX($G$28:$I$28,0,MATCH(0,$G50:$I50,-1)), "")</f>
        <v/>
      </c>
      <c r="G50" s="97" t="str">
        <f>IF($D$50="The public is widely supportive of the project aim and  method",1,"")</f>
        <v/>
      </c>
      <c r="H50" s="113" t="str">
        <f>IF($D$50="There is limited support of the project aim and methods from the public",1,"")</f>
        <v/>
      </c>
      <c r="I50" s="98" t="str">
        <f>IF($D$50="The public’s views of the project aims, and method are negative or unknown",1,"")</f>
        <v/>
      </c>
      <c r="J50" s="26"/>
      <c r="K50" s="32" t="str">
        <f>IFERROR(AVERAGE(F50:F51), "-")</f>
        <v>-</v>
      </c>
      <c r="L50" s="204" t="str">
        <f>IF($F$50=1,"Please explain the positive public views, and evidence how this is known",IF($F$50=2,"Please explain the limited public support, evidence how this is known, and provide a mitigation",IF($F$50=3,"This selection has passed a tolerance. Either explain and justify why the views are unknown or explain the public's negative views, and evidence how this is known","Please select an option in cell D50")))</f>
        <v>Please select an option in cell D50</v>
      </c>
      <c r="M50" s="205"/>
      <c r="N50" s="210"/>
      <c r="O50" s="211"/>
      <c r="P50" s="16">
        <f>IF(SUM(I50)&gt;0, 1, 0)</f>
        <v>0</v>
      </c>
    </row>
    <row r="51" spans="2:16" ht="120" customHeight="1" thickBot="1" x14ac:dyDescent="0.55000000000000004">
      <c r="B51" s="53">
        <f t="shared" si="0"/>
        <v>19</v>
      </c>
      <c r="C51" s="121" t="s">
        <v>21</v>
      </c>
      <c r="D51" s="157"/>
      <c r="E51" s="158"/>
      <c r="F51" s="36" t="str">
        <f>IFERROR(INDEX($G$28:$I$28,0,MATCH(0,$G51:$I51,-1)), "")</f>
        <v/>
      </c>
      <c r="G51" s="106" t="str">
        <f>IF($D$51="The research involves regular engagement with the public and/or stakeholders",1,"")</f>
        <v/>
      </c>
      <c r="H51" s="107" t="str">
        <f>IF($D$51="The research involves some engagement, though it is not regular throughout the research project",1,"")</f>
        <v/>
      </c>
      <c r="I51" s="108" t="str">
        <f>IF($D$51="No public engagement has been conducted, or planned, as part of the project",1,"")</f>
        <v/>
      </c>
      <c r="J51" s="109" t="str">
        <f>IF($D$51="N/A: Omit this item when no public engagement is required and can be clearly justified",1,"")</f>
        <v/>
      </c>
      <c r="K51" s="32" t="str">
        <f>K50</f>
        <v>-</v>
      </c>
      <c r="L51" s="206" t="str">
        <f>IF($F$51=1,"Please outline the planned regular public engagement",IF($F$51=2,"Please outline the engagement planned, and justify why it is not regular throughout the project",IF($F$51=3,"This selection has passed a tolerance. Please explain and justify why no public engagement is planned or required",IF($J$51=1,"Please explain why public engagment is not needed for this project","Please select an option in cell D51"))))</f>
        <v>Please select an option in cell D51</v>
      </c>
      <c r="M51" s="207"/>
      <c r="N51" s="231"/>
      <c r="O51" s="232"/>
      <c r="P51" s="16">
        <f>IF(SUM(I51)&gt;0, 1, 0)</f>
        <v>0</v>
      </c>
    </row>
    <row r="52" spans="2:16" ht="20.100000000000001" customHeight="1" thickBot="1" x14ac:dyDescent="0.55000000000000004">
      <c r="B52" s="21"/>
      <c r="C52" s="56" t="s">
        <v>148</v>
      </c>
      <c r="D52" s="161" t="s">
        <v>99</v>
      </c>
      <c r="E52" s="160"/>
      <c r="F52" s="37" t="s">
        <v>100</v>
      </c>
      <c r="G52" s="18">
        <v>1</v>
      </c>
      <c r="H52" s="19">
        <v>2</v>
      </c>
      <c r="I52" s="19">
        <v>3</v>
      </c>
      <c r="J52" s="25" t="s">
        <v>101</v>
      </c>
      <c r="K52" s="31" t="str">
        <f>K53</f>
        <v>-</v>
      </c>
      <c r="L52" s="152" t="s">
        <v>102</v>
      </c>
      <c r="M52" s="153"/>
      <c r="N52" s="152" t="s">
        <v>103</v>
      </c>
      <c r="O52" s="153"/>
      <c r="P52" s="16"/>
    </row>
    <row r="53" spans="2:16" ht="120" customHeight="1" x14ac:dyDescent="0.5">
      <c r="B53" s="51">
        <v>20</v>
      </c>
      <c r="C53" s="125" t="s">
        <v>39</v>
      </c>
      <c r="D53" s="144"/>
      <c r="E53" s="145"/>
      <c r="F53" s="34" t="str">
        <f>IFERROR(INDEX($G$28:$I$28,0,MATCH(0,$G53:$I53,-1)), "")</f>
        <v/>
      </c>
      <c r="G53" s="97" t="str">
        <f>IF($D$53="Research outcomes are,or will be, openly available to the public",1,"")</f>
        <v/>
      </c>
      <c r="H53" s="98" t="str">
        <f>IF($D$53="Don’t know, or unsure if research outcomes will be openly available to the public",1,"")</f>
        <v/>
      </c>
      <c r="I53" s="98" t="str">
        <f>IF($D$53="Research outcomes are not, or will not be, openly available to the public",1,"")</f>
        <v/>
      </c>
      <c r="J53" s="30"/>
      <c r="K53" s="31" t="str">
        <f>IFERROR(AVERAGE(F53:F55),"-")</f>
        <v>-</v>
      </c>
      <c r="L53" s="204" t="str">
        <f>IF($F$53=1,"Please explain how research outcomes will be made openly available to the public",IF($F$53=2,"This selection has passed a tolerance. Please explain why the potential for public access to outcomes is unknown",IF($F$53=3,"This selection has passed a tolerance. Please explain why outcomes will not be openly available to the public","Please select an option in cell D53")))</f>
        <v>Please select an option in cell D53</v>
      </c>
      <c r="M53" s="205"/>
      <c r="N53" s="210"/>
      <c r="O53" s="211"/>
      <c r="P53" s="16">
        <f>IF(SUM(H53:I53)&gt;0, 1, 0)</f>
        <v>0</v>
      </c>
    </row>
    <row r="54" spans="2:16" ht="120" customHeight="1" x14ac:dyDescent="0.5">
      <c r="B54" s="52">
        <f t="shared" si="0"/>
        <v>21</v>
      </c>
      <c r="C54" s="127" t="s">
        <v>149</v>
      </c>
      <c r="D54" s="150"/>
      <c r="E54" s="151"/>
      <c r="F54" s="35" t="str">
        <f>IFERROR(INDEX($G$28:$I$28,0,MATCH(0,$G54:$I54,-1)), "")</f>
        <v/>
      </c>
      <c r="G54" s="99" t="str">
        <f>IF($D$54="Both methods and/or tools are, or will be, made widely available to the public",1,"")</f>
        <v/>
      </c>
      <c r="H54" s="100" t="str">
        <f>IF($D$54="Don’t know, or unsure if methods and tools will be available to the public",1,"")</f>
        <v/>
      </c>
      <c r="I54" s="101" t="str">
        <f>IF($D$54="Both methods and tools are not, or will not be, made widely available to the public, or will only be shared internally",1,"")</f>
        <v/>
      </c>
      <c r="J54" s="102" t="str">
        <f>IF($D$54="N/A: Omit this item when you are not able to share these tools and methods",1,"")</f>
        <v/>
      </c>
      <c r="K54" s="32" t="str">
        <f t="shared" ref="K54:K55" si="6">K53</f>
        <v>-</v>
      </c>
      <c r="L54" s="206" t="str">
        <f>IF($F$54=1,"Please explain how methods and tools will be openly available to the public",IF($F$54=2,"Please explain why the sharing of methods and/or tools is unknown?",IF($F$54=3,"This selection has passed a tolerance. Please explain why methods and/or will not be openly available to the public",IF($J$54=1,"Please explain the omission of this item","Please select an option in cell D54"))))</f>
        <v>Please select an option in cell D54</v>
      </c>
      <c r="M54" s="207"/>
      <c r="N54" s="229"/>
      <c r="O54" s="230"/>
      <c r="P54" s="16">
        <f>IF(SUM(I54)&gt;0, 1, 0)</f>
        <v>0</v>
      </c>
    </row>
    <row r="55" spans="2:16" ht="120" customHeight="1" thickBot="1" x14ac:dyDescent="0.55000000000000004">
      <c r="B55" s="55">
        <f t="shared" si="0"/>
        <v>22</v>
      </c>
      <c r="C55" s="126" t="s">
        <v>78</v>
      </c>
      <c r="D55" s="157"/>
      <c r="E55" s="158"/>
      <c r="F55" s="38" t="str">
        <f>IFERROR(INDEX($G$28:$I$28,0,MATCH(0,$G55:$I55,-1)), "")</f>
        <v/>
      </c>
      <c r="G55" s="103" t="str">
        <f>IF($D$55="Data will be curated based on data retention policies and it will be available for re-use by the wider research community",1,"")</f>
        <v/>
      </c>
      <c r="H55" s="104" t="str">
        <f>IF($D$55="It is unsure whether data will be available for re-use, and/or data retention policies are not known/unclear",1,"")</f>
        <v/>
      </c>
      <c r="I55" s="105" t="str">
        <f>IF($D$55="Data will not be available for re-use, or data retention policies are not in place",1,"")</f>
        <v/>
      </c>
      <c r="J55" s="96" t="str">
        <f>IF($D$55="N/A: Omit this item when data sharing agreements or original consent does not allow re-use of the dataset.",1,"")</f>
        <v/>
      </c>
      <c r="K55" s="33" t="str">
        <f t="shared" si="6"/>
        <v>-</v>
      </c>
      <c r="L55" s="200" t="str">
        <f>IF($F$55=1,"Please state the data retention policy for this project, and explain how the data will be available for re-use",IF($F$55=2,"Please explain why the re-use of data is unknown, and/or why are data retention polcies unclear?",IF($F$55=3,"This selection has passed a tolerance. Please explain why data will not be availabe for re-use, or why data retention policies are not in place",IF($J$55=1,"Please explain why the dataset(s) cannot be re-used","Please select an option in cell D55"))))</f>
        <v>Please select an option in cell D55</v>
      </c>
      <c r="M55" s="201"/>
      <c r="N55" s="231"/>
      <c r="O55" s="232"/>
      <c r="P55" s="16">
        <f>IF(SUM(I55)&gt;0, 1, 0)</f>
        <v>0</v>
      </c>
    </row>
    <row r="56" spans="2:16" ht="54" customHeight="1" x14ac:dyDescent="0.5">
      <c r="L56" s="61"/>
      <c r="M56" s="61"/>
      <c r="P56" s="22"/>
    </row>
    <row r="57" spans="2:16" ht="47.1" customHeight="1" x14ac:dyDescent="0.5">
      <c r="N57" s="216" t="s">
        <v>150</v>
      </c>
      <c r="O57" s="216"/>
    </row>
    <row r="66" spans="16:16" hidden="1" x14ac:dyDescent="0.5">
      <c r="P66" s="139"/>
    </row>
    <row r="67" spans="16:16" hidden="1" x14ac:dyDescent="0.5">
      <c r="P67" s="139"/>
    </row>
    <row r="68" spans="16:16" ht="14.45" hidden="1" customHeight="1" x14ac:dyDescent="0.5">
      <c r="P68" s="139"/>
    </row>
    <row r="69" spans="16:16" ht="14.45" hidden="1" customHeight="1" x14ac:dyDescent="0.5">
      <c r="P69" s="139"/>
    </row>
    <row r="70" spans="16:16" ht="14.45" hidden="1" customHeight="1" x14ac:dyDescent="0.5">
      <c r="P70" s="139"/>
    </row>
    <row r="71" spans="16:16" ht="14.45" hidden="1" customHeight="1" x14ac:dyDescent="0.5">
      <c r="P71" s="139"/>
    </row>
    <row r="72" spans="16:16" ht="14.45" hidden="1" customHeight="1" x14ac:dyDescent="0.5">
      <c r="P72" s="139"/>
    </row>
    <row r="73" spans="16:16" ht="14.45" hidden="1" customHeight="1" x14ac:dyDescent="0.5">
      <c r="P73" s="139"/>
    </row>
    <row r="74" spans="16:16" hidden="1" x14ac:dyDescent="0.5">
      <c r="P74" s="139"/>
    </row>
    <row r="75" spans="16:16" hidden="1" x14ac:dyDescent="0.5">
      <c r="P75" s="139"/>
    </row>
    <row r="76" spans="16:16" hidden="1" x14ac:dyDescent="0.5">
      <c r="P76" s="139"/>
    </row>
    <row r="77" spans="16:16" hidden="1" x14ac:dyDescent="0.5">
      <c r="P77" s="139"/>
    </row>
    <row r="1048576" spans="15:15" hidden="1" x14ac:dyDescent="0.5">
      <c r="O1048576" s="61"/>
    </row>
  </sheetData>
  <sheetProtection algorithmName="SHA-512" hashValue="BQmOtmUROdBToi7l77hhhud6Bo0c/G4ZFtWzh7lYkH91HMJj1Z280byvkwYlS2ZyOGJEpIQYeLG0ZD1SnN9gwA==" saltValue="N19zbME1rV6I1G6Ha2uGcg==" spinCount="100000" sheet="1" objects="1" scenarios="1" formatCells="0" formatRows="0" selectLockedCells="1"/>
  <mergeCells count="112">
    <mergeCell ref="N57:O57"/>
    <mergeCell ref="M21:N24"/>
    <mergeCell ref="L19:N20"/>
    <mergeCell ref="N52:O52"/>
    <mergeCell ref="N53:O53"/>
    <mergeCell ref="N54:O54"/>
    <mergeCell ref="N55:O55"/>
    <mergeCell ref="N46:O46"/>
    <mergeCell ref="N47:O47"/>
    <mergeCell ref="N48:O48"/>
    <mergeCell ref="N49:O49"/>
    <mergeCell ref="N50:O50"/>
    <mergeCell ref="N51:O51"/>
    <mergeCell ref="N42:O42"/>
    <mergeCell ref="N43:O43"/>
    <mergeCell ref="N44:O44"/>
    <mergeCell ref="N45:O45"/>
    <mergeCell ref="N37:O37"/>
    <mergeCell ref="N38:O38"/>
    <mergeCell ref="N39:O39"/>
    <mergeCell ref="N40:O40"/>
    <mergeCell ref="N41:O41"/>
    <mergeCell ref="N32:O32"/>
    <mergeCell ref="N33:O33"/>
    <mergeCell ref="L41:M41"/>
    <mergeCell ref="L42:M42"/>
    <mergeCell ref="L33:M33"/>
    <mergeCell ref="L34:M34"/>
    <mergeCell ref="L35:M35"/>
    <mergeCell ref="L36:M36"/>
    <mergeCell ref="L37:M37"/>
    <mergeCell ref="N27:O27"/>
    <mergeCell ref="N28:O28"/>
    <mergeCell ref="L29:M29"/>
    <mergeCell ref="L30:M30"/>
    <mergeCell ref="L31:M31"/>
    <mergeCell ref="L32:M32"/>
    <mergeCell ref="N34:O34"/>
    <mergeCell ref="N35:O35"/>
    <mergeCell ref="N36:O36"/>
    <mergeCell ref="N29:O29"/>
    <mergeCell ref="N30:O30"/>
    <mergeCell ref="N31:O31"/>
    <mergeCell ref="D44:E44"/>
    <mergeCell ref="D45:E45"/>
    <mergeCell ref="D46:E46"/>
    <mergeCell ref="D28:E28"/>
    <mergeCell ref="D30:E30"/>
    <mergeCell ref="D31:E31"/>
    <mergeCell ref="D32:E32"/>
    <mergeCell ref="L27:M27"/>
    <mergeCell ref="L55:M55"/>
    <mergeCell ref="L48:M48"/>
    <mergeCell ref="L49:M49"/>
    <mergeCell ref="L50:M50"/>
    <mergeCell ref="L51:M51"/>
    <mergeCell ref="L52:M52"/>
    <mergeCell ref="L43:M43"/>
    <mergeCell ref="L44:M44"/>
    <mergeCell ref="L45:M45"/>
    <mergeCell ref="L46:M46"/>
    <mergeCell ref="L47:M47"/>
    <mergeCell ref="L54:M54"/>
    <mergeCell ref="L53:M53"/>
    <mergeCell ref="L38:M38"/>
    <mergeCell ref="L39:M39"/>
    <mergeCell ref="L40:M40"/>
    <mergeCell ref="B20:C20"/>
    <mergeCell ref="B21:C21"/>
    <mergeCell ref="B22:C22"/>
    <mergeCell ref="B23:C23"/>
    <mergeCell ref="B19:C19"/>
    <mergeCell ref="D27:E27"/>
    <mergeCell ref="L21:L24"/>
    <mergeCell ref="C4:L4"/>
    <mergeCell ref="C7:L7"/>
    <mergeCell ref="C10:L10"/>
    <mergeCell ref="C13:L13"/>
    <mergeCell ref="C16:L16"/>
    <mergeCell ref="C6:L6"/>
    <mergeCell ref="C9:L9"/>
    <mergeCell ref="C12:L12"/>
    <mergeCell ref="C15:L15"/>
    <mergeCell ref="B6:B7"/>
    <mergeCell ref="B9:B10"/>
    <mergeCell ref="B12:B13"/>
    <mergeCell ref="B15:B16"/>
    <mergeCell ref="C8:L8"/>
    <mergeCell ref="P66:P77"/>
    <mergeCell ref="B24:C24"/>
    <mergeCell ref="D37:E37"/>
    <mergeCell ref="D34:E34"/>
    <mergeCell ref="D35:E35"/>
    <mergeCell ref="D36:E36"/>
    <mergeCell ref="D38:E38"/>
    <mergeCell ref="D40:E40"/>
    <mergeCell ref="D41:E41"/>
    <mergeCell ref="D42:E42"/>
    <mergeCell ref="L28:M28"/>
    <mergeCell ref="G27:J27"/>
    <mergeCell ref="D53:E53"/>
    <mergeCell ref="D54:E54"/>
    <mergeCell ref="D55:E55"/>
    <mergeCell ref="D33:E33"/>
    <mergeCell ref="D47:E47"/>
    <mergeCell ref="D48:E48"/>
    <mergeCell ref="D52:E52"/>
    <mergeCell ref="D49:E49"/>
    <mergeCell ref="D50:E50"/>
    <mergeCell ref="D51:E51"/>
    <mergeCell ref="D39:E39"/>
    <mergeCell ref="D43:E43"/>
  </mergeCells>
  <conditionalFormatting sqref="B19:D19 H19">
    <cfRule type="containsText" dxfId="45" priority="38" operator="containsText" text="Have you considered these questions?">
      <formula>NOT(ISERROR(SEARCH("Have you considered these questions?",B19)))</formula>
    </cfRule>
  </conditionalFormatting>
  <conditionalFormatting sqref="D29:E29">
    <cfRule type="containsText" dxfId="44" priority="30" operator="containsText" text="Negligible public good that is not in line with best practice guidance">
      <formula>NOT(ISERROR(SEARCH("Negligible public good that is not in line with best practice guidance",D29)))</formula>
    </cfRule>
    <cfRule type="containsText" dxfId="43" priority="31" operator="containsText" text="Potential to achieve Public Good which requires further exploration">
      <formula>NOT(ISERROR(SEARCH("Potential to achieve Public Good which requires further exploration",D29)))</formula>
    </cfRule>
  </conditionalFormatting>
  <conditionalFormatting sqref="D30:E30">
    <cfRule type="containsText" dxfId="42" priority="29" operator="containsText" text="Societal benefits will be limited to certain groups/areas">
      <formula>NOT(ISERROR(SEARCH("Societal benefits will be limited to certain groups/areas",D30)))</formula>
    </cfRule>
  </conditionalFormatting>
  <conditionalFormatting sqref="D31:E31">
    <cfRule type="containsText" dxfId="41" priority="28" operator="containsText" text="Identified potential harm that cannot be mitigated against">
      <formula>NOT(ISERROR(SEARCH("Identified potential harm that cannot be mitigated against",D31)))</formula>
    </cfRule>
  </conditionalFormatting>
  <conditionalFormatting sqref="D32:E32">
    <cfRule type="containsText" dxfId="40" priority="27" operator="containsText" text="As yet, there is potential for bias/bias has been identified, but it cannot be mitigated against">
      <formula>NOT(ISERROR(SEARCH("As yet, there is potential for bias/bias has been identified, but it cannot be mitigated against",D32)))</formula>
    </cfRule>
  </conditionalFormatting>
  <conditionalFormatting sqref="D34:E34">
    <cfRule type="containsText" dxfId="39" priority="26" operator="containsText" text="Don’t know, or unsure if data or research outcomes could be used to directly identify data subjects">
      <formula>NOT(ISERROR(SEARCH("Don’t know, or unsure if data or research outcomes could be used to directly identify data subjects",D34)))</formula>
    </cfRule>
    <cfRule type="containsText" dxfId="38" priority="25" operator="containsText" text="Data or research outcomes could directly identify data subjects or specific population groups">
      <formula>NOT(ISERROR(SEARCH("Data or research outcomes could directly identify data subjects or specific population groups",D34)))</formula>
    </cfRule>
  </conditionalFormatting>
  <conditionalFormatting sqref="D35:E35">
    <cfRule type="containsText" dxfId="37" priority="23" operator="containsText" text="Data or research outcomes could indirectly identify data subjects or specific population groups">
      <formula>NOT(ISERROR(SEARCH("Data or research outcomes could indirectly identify data subjects or specific population groups",D35)))</formula>
    </cfRule>
    <cfRule type="containsText" dxfId="36" priority="24" operator="containsText" text="Don’t know, or unsure if data or research outcomes could be used to indirectly identify data subjects">
      <formula>NOT(ISERROR(SEARCH("Don’t know, or unsure if data or research outcomes could be used to indirectly identify data subjects",D35)))</formula>
    </cfRule>
  </conditionalFormatting>
  <conditionalFormatting sqref="D36:E36">
    <cfRule type="containsText" dxfId="35" priority="22" operator="containsText" text="Research taking place outside of a recognised secure environment, with some data security requirements still to be considered">
      <formula>NOT(ISERROR(SEARCH("Research taking place outside of a recognised secure environment, with some data security requirements still to be considered",D36)))</formula>
    </cfRule>
  </conditionalFormatting>
  <conditionalFormatting sqref="D37:E37">
    <cfRule type="containsText" dxfId="34" priority="21" operator="containsText" text="Informed consent has not been obtained from data subjects and cannot be justified">
      <formula>NOT(ISERROR(SEARCH("Informed consent has not been obtained from data subjects and cannot be justified",D37)))</formula>
    </cfRule>
  </conditionalFormatting>
  <conditionalFormatting sqref="D38:E38">
    <cfRule type="containsText" dxfId="33" priority="20" operator="containsText" text="Don’t know, or unsure if the proposed use of data is beyond the initial context for which permission was originally given">
      <formula>NOT(ISERROR(SEARCH("Don’t know, or unsure if the proposed use of data is beyond the initial context for which permission was originally given",D38)))</formula>
    </cfRule>
    <cfRule type="containsText" dxfId="32" priority="19" operator="containsText" text="The proposed use of data is beyond the initial context for which permission was originally given">
      <formula>NOT(ISERROR(SEARCH("The proposed use of data is beyond the initial context for which permission was originally given",D38)))</formula>
    </cfRule>
  </conditionalFormatting>
  <conditionalFormatting sqref="D40:E40">
    <cfRule type="containsText" dxfId="31" priority="18" operator="containsText" text="Potential that methods used, and quality of data may/will lead to invalid conclusions">
      <formula>NOT(ISERROR(SEARCH("Potential that methods used, and quality of data may/will lead to invalid conclusions",D40)))</formula>
    </cfRule>
  </conditionalFormatting>
  <conditionalFormatting sqref="D41:E41">
    <cfRule type="containsText" dxfId="30" priority="17" operator="containsText" text="The research organisation does not have established clear procedures or may not comply with recognised standards">
      <formula>NOT(ISERROR(SEARCH("The research organisation does not have established clear procedures or may not comply with recognised standards",D41)))</formula>
    </cfRule>
  </conditionalFormatting>
  <conditionalFormatting sqref="D42:E42">
    <cfRule type="containsText" dxfId="29" priority="16" operator="containsText" text="Researchers are trained but there is limited assurance in training that relates to this research">
      <formula>NOT(ISERROR(SEARCH("Researchers are trained but there is limited assurance in training that relates to this research",D42)))</formula>
    </cfRule>
  </conditionalFormatting>
  <conditionalFormatting sqref="D43:E43">
    <cfRule type="containsText" dxfId="28" priority="15" operator="containsText" text="Research based on automated or opaque processes with minimal human oversight">
      <formula>NOT(ISERROR(SEARCH("Research based on automated or opaque processes with minimal human oversight",D43)))</formula>
    </cfRule>
  </conditionalFormatting>
  <conditionalFormatting sqref="D44:E44">
    <cfRule type="containsText" dxfId="27" priority="14" operator="containsText" text="Research utilises untested or automated methods and technologies">
      <formula>NOT(ISERROR(SEARCH("Research utilises untested or automated methods and technologies",D44)))</formula>
    </cfRule>
  </conditionalFormatting>
  <conditionalFormatting sqref="D45:E45">
    <cfRule type="containsText" dxfId="26" priority="13" operator="containsText" text="Methods and quality of data have little/no potential to result in realising research benefits or mitigate risks">
      <formula>NOT(ISERROR(SEARCH("Methods and quality of data have little/no potential to result in realising research benefits or mitigate risks",D45)))</formula>
    </cfRule>
  </conditionalFormatting>
  <conditionalFormatting sqref="D47:E47">
    <cfRule type="containsText" dxfId="25" priority="11" operator="containsText" text="Legality has not been confirmed, and/or there has been no formal action to seek legal advice or clearance from the relevant department">
      <formula>NOT(ISERROR(SEARCH("Legality has not been confirmed, and/or there has been no formal action to seek legal advice or clearance from the relevant department",D47)))</formula>
    </cfRule>
    <cfRule type="containsText" dxfId="24" priority="12" operator="containsText" text="Don’t know, or unsure if the proposed use of data has been cleared against all relevant legislation and agreements">
      <formula>NOT(ISERROR(SEARCH("Don’t know, or unsure if the proposed use of data has been cleared against all relevant legislation and agreements",D47)))</formula>
    </cfRule>
  </conditionalFormatting>
  <conditionalFormatting sqref="D48:E48">
    <cfRule type="containsText" dxfId="23" priority="9" operator="containsText" text="Legal frameworks are unclear or still developing in the research area">
      <formula>NOT(ISERROR(SEARCH("Legal frameworks are unclear or still developing in the research area",D48)))</formula>
    </cfRule>
    <cfRule type="containsText" dxfId="22" priority="10" operator="containsText" text="Don’t know, or unsure what the relevant legal frameworks are in the research area">
      <formula>NOT(ISERROR(SEARCH("Don’t know, or unsure what the relevant legal frameworks are in the research area",D48)))</formula>
    </cfRule>
  </conditionalFormatting>
  <conditionalFormatting sqref="D50:E50">
    <cfRule type="containsText" dxfId="21" priority="8" operator="containsText" text="The public’s views of the project aims, and method are negative or unknown">
      <formula>NOT(ISERROR(SEARCH("The public’s views of the project aims, and method are negative or unknown",D50)))</formula>
    </cfRule>
  </conditionalFormatting>
  <conditionalFormatting sqref="D51:E51">
    <cfRule type="containsText" dxfId="20" priority="7" operator="containsText" text="No public engagement has been conducted, or planned, as part of the project">
      <formula>NOT(ISERROR(SEARCH("No public engagement has been conducted, or planned, as part of the project",D51)))</formula>
    </cfRule>
  </conditionalFormatting>
  <conditionalFormatting sqref="D53:E53">
    <cfRule type="containsText" dxfId="19" priority="5" operator="containsText" text="Research outcomes are not, or will not be, openly available to the public">
      <formula>NOT(ISERROR(SEARCH("Research outcomes are not, or will not be, openly available to the public",D53)))</formula>
    </cfRule>
    <cfRule type="containsText" dxfId="18" priority="6" operator="containsText" text="Don’t know, or unsure if research outcomes will be openly available to the public">
      <formula>NOT(ISERROR(SEARCH("Don’t know, or unsure if research outcomes will be openly available to the public",D53)))</formula>
    </cfRule>
  </conditionalFormatting>
  <conditionalFormatting sqref="D54:E54">
    <cfRule type="containsText" dxfId="17" priority="4" operator="containsText" text="Both methods and tools are not, or will not be, made widely available to the public, or will only be shared internally">
      <formula>NOT(ISERROR(SEARCH("Both methods and tools are not, or will not be, made widely available to the public, or will only be shared internally",D54)))</formula>
    </cfRule>
  </conditionalFormatting>
  <conditionalFormatting sqref="D55:E55">
    <cfRule type="containsText" dxfId="16" priority="3" operator="containsText" text="Data will not be available for re-use, or data retention policies are not in place">
      <formula>NOT(ISERROR(SEARCH("Data will not be available for re-use, or data retention policies are not in place",D55)))</formula>
    </cfRule>
  </conditionalFormatting>
  <conditionalFormatting sqref="K28:K29 K31:K35 K37:K41 K43:K46 K48:K49 K51:K52 K54:K55">
    <cfRule type="cellIs" dxfId="15" priority="40" operator="equal">
      <formula>"-"</formula>
    </cfRule>
    <cfRule type="cellIs" dxfId="14" priority="42" operator="between">
      <formula>2.3</formula>
      <formula>3</formula>
    </cfRule>
    <cfRule type="cellIs" dxfId="13" priority="43" operator="between">
      <formula>1.6</formula>
      <formula>2.3</formula>
    </cfRule>
    <cfRule type="cellIs" dxfId="12" priority="44" operator="between">
      <formula>1</formula>
      <formula>1.6</formula>
    </cfRule>
    <cfRule type="cellIs" dxfId="11" priority="45" operator="between">
      <formula>0</formula>
      <formula>1</formula>
    </cfRule>
  </conditionalFormatting>
  <conditionalFormatting sqref="K30 K36 K42 K47 K50 K53 L21">
    <cfRule type="containsText" dxfId="10" priority="47" operator="containsText" text="Red">
      <formula>NOT(ISERROR(SEARCH("Red",K21)))</formula>
    </cfRule>
  </conditionalFormatting>
  <conditionalFormatting sqref="K30 K36 K42 K47 K50 K53">
    <cfRule type="cellIs" dxfId="9" priority="39" operator="equal">
      <formula>"-"</formula>
    </cfRule>
  </conditionalFormatting>
  <conditionalFormatting sqref="L21 K30 K36 K42 K47 K50 K53">
    <cfRule type="containsText" dxfId="8" priority="48" operator="containsText" text="Amber">
      <formula>NOT(ISERROR(SEARCH("Amber",K21)))</formula>
    </cfRule>
    <cfRule type="containsText" dxfId="7" priority="49" operator="containsText" text="Green">
      <formula>NOT(ISERROR(SEARCH("Green",K21)))</formula>
    </cfRule>
    <cfRule type="containsText" dxfId="6" priority="50" operator="containsText" text="Green">
      <formula>NOT(ISERROR(SEARCH("Green",K21)))</formula>
    </cfRule>
  </conditionalFormatting>
  <conditionalFormatting sqref="M25">
    <cfRule type="containsText" dxfId="4" priority="35" operator="containsText" text="Form not complete, please select an option in each of the drop down boxes">
      <formula>NOT(ISERROR(SEARCH("Form not complete, please select an option in each of the drop down boxes",M25)))</formula>
    </cfRule>
  </conditionalFormatting>
  <conditionalFormatting sqref="M21:N24">
    <cfRule type="containsText" dxfId="3" priority="1" operator="containsText" text="Form not complete, please select an option in each of the drop down boxes">
      <formula>NOT(ISERROR(SEARCH("Form not complete, please select an option in each of the drop down boxes",M21)))</formula>
    </cfRule>
    <cfRule type="containsText" dxfId="2" priority="34" operator="containsText" text="One or more justifications have been left blank, please complete all justifications as per the justification suggestion">
      <formula>NOT(ISERROR(SEARCH("One or more justifications have been left blank, please complete all justifications as per the justification suggestion",M21)))</formula>
    </cfRule>
    <cfRule type="containsText" dxfId="1" priority="36" operator="containsText" text="Form not complete, please select an option in each of the drop down boxes and provide justifications">
      <formula>NOT(ISERROR(SEARCH("Form not complete, please select an option in each of the drop down boxes and provide justifications",M21)))</formula>
    </cfRule>
    <cfRule type="containsText" dxfId="0" priority="2" operator="containsText" text="One or more items have reached or exceeded a tolerance level - consult with the Data Ethics team">
      <formula>NOT(ISERROR(SEARCH("One or more items have reached or exceeded a tolerance level - consult with the Data Ethics team",M21)))</formula>
    </cfRule>
  </conditionalFormatting>
  <dataValidations count="24">
    <dataValidation errorStyle="warning" operator="greaterThan" allowBlank="1" showInputMessage="1" showErrorMessage="1" errorTitle="Justification" error="Your justification may not be detailed enough, please refer to the guidance and/or the justification suggestion." sqref="N29:O29" xr:uid="{AD1BA054-8EB7-4192-8C71-16418AA216F3}"/>
    <dataValidation type="list" allowBlank="1" showInputMessage="1" showErrorMessage="1" errorTitle="Drop-Down Option" error="Please select the most applicable option from the drop-down options provided for each item. Thank you._x000a__x000a_" sqref="E29" xr:uid="{8A2B2D3C-49C9-4CEC-A49D-A0F0CAFAF08A}">
      <formula1>$XFA$6:$XFA$8</formula1>
    </dataValidation>
    <dataValidation type="list" allowBlank="1" showInputMessage="1" showErrorMessage="1" errorTitle="Drop-Down Options" error="Please select the most applicable option from the drop-down options provided for each item. Thank you." sqref="D30:E30" xr:uid="{15071A0E-EB0D-4EBF-8040-739F2D65AC2F}">
      <formula1>$XFA$10:$XFA$13</formula1>
    </dataValidation>
    <dataValidation type="list" allowBlank="1" showInputMessage="1" showErrorMessage="1" errorTitle="Drop-Down Options" error="Please select the most applicable option from the drop-down options provided for each item. Thank you." sqref="D31:E31" xr:uid="{FE954020-A299-4007-B3B2-2101063CCCAC}">
      <formula1>$XFA$15:$XFA$17</formula1>
    </dataValidation>
    <dataValidation type="list" allowBlank="1" showInputMessage="1" showErrorMessage="1" errorTitle="Drop-Down Options" error="Please select the most applicable option from the drop-down options provided for each item. Thank you." sqref="D32:E32" xr:uid="{C759E9D1-B595-432F-A659-65B4F83326B1}">
      <formula1>$XFA$19:$XFA$21</formula1>
    </dataValidation>
    <dataValidation type="list" allowBlank="1" showInputMessage="1" showErrorMessage="1" errorTitle="Drop-Down Options" error="Please select the most applicable option from the drop-down options provided for each item. Thank you." sqref="D34:E34" xr:uid="{925A9EB3-9D47-4547-8F37-D93DC21665D0}">
      <formula1>$XFA$23:$XFA$25</formula1>
    </dataValidation>
    <dataValidation type="list" allowBlank="1" showInputMessage="1" showErrorMessage="1" errorTitle="Drop-Down Options" error="Please select the most applicable option from the drop-down options provided for each item. Thank you." sqref="D35:E35" xr:uid="{5CAA3BF5-3048-4958-80A3-A9180D61E582}">
      <formula1>$XFA$27:$XFA$29</formula1>
    </dataValidation>
    <dataValidation type="list" allowBlank="1" showInputMessage="1" showErrorMessage="1" errorTitle="Drop-Down Options" error="Please select the most applicable option from the drop-down options provided for each item. Thank you." sqref="D38:E38" xr:uid="{B40A39E4-93C1-4BA7-9CA5-438CB8841F1C}">
      <formula1>$XFA$40:$XFA$43</formula1>
    </dataValidation>
    <dataValidation type="list" allowBlank="1" showInputMessage="1" showErrorMessage="1" errorTitle="Drop-Down Options" error="Please select the most applicable option from the drop-down options provided for each item. Thank you." sqref="D40:E40" xr:uid="{2C994911-5277-4FC7-8DD9-6E47B6A05648}">
      <formula1>$XFB$6:$XFB$8</formula1>
    </dataValidation>
    <dataValidation type="list" allowBlank="1" showInputMessage="1" showErrorMessage="1" errorTitle="Drop-Down Options" error="Please select the most applicable option from the drop-down options provided for each item. Thank you." sqref="D41:E41" xr:uid="{8D689A03-07E8-4C2A-A0AF-36FF9A5B583C}">
      <formula1>$XFB$10:$XFB$12</formula1>
    </dataValidation>
    <dataValidation type="list" allowBlank="1" showInputMessage="1" showErrorMessage="1" errorTitle="Drop-Down Options" error="Please select the most applicable option from the drop-down options provided for each item. Thank you." sqref="D42:E42" xr:uid="{9B98A646-5C86-4908-B3AF-374569BA98F5}">
      <formula1>$XFB$14:$XFB$16</formula1>
    </dataValidation>
    <dataValidation type="list" allowBlank="1" showInputMessage="1" showErrorMessage="1" errorTitle="Drop-Down Options" error="Please select the most applicable option from the drop-down options provided for each item. Thank you." sqref="D43:E43" xr:uid="{783185ED-36D0-4D76-8C49-91937DC375ED}">
      <formula1>$XFB$18:$XFB$21</formula1>
    </dataValidation>
    <dataValidation type="list" allowBlank="1" showInputMessage="1" showErrorMessage="1" errorTitle="Drop-Down Options" error="Please select the most applicable option from the drop-down options provided for each item. Thank you." sqref="D44:E44" xr:uid="{64A69D6A-430C-453B-8A3B-A6B78F58DFD3}">
      <formula1>$XFB$23:$XFB$26</formula1>
    </dataValidation>
    <dataValidation type="list" allowBlank="1" showInputMessage="1" showErrorMessage="1" errorTitle="Drop-Down Options" error="Please select the most applicable option from the drop-down options provided for each item. Thank you." sqref="D45:E45" xr:uid="{5839B783-B9B4-498C-9889-6E6858A2AB61}">
      <formula1>$XFB$28:$XFB$30</formula1>
    </dataValidation>
    <dataValidation type="list" allowBlank="1" showInputMessage="1" showErrorMessage="1" errorTitle="Drop-Down Options" error="Please select the most applicable option from the drop-down options provided for each item. Thank you." sqref="D48:E48" xr:uid="{AFDB5A50-5B53-4135-847E-BD2AA805A600}">
      <formula1>$XFB$36:$XFB$38</formula1>
    </dataValidation>
    <dataValidation type="list" allowBlank="1" showInputMessage="1" showErrorMessage="1" errorTitle="Drop-Down Options" error="Please select the most applicable option from the drop-down options provided for each item. Thank you." sqref="D50:E50" xr:uid="{6DC850C7-5FEA-471B-8BCC-253E79873159}">
      <formula1>$XFC$6:$XFC$8</formula1>
    </dataValidation>
    <dataValidation type="list" allowBlank="1" showInputMessage="1" showErrorMessage="1" errorTitle="Drop-Down Options" error="Please select the most applicable option from the drop-down options provided for each item. Thank you." sqref="D51:E51" xr:uid="{CD658EAE-4340-486D-AA84-725662275F76}">
      <formula1>$XFC$10:$XFC$13</formula1>
    </dataValidation>
    <dataValidation type="list" allowBlank="1" showInputMessage="1" showErrorMessage="1" errorTitle="Drop-Down Options" error="Please select the most applicable option from the drop-down options provided for each item. Thank you." sqref="D53:E53" xr:uid="{E6D4D968-A37C-4100-A639-3F5DC7E63711}">
      <formula1>$XFC$15:$XFC$17</formula1>
    </dataValidation>
    <dataValidation type="list" allowBlank="1" showInputMessage="1" showErrorMessage="1" errorTitle="Drop-Down Options" error="Please select the most applicable option from the drop-down options provided for each item. Thank you." sqref="D54:E54" xr:uid="{86A209E2-80C7-4FC6-9A6E-C607ACED7227}">
      <formula1>$XFC$19:$XFC$22</formula1>
    </dataValidation>
    <dataValidation type="list" allowBlank="1" showInputMessage="1" showErrorMessage="1" errorTitle="Drop-Down Options" error="Please select the most applicable option from the drop-down options provided for each item. Thank you." sqref="D55:E55" xr:uid="{3EF7969B-DFCC-44BE-9FE7-3DC5963D6169}">
      <formula1>$XFC$24:$XFC$27</formula1>
    </dataValidation>
    <dataValidation type="list" allowBlank="1" showInputMessage="1" showErrorMessage="1" errorTitle="Drop-Down Options" error="Please select the most applicable option from the drop-down options provided for each item. Thank you." sqref="D36:E36" xr:uid="{713CAAD7-E6C0-47DD-BE6C-6F5670D9EAD8}">
      <formula1>$XFA$31:$XFA$33</formula1>
    </dataValidation>
    <dataValidation type="list" allowBlank="1" showInputMessage="1" showErrorMessage="1" errorTitle="Drop-Down Options" error="Please select the most applicable option from the drop-down options provided for each item. Thank you." sqref="D37:E37" xr:uid="{E9B51E2C-3CD0-4D33-B6B9-45E212B4B5FF}">
      <formula1>$XFA$36:$XFA$38</formula1>
    </dataValidation>
    <dataValidation type="list" allowBlank="1" showInputMessage="1" showErrorMessage="1" errorTitle="Drop-Down Options" error="Please select the most applicable option from the drop-down options provided for each item. Thank you." sqref="D47:E47" xr:uid="{7BE29A6F-7CA4-4D66-9F23-29D27E28C08D}">
      <formula1>$XFB$32:$XFB$34</formula1>
    </dataValidation>
    <dataValidation allowBlank="1" showInputMessage="1" showErrorMessage="1" errorTitle="Drop-Down Option" error="Please select the most applicable option from the drop-down options provided for each item. Thank you._x000a__x000a_" sqref="D29" xr:uid="{0A827BF4-8B9E-41B1-BD9A-6F3260376C37}"/>
  </dataValidations>
  <hyperlinks>
    <hyperlink ref="C29" r:id="rId1" location="lg_1-public-benefit" xr:uid="{0A40D3E7-AE7B-40FD-987C-456E6E25705E}"/>
    <hyperlink ref="C30" r:id="rId2" location="lg_2-population-coverage" xr:uid="{7DC81874-4CF8-48FF-81B4-D75A5F2F8C51}"/>
    <hyperlink ref="C31" r:id="rId3" location="lg_3-potential-harm" xr:uid="{8D49B115-C8C1-422A-A4A3-B888D27CAB4A}"/>
    <hyperlink ref="C32" r:id="rId4" location="lg_4-biases" xr:uid="{1FDB8967-C508-46B5-95C3-F735B53DA7BE}"/>
    <hyperlink ref="C34" r:id="rId5" location="lg_5-direct-identification" xr:uid="{58C3C460-9BBA-417D-B30A-976A0A2CD12C}"/>
    <hyperlink ref="C35" r:id="rId6" location="lg_6-indirect-identification" xr:uid="{F0921657-1BE4-42D4-BC8C-A554CB5FCC4F}"/>
    <hyperlink ref="C36" r:id="rId7" location="lg_7-data-security" display="Data Security" xr:uid="{0E59D844-BE4B-4D87-BF67-9244E3D05524}"/>
    <hyperlink ref="C37" r:id="rId8" location="lg_8-ethical-consent" xr:uid="{BECA23CD-635D-402A-AA31-5125F2707EEC}"/>
    <hyperlink ref="C38" r:id="rId9" location="lg_9-permitted-use-of-data" xr:uid="{2E4FDAA8-1C69-4872-80CB-4105A8C0D329}"/>
    <hyperlink ref="C40" r:id="rId10" location="lg_10-validity" xr:uid="{AE9D7644-752B-4440-A5E1-8A6224DD063C}"/>
    <hyperlink ref="C41" r:id="rId11" location="lg_11-standards" xr:uid="{BC92439D-2105-452A-BE27-6AAEF472C0FB}"/>
    <hyperlink ref="C42" r:id="rId12" location="lg_12-training" xr:uid="{2D6FA910-1E54-4C2D-BD89-BF5B04DD05E3}"/>
    <hyperlink ref="C43" r:id="rId13" location="lg_13-human-oversight" xr:uid="{CF18872A-2392-4617-BE41-1A2FB1B38DAD}"/>
    <hyperlink ref="C44" r:id="rId14" location="lg_14-new-technologies" xr:uid="{37DD9972-8668-46FC-8AEE-1285109F3DDA}"/>
    <hyperlink ref="C45" r:id="rId15" location="lg_15-potential-to-realise-benefits" xr:uid="{48CF2C05-7B07-4475-900C-DC174F9770B2}"/>
    <hyperlink ref="C47" r:id="rId16" location="lg_16-established-legal-gateways-and-agreements" xr:uid="{D98FE7AF-4A36-4C80-89D3-C65D4585DDD9}"/>
    <hyperlink ref="C48" r:id="rId17" location="lg_17-established-legal-frameworks" xr:uid="{979F7B3F-4870-48CC-9347-0D56483624FD}"/>
    <hyperlink ref="C50" r:id="rId18" location="lg_18-public-views" xr:uid="{4A838890-72CC-4D64-8EE5-02EBD3214CD0}"/>
    <hyperlink ref="C51" r:id="rId19" location="lg_19-public-engagement" xr:uid="{B8CD9A97-C6F2-4CA8-90F3-E4D8B98E75E0}"/>
    <hyperlink ref="C53" r:id="rId20" location="lg_20-public-access-to-outcomes" xr:uid="{5E0FC222-25B2-4B3F-9852-1B0FA79F3CCD}"/>
    <hyperlink ref="C54" r:id="rId21" location="lg_21-sharing-of-methods-and-tools" xr:uid="{7003C447-38F4-45CD-B6B9-4833BD458AAE}"/>
    <hyperlink ref="C55" r:id="rId22" location="lg_22-data-curation-and-re-use" xr:uid="{FA93E8B5-3061-486B-BA2C-7CB5278EBB6F}"/>
    <hyperlink ref="D29" r:id="rId23" display="Please find our specifc public good guidance via this link" xr:uid="{52F781EE-215E-4A5B-9A8B-90F602E79AD3}"/>
  </hyperlinks>
  <pageMargins left="0.25" right="0.25" top="0.75" bottom="0.75" header="0.3" footer="0.3"/>
  <pageSetup paperSize="9" scale="60" fitToHeight="0" orientation="portrait" r:id="rId24"/>
  <drawing r:id="rId25"/>
  <extLst>
    <ext xmlns:x14="http://schemas.microsoft.com/office/spreadsheetml/2009/9/main" uri="{78C0D931-6437-407d-A8EE-F0AAD7539E65}">
      <x14:conditionalFormattings>
        <x14:conditionalFormatting xmlns:xm="http://schemas.microsoft.com/office/excel/2006/main">
          <x14:cfRule type="containsText" priority="32" operator="containsText" id="{BB71CF7E-2FE8-4F12-BB07-3B1F5FF347DC}">
            <xm:f>NOT(ISERROR(SEARCH("-",L21)))</xm:f>
            <xm:f>"-"</xm:f>
            <x14:dxf>
              <font>
                <color auto="1"/>
              </font>
              <fill>
                <patternFill patternType="none">
                  <bgColor auto="1"/>
                </patternFill>
              </fill>
            </x14:dxf>
          </x14:cfRule>
          <xm:sqref>L21:L24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tention xmlns="6dab36e7-c487-4780-8e35-3b48fa83d7a8">0</Retention>
    <EDRMSOwner xmlns="6dab36e7-c487-4780-8e35-3b48fa83d7a8" xsi:nil="true"/>
    <Record_Type xmlns="6dab36e7-c487-4780-8e35-3b48fa83d7a8">Correspondence, Guidance etc</Record_Type>
    <RetentionDate xmlns="6dab36e7-c487-4780-8e35-3b48fa83d7a8" xsi:nil="true"/>
    <RetentionType xmlns="6dab36e7-c487-4780-8e35-3b48fa83d7a8">Notify</Retention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DF35214976B1543B35A152A7641D3E7" ma:contentTypeVersion="34" ma:contentTypeDescription="Create a new document." ma:contentTypeScope="" ma:versionID="5c58e4fea69d58fa215b1b5a0e4da38e">
  <xsd:schema xmlns:xsd="http://www.w3.org/2001/XMLSchema" xmlns:xs="http://www.w3.org/2001/XMLSchema" xmlns:p="http://schemas.microsoft.com/office/2006/metadata/properties" xmlns:ns2="6dab36e7-c487-4780-8e35-3b48fa83d7a8" xmlns:ns3="98736429-eed7-4eeb-89bc-06743e71e413" targetNamespace="http://schemas.microsoft.com/office/2006/metadata/properties" ma:root="true" ma:fieldsID="abee5eb69777f2c94156cd4ea47bad49" ns2:_="" ns3:_="">
    <xsd:import namespace="6dab36e7-c487-4780-8e35-3b48fa83d7a8"/>
    <xsd:import namespace="98736429-eed7-4eeb-89bc-06743e71e413"/>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b36e7-c487-4780-8e35-3b48fa83d7a8"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736429-eed7-4eeb-89bc-06743e71e413"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682AC2EE-0B14-436F-A00B-D74F0C6291E9}">
  <ds:schemaRefs>
    <ds:schemaRef ds:uri="http://schemas.microsoft.com/office/2006/metadata/properties"/>
    <ds:schemaRef ds:uri="http://schemas.microsoft.com/office/infopath/2007/PartnerControls"/>
    <ds:schemaRef ds:uri="6dab36e7-c487-4780-8e35-3b48fa83d7a8"/>
  </ds:schemaRefs>
</ds:datastoreItem>
</file>

<file path=customXml/itemProps2.xml><?xml version="1.0" encoding="utf-8"?>
<ds:datastoreItem xmlns:ds="http://schemas.openxmlformats.org/officeDocument/2006/customXml" ds:itemID="{AF4DF176-F09A-44AA-B9C6-B14A825626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b36e7-c487-4780-8e35-3b48fa83d7a8"/>
    <ds:schemaRef ds:uri="98736429-eed7-4eeb-89bc-06743e71e4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A0B1F6-4CF4-4794-A965-695655EABB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Assessment</vt:lpstr>
      <vt:lpstr>Assessment!Druckbereich</vt:lpstr>
    </vt:vector>
  </TitlesOfParts>
  <Manager/>
  <Company>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Self-assessment_sheet</dc:title>
  <dc:subject/>
  <dc:creator>Saravakos, Petros;Daniel.Towler@Statistics.gov.uk</dc:creator>
  <cp:keywords/>
  <dc:description/>
  <cp:lastModifiedBy>Felix Brändli</cp:lastModifiedBy>
  <cp:revision/>
  <dcterms:created xsi:type="dcterms:W3CDTF">2017-11-08T09:31:34Z</dcterms:created>
  <dcterms:modified xsi:type="dcterms:W3CDTF">2025-05-21T08:24:22Z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0x0101009DF35214976B1543B35A152A7641D3E7</vt:lpwstr>
  </property>
  <property fmtid="{D5CDD505-2E9C-101B-9397-08002B2CF9AE}" pid="3" name="_dlc_DocIdItemGuid">
    <vt:lpwstr>336a0c8e-6b0c-4716-9982-c0bf007fcaf2</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_dlc_policyId">
    <vt:lpwstr>0x01010035E33599CC8D1E47A037F474646B1D58|2057524105</vt:lpwstr>
  </property>
  <property fmtid="{D5CDD505-2E9C-101B-9397-08002B2CF9AE}" pid="8"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9" name="RecordType">
    <vt:lpwstr>8;#Correspondence, Guidance etc|746aa5d3-a4cc-4e5c-bc1b-afebd1d43e75</vt:lpwstr>
  </property>
  <property fmtid="{D5CDD505-2E9C-101B-9397-08002B2CF9AE}" pid="10" name="URL">
    <vt:lpwstr/>
  </property>
</Properties>
</file>