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<sst xmlns="http://schemas.openxmlformats.org/spreadsheetml/2006/main" count="3204" uniqueCount="3200">
  <si>
    <t>link</t>
  </si>
  <si>
    <t>created_at</t>
  </si>
  <si>
    <t>fav</t>
  </si>
  <si>
    <t>rt</t>
  </si>
  <si>
    <t>text</t>
  </si>
  <si>
    <t>The judge opens up our country to potential terrorists and others that do not have our best interests at heart. Bad people are very happy!</t>
  </si>
  <si>
    <t>Interview with @oreillyfactor on Fox Network - 4:00 P.M. (prior to Super Bowl). Enjoy!</t>
  </si>
  <si>
    <t>Why aren't the lawyers looking at and using the Federal Court decision in Boston, which is at conflict with ridiculous lift ban decision?</t>
  </si>
  <si>
    <t>Because the ban was lifted by a judge, many very bad and dangerous people may be pouring into our country. A terrible decision</t>
  </si>
  <si>
    <t>What is our country coming to when a judge can halt a Homeland Security travel ban and anyone, even with bad intentions, can come into U.S.?</t>
  </si>
  <si>
    <t>MAKE AMERICA GREAT AGAIN!</t>
  </si>
  <si>
    <t>After being forced to apologize for its bad and inaccurate coverage of me after winning the election, the FAKE NEWS @nytimes is still lost!</t>
  </si>
  <si>
    <t>The opinion of this so-called judge, which essentially takes law-enforcement away from our country, is ridiculous and will be overturned!</t>
  </si>
  <si>
    <t>Interesting that certain Middle-Eastern countries agree with the ban. They know if certain people are allowed in it's death &amp;amp; destruction!</t>
  </si>
  <si>
    <t>When a country is no longer able to say who can, and who cannot , come in &amp;amp; out, especially for reasons of safety &amp;amp;.security - big trouble!</t>
  </si>
  <si>
    <t>Countries charge U.S. companies taxes or tariffs while the U.S. charges them nothing or little.We should charge them SAME as they charge us!</t>
  </si>
  <si>
    <t>We must keep "evil" out of our country!</t>
  </si>
  <si>
    <t>A new radical Islamic terrorist has just attacked in Louvre Museum in Paris. Tourists were locked down. France on edge again. GET SMART U.S.</t>
  </si>
  <si>
    <t>Professional anarchists, thugs and paid protesters are proving the point of the millions of people who voted to MAKE AMERICA GREAT AGAIN!</t>
  </si>
  <si>
    <t>Meeting with biggest business leaders this morning. Good jobs are coming back to U.S., health care and tax bills are being crafted NOW!</t>
  </si>
  <si>
    <t>Thank you to Prime Minister of Australia for telling the truth about our very civil conversation that FAKE NEWS media lied about. Very nice!</t>
  </si>
  <si>
    <t>Iran is playing with fire - they don't appreciate how "kind" President Obama was to them. Not me!</t>
  </si>
  <si>
    <t>Yes, Arnold Schwarzenegger did a really bad job as Governor of California and even worse on the Apprentice...but at least he tried hard!</t>
  </si>
  <si>
    <t>Thank you, @Samsung! We would love to have you! https://t.co/r5nxC9oOA4</t>
  </si>
  <si>
    <t>Iran was on its last legs and ready to collapse until the U.S. came along and gave it a life-line in the form of the Iran Deal: $150 billion</t>
  </si>
  <si>
    <t>Iran has been formally PUT ON NOTICE for firing a ballistic missile.Should have been thankful for the terrible deal the U.S. made with them!</t>
  </si>
  <si>
    <t>Attending Chief Ryan Owens' Dignified Transfer yesterday with my daughter Ivanka was my great honor. To a great and brave man - thank you!</t>
  </si>
  <si>
    <t>Congratulations to Rex Tillerson on being sworn in as our new Secretary of State. He will be a star!</t>
  </si>
  <si>
    <t>If U.C. Berkeley does not allow free speech and practices violence on innocent people with a different point of view - NO FEDERAL FUNDS?</t>
  </si>
  <si>
    <t>Do you believe it? The Obama Administration agreed to take thousands of illegal immigrants from Australia. Why? I will study this dumb deal!</t>
  </si>
  <si>
    <t>Iran is rapidly taking over more and more of Iraq even after the U.S. has squandered three trillion dollars there. Obvious long ago!</t>
  </si>
  <si>
    <t>Everybody is arguing whether or not it is a BAN. Call it what you want, it is about keeping bad people (with bad intentions) out of country!</t>
  </si>
  <si>
    <t>Hope you like my nomination of Judge Neil Gorsuch for the United States Supreme Court. He is a good and brilliant man, respected by all.</t>
  </si>
  <si>
    <t>Join me live from the @WhiteHouse.
https://t.co/LHOs4nAaGl</t>
  </si>
  <si>
    <t>Getting ready to deliver a VERY IMPORTANT DECISION!  8:00 P.M.</t>
  </si>
  <si>
    <t>When will the Democrats give us our Attorney General and rest of Cabinet! They should be ashamed of themselves! No wonder D.C. doesn't work!</t>
  </si>
  <si>
    <t>Nancy Pelosi and Fake Tears Chuck Schumer held a rally  at the steps of The Supreme Court and mic did not work (a mess)-just like Dem party!</t>
  </si>
  <si>
    <t>The Democrats are delaying my cabinet picks for purely political reasons. They have nothing going but to obstruct. Now have an Obama A.G.</t>
  </si>
  <si>
    <t>The American dream is back. We’re going to create an environment for small business like we haven’t had in many, ma… https://t.co/Bh7SrNEgz1</t>
  </si>
  <si>
    <t>Where was all the outrage from Democrats and the opposition party (the media) when our jobs were fleeing our country?</t>
  </si>
  <si>
    <t>I have made my decision on who I will nominate for The United States Supreme Court. It will be announced live on Tuesday at 8:00 P.M. (W.H.)</t>
  </si>
  <si>
    <t>If the ban were announced with a one week notice, the "bad" would rush into our country during that week. A lot of bad "dudes" out there!</t>
  </si>
  <si>
    <t>There is nothing nice about searching for terrorists before they can enter our country. This was a big part of my campaign. Study the world!</t>
  </si>
  <si>
    <t>protesters and the tears of Senator Schumer. Secretary Kelly said that all is going well with very few problems. MAKE AMERICA SAFE AGAIN!</t>
  </si>
  <si>
    <t>Only 109 people out of 325,000 were detained and held for questioning. Big problems at airports were caused by Delta computer outage,.....</t>
  </si>
  <si>
    <t>I will be interviewed by @TheBrodyFile on @CBNNews tonight at 11pm. Enjoy!</t>
  </si>
  <si>
    <t>Statement Regarding Recent Executive Order Concerning Extreme Vetting: https://t.co/f6JO60I0Ul</t>
  </si>
  <si>
    <t>...Senators should focus their energies on ISIS, illegal immigration and border security instead of always looking to start World War III.</t>
  </si>
  <si>
    <t>The joint statement of former presidential candidates John McCain &amp;amp; Lindsey Graham is wrong - they are sadly weak on immigration. The two...</t>
  </si>
  <si>
    <t>Christians in the Middle-East have been executed in large numbers. We cannot allow this horror to continue!</t>
  </si>
  <si>
    <t>Our country needs strong borders and extreme vetting, NOW. Look what is happening all over Europe and, indeed, the world - a horrible mess!</t>
  </si>
  <si>
    <t>Somebody with aptitude and conviction should buy the FAKE NEWS and failing @nytimes and either run it correctly or let it fold with dignity!</t>
  </si>
  <si>
    <t>Today, we remember the crew of the Space Shuttle Challenger, 31 years later. #NeverForget https://t.co/OhshQsFRfl</t>
  </si>
  <si>
    <t>...dwindling subscribers and readers.They got me wrong right from the beginning and still have not changed course, and never will. DISHONEST</t>
  </si>
  <si>
    <t>Thr coverage about me in the @nytimes and the @washingtonpost gas been so false and angry that the times actually apologized to its.....</t>
  </si>
  <si>
    <t>The failing @nytimes has been wrong about me from the very beginning. Said I would lose the primaries, then the general election. FAKE NEWS!</t>
  </si>
  <si>
    <t>I promise that our administration will ALWAYS have your back. We will ALWAYS be with you! https://t.co/D0aOWhOH4X</t>
  </si>
  <si>
    <t>Congratulations Secretary Mattis! https://t.co/mkuhbegzqS</t>
  </si>
  <si>
    <t>Statement on International Holocaust Remembrance Day: https://t.co/KjU0MOxCHk</t>
  </si>
  <si>
    <t>.@VP Mike Pence will be speaking at today's #MarchForLife -- You have our full support! https://t.co/1jb53SEGV4</t>
  </si>
  <si>
    <t>The #MarchForLife is so important. To all of you marching --- you have my full support!</t>
  </si>
  <si>
    <t>Mexico has taken advantage of the U.S. for long enough. Massive trade deficits &amp;amp; little help on the very weak border must change, NOW!</t>
  </si>
  <si>
    <t>Look forward to seeing final results of VoteStand. Gregg Phillips and crew say at least 3,000,000 votes were illegal. We must do better!</t>
  </si>
  <si>
    <t>Miami-Dade Mayor drops sanctuary policy. Right decision. Strong! https://t.co/MtPvaDC4jM</t>
  </si>
  <si>
    <t>Will be interviewed by @SeanHannity on @FoxNews at 10:00pm tonight. Enjoy!</t>
  </si>
  <si>
    <t>Spoke at the Congressional @GOP Retreat in Philadelphia, PA. this afternoon w/ @VP, @SenateMajLdr, @SpeakerRyan. Th… https://t.co/ALSADGrwoe</t>
  </si>
  <si>
    <t>of jobs and companies lost. If Mexico is unwilling to pay for the badly needed wall, then it would be better to cancel the upcoming meeting.</t>
  </si>
  <si>
    <t>The U.S. has a 60 billion dollar trade deficit with Mexico. It has been a one-sided deal from the beginning of NAFTA with massive numbers...</t>
  </si>
  <si>
    <t>Ungrateful TRAITOR Chelsea Manning, who should never have been released from prison, is now calling President Obama a weak leader. Terrible!</t>
  </si>
  <si>
    <t>Interview with David Muir of @ABC News in 10 minutes. Enjoy!</t>
  </si>
  <si>
    <t>"@romoabcnews: .@DavidMuir first @POTUS interview since taking office.  Tonight on @ABCWorldNews @ABC2020 tonight. https://t.co/I4Vz1mRdBK"</t>
  </si>
  <si>
    <t>As your President, I have no higher duty than to protect the lives of the American people. https://t.co/o7YNUNwb8f</t>
  </si>
  <si>
    <t>Beginning today, the United States of America gets back control of its borders. Full speech from today @DHSgov:… https://t.co/8aDaHsAhg9</t>
  </si>
  <si>
    <t>I will be interviewed by @DavidMuir tonight at 10 o'clock on @ABC. Will be my first interview from the White House.… https://t.co/4zuOrRdcoc</t>
  </si>
  <si>
    <t>I will be making my Supreme Court pick on Thursday of next week.Thank you!</t>
  </si>
  <si>
    <t>even, those registered to vote who are dead (and many for a long time). Depending on results, we will strengthen up voting procedures!</t>
  </si>
  <si>
    <t>I will be asking for a major investigation into VOTER FRAUD, including those registered to vote in two states, those who are illegal and....</t>
  </si>
  <si>
    <t>Big day planned on NATIONAL SECURITY tomorrow. Among many other things, we will build the wall!</t>
  </si>
  <si>
    <t>If Chicago doesn't fix the horrible "carnage" going on, 228 shootings in 2017 with 42 killings (up 24% from 2016), I will send in the Feds!</t>
  </si>
  <si>
    <t>Congratulations to @FoxNews for being number one in inauguration ratings. They were many times higher than FAKE NEWS @CNN - public is smart!</t>
  </si>
  <si>
    <t>Great meeting with Ford CEO Mark Fields and General Motors CEO Mary Barra at the @WhiteHouse today. https://t.co/T0eIgO6LP8</t>
  </si>
  <si>
    <t>Signing orders to move forward with the construction of the Keystone XL and Dakota Access pipelines in the Oval Off… https://t.co/aOxmfO0vOK</t>
  </si>
  <si>
    <t>Great meeting with automobile industry leaders at the @WhiteHouse this morning. Together, we will #MAGA! https://t.co/OXdiLOkGsZ</t>
  </si>
  <si>
    <t>A photo delivered yesterday that will be displayed in the upper/lower press hall. Thank you Abbas! https://t.co/Uzp0ivvRp0</t>
  </si>
  <si>
    <t>Will be meeting at 9:00 with top automobile executives concerning jobs in America. I want new plants to be built here for cars sold here!</t>
  </si>
  <si>
    <t>Busy week planned with a heavy focus on jobs and national security. Top executives coming in at 9:00 A.M. to talk manufacturing in America.</t>
  </si>
  <si>
    <t>Peaceful protests are a hallmark of our democracy. Even if I don't always agree, I recognize the rights of people to express their views.</t>
  </si>
  <si>
    <t>Wow, television ratings just out: 31 million people watched the Inauguration, 11 million more than the very good ratings from 4 years ago!</t>
  </si>
  <si>
    <t>Watched protests yesterday but was under the impression that we just had an election! Why didn't these people vote? Celebs hurt cause badly.</t>
  </si>
  <si>
    <t>Had a great meeting at CIA Headquarters yesterday, packed house, paid great respect to Wall, long standing ovations, amazing people. WIN!</t>
  </si>
  <si>
    <t>RT @WhiteHouse: "Do not allow anyone to tell you that it cannot be done. No challenge can match the HEART and FIGHT and SPIRIT of America."…</t>
  </si>
  <si>
    <t>A fantastic day and evening in Washington D.C.Thank you to @FoxNews and so many other news outlets for the GREAT reviews of the speech!</t>
  </si>
  <si>
    <t>THANK YOU for another wonderful evening in Washington, D.C. TOGETHER, we will MAKE AMERICA GREAT AGAIN🇺🇸 https://t.co/V3aoj9RUh4</t>
  </si>
  <si>
    <t>TO ALL AMERICANS🇺🇸
https://t.co/D7Es6ie4fY</t>
  </si>
  <si>
    <t>So to all Americans, in every city near and far, small and large, from mountain to mountain...https://t.co/cZKkrGXLSi</t>
  </si>
  <si>
    <t>It is time to remember that...https://t.co/ZKyOiOor62</t>
  </si>
  <si>
    <t>We will follow two simple rules: BUY AMERICAN &amp;amp; HIRE AMERICAN!
#InaugurationDay #MAGA🇺🇸</t>
  </si>
  <si>
    <t>We will bring back our jobs. We will bring back our borders. We will bring back our wealth - and we will bring back our dreams!</t>
  </si>
  <si>
    <t>The forgotten men and women of our country will be forgotten no longer. From this moment on, it’s going to be #AmericaFirst🇺🇸</t>
  </si>
  <si>
    <t>January 20th 2017, will be remembered as the day the people became the rulers of this nation again.</t>
  </si>
  <si>
    <t>What truly matters is not which party controls our government, but whether our government is controlled by the people.</t>
  </si>
  <si>
    <t>power from Washington, D.C. and giving it back to you, the American People. #InaugurationDay</t>
  </si>
  <si>
    <t>Today we are not merely transferring power from one Administration to another, or from one party to another – but we are transferring...</t>
  </si>
  <si>
    <t>It all begins today! I will see you at 11:00 A.M. for the swearing-in. THE MOVEMENT CONTINUES - THE WORK BEGINS!</t>
  </si>
  <si>
    <t>Thank you for a wonderful evening in Washington, D.C. #Inauguration https://t.co/a6xpFQTHj5</t>
  </si>
  <si>
    <t>Thank you for joining us at the Lincoln Memorial tonight- a very special evening! Together, we are going to MAKE AM… https://t.co/OSxa3BamHs</t>
  </si>
  <si>
    <t>Join me at 4pm over at the Lincoln Memorial with my family!
#Inauguration2017 https://t.co/GQeQpJOgWz</t>
  </si>
  <si>
    <t>Great Concert at 4:00 P.M. today at Lincoln Memorial. Enjoy!</t>
  </si>
  <si>
    <t>On my way! #Inauguration2017 https://t.co/hOuMbxGnpe</t>
  </si>
  <si>
    <t>the American people. I have no doubt that we will, together, MAKE AMERICA GREAT AGAIN!</t>
  </si>
  <si>
    <t>Getting ready to leave for Washington, D.C. The journey begins and I will be working and fighting very hard to make it a great journey for..</t>
  </si>
  <si>
    <t>"It wasn't Donald Trump that divided this country, this country has been divided for a long time!" Stated today by Reverend Franklin Graham.</t>
  </si>
  <si>
    <t>Thank you to our amazing Wounded Warriors for their service. It was an honor to be with them tonight in D.C.… https://t.co/Qj5cpfaykD</t>
  </si>
  <si>
    <t>Great seeing @TheLeeGreenwood  and Kimberly at this evenings VP dinner! #GodBlessTheUSA https://t.co/SxVmaWvOFT</t>
  </si>
  <si>
    <t>Looking forward to a speedy recovery for George and Barbara Bush, both hospitalized. Thank you for your wonderful letter!</t>
  </si>
  <si>
    <t>Writing my inaugural address at the Winter White House, Mar-a-Lago, three weeks ago. Looking forward to Friday.… https://t.co/J0ojOXjrga</t>
  </si>
  <si>
    <t>.@TheAlabamaBand was great last night in D.C. playing for 147 Diplomats and Ambassadors from countries around the world. Thanks Alabama!</t>
  </si>
  <si>
    <t>No wonder the Today Show on biased @NBC is doing so badly compared to its glorious past. Little credibility!</t>
  </si>
  <si>
    <t>"Bayer AG has pledged to add U.S. jobs and investments after meeting with President-elect Donald Trump, the latest in a string..." @WSJ</t>
  </si>
  <si>
    <t>to the U.S., but had nothing to do with TRUMP, is more FAKE NEWS. Ask top CEO's of those companies for real facts. Came back because of me!</t>
  </si>
  <si>
    <t>Totally biased @NBCNews went out of its way to say that the big announcement from Ford, G.M., Lockheed &amp;amp; others that jobs are coming back...</t>
  </si>
  <si>
    <t>Will be interviewed by @ainsleyearhardt on @foxandfriends - Enjoy!</t>
  </si>
  <si>
    <t>RT @EricTrump: Thank you to @GolfDigest for this incredible feature! "Golfer-in-Chief" @RealDonaldTrump https://t.co/vpdY4jNbI4 https://t.c…</t>
  </si>
  <si>
    <t>RT @MoskowitzEva: .@BetsyDeVos has the talent, commitment, and leadership capacity to revitalize our public schools and deliver the promise…</t>
  </si>
  <si>
    <t>Thank you to General Motors and Walmart for starting the big jobs push back into the U.S.!</t>
  </si>
  <si>
    <t>"How Trump Won--And How The Media Missed It" https://t.co/Hfab41h65X</t>
  </si>
  <si>
    <t>"thought it would be hypocritical to attend Bush's swearing-in....he doesn't believe Bush is the true elected president." Sound familiar! WP</t>
  </si>
  <si>
    <t>John Lewis said about my inauguration, "It will be the first one that I've missed." WRONG (or lie)! He boycotted Bush 43 also because he...</t>
  </si>
  <si>
    <t>country and with the massive cost reductions I have negotiated on military purchases and more, I believe the people are seeing "big stuff."</t>
  </si>
  <si>
    <t>With all of the jobs I am bringing back into the U.S. (even before taking office), with all of the new auto plants coming back into our.....</t>
  </si>
  <si>
    <t>The same people who did the phony election polls, and were so wrong, are now doing approval rating polls. They are rigged just like before.</t>
  </si>
  <si>
    <t>People are pouring into Washington in record numbers. Bikers for Trump are on their way. It will be a great Thursday, Friday and Saturday!</t>
  </si>
  <si>
    <t>"@drgoodspine: @realDonaldTrump @Ivanka Trump is great, a woman with real character and class."</t>
  </si>
  <si>
    <t>At 9:00 P.M. @CNN, of all places, is doing a Special Report on my daughter, Ivanka. Considering it is CNN, can't imagine it will be great!</t>
  </si>
  <si>
    <t>"@levisteveholt: @realDonaldTrump I appreciate your use of Twitter to keep us informed and maintain transparency." Very dishonest media!</t>
  </si>
  <si>
    <t>Celebrate Martin Luther King Day and all of the many wonderful things that he stood for. Honor him for being the great man that he was!</t>
  </si>
  <si>
    <t>much worse - just look at Syria (red line), Crimea, Ukraine and the build-up of Russian nukes. Not good! Was this the leaker of Fake News?</t>
  </si>
  <si>
    <t>.@FoxNews "Outgoing CIA Chief, John Brennan, blasts Pres-Elect Trump on Russia threat. Does not fully understand." Oh really, couldn't do...</t>
  </si>
  <si>
    <t>.@NBCNews is bad but Saturday Night Live is the worst of NBC. Not funny, cast is terrible, always a complete hit job. Really bad television!</t>
  </si>
  <si>
    <t>about that...Those Intelligence chiefs made a mistake here, &amp;amp; when people make mistakes, they should APOLOGIZE." Media should also apologize</t>
  </si>
  <si>
    <t>Thank you to Bob Woodward who said, "That is a garbage document...it never should have been presented...Trump's right to be upset (angry)...</t>
  </si>
  <si>
    <t>For many years our country has been divided, angry and untrusting. Many say it will never change, the hatred is too deep. IT WILL CHANGE!!!!</t>
  </si>
  <si>
    <t>will only get higher. Car companies and others, if they want to do business in our country, have to start making things here again. WIN!</t>
  </si>
  <si>
    <t>The Democrats are most angry that so many Obama Democrats voted for me. With all of the jobs I am bringing back to our Nation, that number..</t>
  </si>
  <si>
    <t>Inauguration Day is turning out to be even bigger than expected. January 20th, Washington D.C. Have fun!</t>
  </si>
  <si>
    <t>Congressman John Lewis should finally focus on the burning and crime infested inner-cities of the U.S. I can use all the help I can get!</t>
  </si>
  <si>
    <t>INTELLIGENCE INSIDERS NOW CLAIM THE TRUMP DOSSIER IS "A COMPLETE FRAUD!"  @OANN</t>
  </si>
  <si>
    <t>mention crime infested) rather than falsely complaining about the election results. All talk, talk, talk - no action or results. Sad!</t>
  </si>
  <si>
    <t>Congressman John Lewis should spend more time on fixing and helping his district, which is in horrible shape and falling apart (not to......</t>
  </si>
  <si>
    <t>A beautiful funeral today for a real NYC hero, Detective Steven McDonald. Our law enforcement community has my complete and total support.</t>
  </si>
  <si>
    <t>The "Unaffordable" Care Act will soon be history!</t>
  </si>
  <si>
    <t>have been allowed to run - guilty as hell. They were VERY nice to her. She lost because she campaigned in the wrong states - no enthusiasm!</t>
  </si>
  <si>
    <t>What are Hillary Clinton's people complaining about with respect to the F.B.I. Based on the information they had she should never.....</t>
  </si>
  <si>
    <t>released by "Intelligence" even knowing there is no proof, and never will be. My people will have a full report on hacking within 90 days!</t>
  </si>
  <si>
    <t>Totally made up facts by sleazebag political operatives, both Democrats and Republicans - FAKE NEWS! Russia says nothing exists. Probably...</t>
  </si>
  <si>
    <t>It now turns out that the phony allegations against me were put together by my political opponents and a failed spy afraid of being sued....</t>
  </si>
  <si>
    <t>All of my Cabinet nominee are looking good and doing a great job. I want them to be themselves and express their own thoughts, not mine!</t>
  </si>
  <si>
    <t>Congrats to the Senate for taking the first step to #RepealObamacare- now it's onto the House!</t>
  </si>
  <si>
    <t>.@CNN is in a total meltdown with their FAKE NEWS because their ratings are tanking since election and their credibility will soon be gone!</t>
  </si>
  <si>
    <t>Thank you to Linda Bean of L.L.Bean for your great support and courage. People will support you even more now. Buy L.L.Bean. @LBPerfectMaine</t>
  </si>
  <si>
    <t>James Clapper called me yesterday to denounce the false and fictitious report that was illegally circulated. Made up, phony facts.Too bad!</t>
  </si>
  <si>
    <t>"@zhu_amy3: @realDonaldTrump It's Morning in America again!!!  ☀️☀️☀️Thank you President-Elect Donald Trump!!! So proud of you!!!!" THANKS!</t>
  </si>
  <si>
    <t>We had a great News Conference at Trump Tower today. A couple of FAKE NEWS organizations were there but the people truly get what's going on</t>
  </si>
  <si>
    <t>Intelligence agencies should never have allowed this fake news to "leak" into the public. One last shot at me.Are we living in Nazi Germany?</t>
  </si>
  <si>
    <t>I win an election easily, a great "movement" is verified, and crooked opponents try to belittle our victory with FAKE NEWS. A sorry state!</t>
  </si>
  <si>
    <t>Russia has never tried to use leverage over me. I HAVE NOTHING TO DO WITH RUSSIA - NO DEALS, NO LOANS, NO NOTHING!</t>
  </si>
  <si>
    <t>Russia just said the unverified report paid for by political opponents is "A COMPLETE AND TOTAL FABRICATION, UTTER NONSENSE." Very unfair!</t>
  </si>
  <si>
    <t>'BuzzFeed Runs Unverifiable Trump-Russia Claims' #FakeNews 
https://t.co/d6daCFZHNh</t>
  </si>
  <si>
    <t>RT @MichaelCohen212: I have never been to Prague in my life. #fakenews https://t.co/CMil9Rha3D</t>
  </si>
  <si>
    <t>FAKE NEWS - A TOTAL POLITICAL WITCH HUNT!</t>
  </si>
  <si>
    <t>'Trump Helps Lift Small Business Confidence to 12-Yr. High'
https://t.co/MhbABREhzt https://t.co/CWAvJ4fRdx</t>
  </si>
  <si>
    <t>'Small business optimism soars after Trump election' https://t.co/WjBaTp824U</t>
  </si>
  <si>
    <t>'U.S. Small-Business Optimism Index Surges by Most Since 1980'
https://t.co/X22x1BttdG</t>
  </si>
  <si>
    <t>Thank you to all of the men and women who protect &amp;amp; serve our communities 24/7/365! 
#LawEnforcementAppreciationDay… https://t.co/aqUbDipSgv</t>
  </si>
  <si>
    <t>An old picture with Nancy and Ronald Reagan. https://t.co/8kvQ1PzPAf</t>
  </si>
  <si>
    <t>Ford said last week that it will expand in Michigan and U.S. instead of building a BILLION dollar plant in Mexico. Thank you Ford &amp;amp; Fiat C!</t>
  </si>
  <si>
    <t>It's finally happening - Fiat Chrysler just announced plans to invest $1BILLION in Michigan and Ohio plants, adding 2000 jobs. This after...</t>
  </si>
  <si>
    <t>"groveling" when he totally changed a 16 year old story that he had written in order to make me look bad. Just more very dishonest media!</t>
  </si>
  <si>
    <t>Hillary flunky who lost big. For the 100th time, I never "mocked" a disabled reporter (would never do that) but simply showed him.......</t>
  </si>
  <si>
    <t>Meryl Streep, one of the most over-rated actresses in Hollywood, doesn't know me but attacked last night at the Golden Globes. She is a.....</t>
  </si>
  <si>
    <t>Rupert Murdoch is a great guy who likes me much better as a very successful candidate than he ever did as a very successful developer!</t>
  </si>
  <si>
    <t>Dishonest media says Mexico won't be paying for the wall if they pay a little later so the wall can be built more quickly. Media is fake!</t>
  </si>
  <si>
    <t>Before I, or anyone, saw the classified and/or highly confidential hacking intelligence report, it was leaked out to @NBCNews. So serious!</t>
  </si>
  <si>
    <t>RT @MeetThePress: Watch our interview with @KellyannePolls: Russia "did not succeed" in attempts to sway election https://t.co/EZhgUIUbYx #…</t>
  </si>
  <si>
    <t>Kellyanne Conway went to @MeetThePress this morning for an interview with @chucktodd. Dishonest media cut out 9 of her 10 minutes. Terrible!</t>
  </si>
  <si>
    <t>"@FoxNews: "We certainly don’t want intelligence interfering with politics and we don’t want politics interfe… https://t.co/bwDjEg1d7S"</t>
  </si>
  <si>
    <t>"@KellyannePolls: Welcome to President and Mrs. Bush.  
https://t.co/I1K4nj1gVu" Very nice!</t>
  </si>
  <si>
    <t>I look very much forward to meeting Prime Minister Theresa May in Washington in the Spring. Britain, a longtime U.S. ally, is very special!</t>
  </si>
  <si>
    <t>Congratulation to Jane Timken on her major upset victory in becoming the Ohio Republican Party Chair. Jane is a loyal Trump supporter &amp;amp; star</t>
  </si>
  <si>
    <t>both countries will, perhaps, work together to solve some of the many great and pressing problems and issues of the WORLD!</t>
  </si>
  <si>
    <t>have enough problems around the world without yet another one. When I am President, Russia will respect us far more than they do now and....</t>
  </si>
  <si>
    <t>Having a good relationship with Russia is a good thing, not a bad thing. Only "stupid" people, or fools, would think that it is bad! We.....</t>
  </si>
  <si>
    <t>Only reason the hacking of the poorly defended DNC is discussed is that the loss by the Dems was so big that they are totally embarrassed!</t>
  </si>
  <si>
    <t>Intelligence stated very strongly there was absolutely no evidence that hacking affected the election results. Voting machines not touched!</t>
  </si>
  <si>
    <t>Gross negligence by the Democratic National Committee allowed hacking to take place.The Republican National Committee had strong defense!</t>
  </si>
  <si>
    <t>Happy Birthday @EricTrump!
https://t.co/bJaEY7qFSn</t>
  </si>
  <si>
    <t>Monitoring the terrible situation in Florida. Just spoke to Governor Scott. Thoughts and prayers for all. Stay safe!</t>
  </si>
  <si>
    <t>I am asking the chairs of the House and Senate committees to investigate top secret intelligence shared with NBC prior to me seeing it.</t>
  </si>
  <si>
    <t>Anna Wintour came to my office at Trump Tower to ask me to meet with the editors of Conde Nast &amp;amp; Steven Newhouse, a friend. Will go this AM.</t>
  </si>
  <si>
    <t>being a movie star-and that was season 1 compared to season 14. Now compare him to my season 1. But who cares, he supported Kasich &amp;amp; Hillary</t>
  </si>
  <si>
    <t>Wow, the ratings are in and Arnold Schwarzenegger got "swamped" (or destroyed) by comparison to the ratings machine, DJT. So much for....</t>
  </si>
  <si>
    <t>Hopefully, all supporters, and those who want to MAKE AMERICA GREAT AGAIN, will go to D.C. on January 20th. It will be a GREAT SHOW!</t>
  </si>
  <si>
    <t>and knew they were in big trouble - which is why they cancelled their big fireworks at the last minute.THEY SAW A MOVEMENT LIKE NEVER BEFORE</t>
  </si>
  <si>
    <t>Hillary and the Dems were never going to beat the PASSION of my voters. They saw what was happening in the last two weeks before the......</t>
  </si>
  <si>
    <t>The dishonest media does not report that any money spent on building the Great Wall (for sake of speed), will be paid back by Mexico later!</t>
  </si>
  <si>
    <t>So how and why are they so sure about hacking if they never even requested an examination of the computer servers? What is going on?</t>
  </si>
  <si>
    <t>The Democratic National Committee would not allow the FBI to study or see its computer info after it was supposedly hacked by Russia......</t>
  </si>
  <si>
    <t>How did NBC get "an exclusive look into the top secret report he (Obama) was presented?" Who gave them this report and why? Politics!</t>
  </si>
  <si>
    <t>Toyota Motor said will build a new plant in Baja, Mexico, to build Corolla cars for U.S. NO WAY! Build plant in U.S. or pay big border tax.</t>
  </si>
  <si>
    <t>to make up their own minds as to the truth. The media lies to make it look like I am against "Intelligence" when in fact I am a big fan!</t>
  </si>
  <si>
    <t>The dishonest media likes saying that I am in Agreement with Julian Assange - wrong. I simply state what he states, it is for the people....</t>
  </si>
  <si>
    <t>...time for Republicans &amp;amp; Democrats to get together and come up with a healthcare plan that really works - much less expensive &amp;amp; FAR BETTER!</t>
  </si>
  <si>
    <t>...do the typical political thing and BLAME. The fact is ObamaCare was a lie from the beginning."Keep you doctor, keep your plan!" It is....</t>
  </si>
  <si>
    <t>The Democrats, lead by head clown Chuck Schumer, know how bad ObamaCare is and what a mess they are in. Instead of working to fix it, they..</t>
  </si>
  <si>
    <t>Jackie Evancho's album sales have skyrocketed after announcing her Inauguration performance.Some people just don't understand the "Movement"</t>
  </si>
  <si>
    <t>massive increases of ObamaCare will take place this year and Dems are to blame for the mess. It will fall of its own weight - be careful!</t>
  </si>
  <si>
    <t>like the 116% hike in Arizona. Also, deductibles are so high that it is practically useless. Don't let the Schumer clowns out of this web...</t>
  </si>
  <si>
    <t>Republicans must be careful in that the Dems own the failed ObamaCare disaster, with its poor coverage and massive premium increases......</t>
  </si>
  <si>
    <t>things they did and said (like giving the questions to the debate to H). A total double standard! Media, as usual, gave them a pass.</t>
  </si>
  <si>
    <t>Somebody hacked the DNC but why did they not have "hacking defense" like the RNC has and why have they not responded to the terrible......</t>
  </si>
  <si>
    <t>Thank you to Ford for scrapping a new plant in Mexico and creating 700 new jobs in the U.S. This is just the beginning - much more to follow</t>
  </si>
  <si>
    <t>"@FoxNews: Julian Assange on U.S. media coverage: “It’s very dishonest.” #Hannity https://t.co/ADcPRQifH9" More dishonest than anyone knows</t>
  </si>
  <si>
    <t>Julian Assange said "a 14 year old could have hacked Podesta" - why was DNC so careless? Also said Russians did not give him the info!</t>
  </si>
  <si>
    <t>The "Intelligence" briefing on so-called "Russian hacking" was delayed until Friday, perhaps more time needed to build a case. Very strange!</t>
  </si>
  <si>
    <t>I will be having a general news conference on JANUARY ELEVENTH in N.Y.C. Thank you.</t>
  </si>
  <si>
    <t>"Trump is already delivering the jobs he promised America" https://t.co/11spTMa6Tm</t>
  </si>
  <si>
    <t>There should be no further releases from Gitmo. These are extremely dangerous people and should not be allowed back onto the battlefield.</t>
  </si>
  <si>
    <t>Instead of driving jobs and wealth away, AMERICA will become the world's great magnet for INNOVATION &amp;amp; JOB CREATION.
https://t.co/siXrptsOrt</t>
  </si>
  <si>
    <t>"@DanScavino: Ford to scrap Mexico plant, invest in Michigan due to Trump policies"
https://t.co/137nUo03Gl</t>
  </si>
  <si>
    <t>........may be, their number one act and priority. Focus on tax reform, healthcare and so many other things of far greater importance! #DTS</t>
  </si>
  <si>
    <t>With all that Congress has to work on, do they really have to make the weakening of the Independent Ethics Watchdog, as unfair as it</t>
  </si>
  <si>
    <t>The Democrat Governor.of Minnesota said "The Affordable Care Act (ObamaCare) is no longer affordable!" - And, it is lousy healthcare.</t>
  </si>
  <si>
    <t>People must remember that ObamaCare just doesn't work, and it is not affordable - 116% increases (Arizona). Bill Clinton called it "CRAZY"</t>
  </si>
  <si>
    <t>General Motors is sending Mexican made model of Chevy Cruze to U.S. car dealers-tax free across border. Make in U.S.A.or pay big border tax!</t>
  </si>
  <si>
    <t>China has been taking out massive amounts of money &amp;amp; wealth from the U.S. in totally one-sided trade, but won't help with North Korea. Nice!</t>
  </si>
  <si>
    <t>North Korea just stated that it is in the final stages of developing a nuclear weapon capable of reaching parts of the U.S. It won't happen!</t>
  </si>
  <si>
    <t>I thought and felt I would win big, easily over the fabled 270 (306). When they cancelled fireworks, they knew, and so did I.</t>
  </si>
  <si>
    <t>Various media outlets and pundits say that I thought I was going to lose the election. Wrong, it all came together in the last week and.....</t>
  </si>
  <si>
    <t>@CNN just released a book called "Unprecedented" which explores the 2016 race &amp;amp; victory. Hope it does well but used worst cover photo of me!</t>
  </si>
  <si>
    <t>Chicago murder rate is record setting - 4,331 shooting victims with 762 murders in 2016. If Mayor can't do it he must ask for Federal help!</t>
  </si>
  <si>
    <t>Well, the New Year begins. We will, together, MAKE AMERICA GREAT AGAIN!</t>
  </si>
  <si>
    <t>RT @IvankaTrump: 2016 has been one of the most eventful and exciting years of my life. I wish you peace, joy, love and laughter. Happy New…</t>
  </si>
  <si>
    <t>RT @DonaldJTrumpJr: Happy new year everyone. #newyear #family #vacation #familytime https://t.co/u9fJIKNoZq</t>
  </si>
  <si>
    <t>RT @EricTrump: 2016 was such an incredible year for our entire family! My beautiful wife @LaraLeaTrump made it even better! 🇺🇸🇺🇸 https://t.…</t>
  </si>
  <si>
    <t>RT @Reince: Happy New Year + God's blessings to you all.  Looking forward to incredible things in 2017!  @realDonaldTrump will Make America…</t>
  </si>
  <si>
    <t>RT @DanScavino: On behalf of our next #POTUS &amp;amp; @TeamTrump-
#HappyNewYear AMERICA🇺🇸
https://t.co/Y6XDdijXea
https://t.co/D8plL7xHql
https:…</t>
  </si>
  <si>
    <t>TO ALL AMERICANS-
#HappyNewYear &amp;amp; many blessings to you all! Looking forward to a wonderful &amp;amp; prosperous 2017 as we… https://t.co/1asdMAL4iy</t>
  </si>
  <si>
    <t>RT @realDonaldTrump: Happy Birthday @DonaldJTrumpJr!
https://t.co/uRxyCD3hBz</t>
  </si>
  <si>
    <t>Happy Birthday @DonaldJTrumpJr!
https://t.co/uRxyCD3hBz</t>
  </si>
  <si>
    <t>Happy New Year to all, including to my many enemies and those who have fought me and lost so badly they just don't know what to do. Love!</t>
  </si>
  <si>
    <t>Russians are playing @CNN and @NBCNews for such fools - funny to watch, they don't have a clue! @FoxNews totally gets it!</t>
  </si>
  <si>
    <t>Join @AmerIcan32, founded by Hall of Fame legend @JimBrownNFL32 on 1/19/2017 in Washington, D.C.… https://t.co/9WJZ8iTCQV</t>
  </si>
  <si>
    <t>Great move on delay (by V. Putin) - I always knew he was very smart!</t>
  </si>
  <si>
    <t>My Administration will follow two simple rules: https://t.co/ZWk0j4H8Qy</t>
  </si>
  <si>
    <t>'Economists say Trump delivered hope' https://t.co/SjGBgglIuQ</t>
  </si>
  <si>
    <t>not anymore. The beginning of the end was the horrible Iran deal, and now this (U.N.)! Stay strong Israel, January 20th is fast approaching!</t>
  </si>
  <si>
    <t>We cannot continue to let Israel be treated with such total disdain and disrespect. They used to have a great friend in the U.S., but.......</t>
  </si>
  <si>
    <t>Doing my best to disregard the many inflammatory President O statements and roadblocks.Thought it was going to be a smooth transition - NOT!</t>
  </si>
  <si>
    <t>The U.S. Consumer Confidence Index for December surged nearly four points to 113.7, THE HIGHEST LEVEL IN MORE THAN 15 YEARS! Thanks Donald!</t>
  </si>
  <si>
    <t>President Obama campaigned hard (and personally) in the very important swing states, and lost.The voters wanted to MAKE AMERICA GREAT AGAIN!</t>
  </si>
  <si>
    <t>The DJT Foundation, unlike most foundations, never paid fees, rent, salaries or any expenses. 100% of money goes to wonderful charities!</t>
  </si>
  <si>
    <t>I gave millions of dollars to DJT Foundation, raised or recieved millions more, ALL of which is given to charity, and media won't report!</t>
  </si>
  <si>
    <t>The world was gloomy before I won - there was no hope. Now the market is up nearly 10% and Christmas spending is over a trillion dollars!</t>
  </si>
  <si>
    <t>The United Nations has such great potential but right now it is just a club for people to get together, talk and have a good time. So sad!</t>
  </si>
  <si>
    <t>President Obama said that he thinks he would have won against me. He should say that but I say NO WAY! - jobs leaving, ISIS, OCare, etc.</t>
  </si>
  <si>
    <t>Merry Christmas and a very, very, very , very Happy New Year to everyone!</t>
  </si>
  <si>
    <t>#MerryChristmas https://t.co/5GgDmJrGMS</t>
  </si>
  <si>
    <t>Happy #Hanukkah https://t.co/UvZwtykV1E</t>
  </si>
  <si>
    <t>The big loss yesterday for Israel in the United Nations will make it much harder to negotiate peace.Too bad, but we will get it done anyway!</t>
  </si>
  <si>
    <t>.@NBCNews purposely left out this part of my nuclear qoute: "until such time as the world comes to its senses regarding nukes."  Dishonest!</t>
  </si>
  <si>
    <t>Vladimir Putin said today about Hillary and Dems: "In my opinion, it is humiliating. One must be able to lose with dignity."  So true!</t>
  </si>
  <si>
    <t>slaughter you. This is a purely religious threat, which turned into reality. Such hatred! When will the U.S., and all countries, fight back?</t>
  </si>
  <si>
    <t>The terrorist who killed so many people in Germany said just before crime, "by God's will we will slaughter you pigs, I swear, we will......</t>
  </si>
  <si>
    <t>As to the U.N., things will be different after Jan. 20th.</t>
  </si>
  <si>
    <t>my presidency. Isn't this a ridiculous shame? He loves these kids, has raised millions of dollars for them, and now must stop. Wrong answer!</t>
  </si>
  <si>
    <t>My wonderful son, Eric, will no longer be allowed to raise money for children with cancer because of a possible conflict of interest with...</t>
  </si>
  <si>
    <t>The so-called "A" list celebrities are all wanting tixs to the inauguration, but look what they did for Hillary, NOTHING. I want the PEOPLE!</t>
  </si>
  <si>
    <t>Based on the tremendous cost and cost overruns of the Lockheed Martin F-35, I have asked Boeing to price-out a comparable F-18 Super Hornet!</t>
  </si>
  <si>
    <t>The United States must greatly strengthen and expand its nuclear capability until such time as the world comes to its senses regarding nukes</t>
  </si>
  <si>
    <t>Someone incorrectly stated that the phrase "DRAIN THE SWAMP" was no longer being used by me. Actually, we will always be trying to DTS.</t>
  </si>
  <si>
    <t>The resolution being considered at the United Nations Security Council regarding Israel should be vetoed....cont: https://t.co/s8rXKKZNF1</t>
  </si>
  <si>
    <t>I met some really great Air Force GENERALS and Navy ADMIRALS today, talking about airplane capability and pricing. Very impressive people!</t>
  </si>
  <si>
    <t>I have not heard any of the pundits or commentators discussing the fact that I spent FAR LESS MONEY on the win than Hillary on the loss!</t>
  </si>
  <si>
    <t>I would have done even better in the election, if that is possible, if the winner was based on popular vote - but would campaign differently</t>
  </si>
  <si>
    <t>Campaigning to win the Electoral College is much more difficult &amp;amp; sophisticated than the popular vote. Hillary focused on the wrong states!</t>
  </si>
  <si>
    <t>Yes, it is true - Carlos Slim, the great businessman from Mexico, called me about getting together for a meeting. We met, HE IS A GREAT GUY!</t>
  </si>
  <si>
    <t>especially how to get people, even with an unlimited budget, out to vote in the vital swing states ( and more). They focused on wrong states</t>
  </si>
  <si>
    <t>Bill Clinton stated that I called him after the election. Wrong, he called me (with a very nice congratulations). He "doesn't know much" ...</t>
  </si>
  <si>
    <t>"@mike_pence: Congratulations to @RealDonaldTrump; officially elected President of the United States today by the Electoral College!"</t>
  </si>
  <si>
    <t>"@Franklin_Graham: Congratulations to President-elect @realDonaldTrump--the electoral votes are in and it's official." Thank you Franklin!</t>
  </si>
  <si>
    <t>RT @DanScavino: #TrumpTrain🚂💨🇺🇸🇺🇸🇺🇸🇺🇸 https://t.co/qAQdBGEwSv</t>
  </si>
  <si>
    <t>We did it! Thank you to all of my great supporters, we just officially won the election (despite all of the distorted and inaccurate media).</t>
  </si>
  <si>
    <t>Today there were terror attacks in Turkey, Switzerland and Germany - and it is only getting worse. The civilized world must change thinking!</t>
  </si>
  <si>
    <t>If my many supporters acted and threatened people like those who lost the election are doing, they would be scorned &amp;amp; called terrible names!</t>
  </si>
  <si>
    <t>We should tell China that we don't want the drone they stole back.- let them keep it!</t>
  </si>
  <si>
    <t>Thank you Alabama! From now on, it’s going to be #AmericaFirst. Our goal is to bring back that wonderful phrase:… https://t.co/4UAazd7TmF</t>
  </si>
  <si>
    <t>RT @DanScavino: Join President-elect Trump LIVE from Mobile, Alabama via his #Facebook page! #ThankYouTour2016 
Watch: https://t.co/btzN080…</t>
  </si>
  <si>
    <t>China steals United States Navy research drone in international waters - rips it out of water and takes it to China in unprecedented act.</t>
  </si>
  <si>
    <t>Mobile, Alabama today at 3:00 P.M. Last rally of the year - "THANK YOU ALABAMA AND THE SOUTH" Biggest of all crowds expected, see you there!</t>
  </si>
  <si>
    <t>"@EazyMF_E: @realDonaldTrump Many people are now saying you will be an extremely successful president! #MakeAmericaGreatAgain"  Thank you!</t>
  </si>
  <si>
    <t>Last night in Orlando, Florida, was incredible - massive crowd - THANK YOU FLORIDA! Today at 3:00 P.M. I will be in Alabama for last rally!</t>
  </si>
  <si>
    <t>Thank you Florida. My Administration will follow two simple rules: BUY AMERICAN and HIRE AMERICAN! #ICYMI- Watch:… https://t.co/3vgtzSJsFu</t>
  </si>
  <si>
    <t>#ThankYouTour2016 
Tonight- Orlando, Florida 
Tickets: https://t.co/JwQeccp79N
Tomorrow- Mobile, Alabama
Tickets:… https://t.co/Cq5AwcuzT9</t>
  </si>
  <si>
    <t>Well, we all did it, together! I hope the "MOVEMENT" fans will go to D.C. on Jan 20th for the swearing in. Let's set the all time record!</t>
  </si>
  <si>
    <t>Are we talking about the same cyberattack where it was revealed that head of the DNC illegally gave Hillary the questions to the debate?</t>
  </si>
  <si>
    <t>Thank you Pennsylvania! Together, we are going to MAKE AMERICA GREAT AGAIN! Watch here: https://t.co/7R382qWfWS… https://t.co/yB6u5FEfHq</t>
  </si>
  <si>
    <t>Join me in Mobile, Alabama on Sat. at 3pm! #ThankYouTour2016 
Tickets: https://t.co/GGgbjl8Zo6 https://t.co/opKrWO4k0C</t>
  </si>
  <si>
    <t>If Russia, or some other entity, was hacking, why did the White House wait so long to act? Why did they only complain after Hillary lost?</t>
  </si>
  <si>
    <t>The media tries so hard to make my move to the White House, as it pertains to my business, so complex - when actually it isn't!</t>
  </si>
  <si>
    <t>Thank you to Time Magazine and Financial Times for naming me "Person of the Year" - a great honor!</t>
  </si>
  <si>
    <t>Has anyone looked at the really poor numbers of @VanityFair Magazine. Way down, big trouble, dead! Graydon Carter, no talent, will be out!</t>
  </si>
  <si>
    <t>.@BillGates and @JimBrownNFL32 in my Trump Tower office yesterday- two great guys! https://t.co/4PjSOEU5y9</t>
  </si>
  <si>
    <t>Thank you Wisconsin! My Administration will be focused on three very important words: jobs, jobs, jobs! Watch:… https://t.co/iEGWZLuiFE</t>
  </si>
  <si>
    <t>RT @DanScavino: Join #PEOTUS Trump &amp;amp; #VPEOTUS Pence live in West Allis, Wisconsin! 
#ThankYouTour2016 #MAGA
https://t.co/vU5EPIYKUc https:/…</t>
  </si>
  <si>
    <t>Join me this Saturday at Ladd–Peebles Stadium in Mobile, Alabama! 
#ThankYouTour2016 
Tickets:… https://t.co/1RFmKCMgyw</t>
  </si>
  <si>
    <t>The thing I like best about Rex Tillerson is that he has vast experience at dealing successfully with all types of foreign governments.</t>
  </si>
  <si>
    <t>Wisconsin and Pennsylvania have just certified my wins in those states. I actually picked up additional votes!</t>
  </si>
  <si>
    <t>I have chosen one of the truly great business leaders of the world, Rex Tillerson, Chairman and CEO of ExxonMobil, to be Secretary of State.</t>
  </si>
  <si>
    <t>I will hold a press conference in the near future to discuss the business, Cabinet picks and all other topics of interest. Busy times!</t>
  </si>
  <si>
    <t>Presidency. Two of my children, Don and Eric, plus executives, will manage them. No new deals will be done during my term(s) in office.</t>
  </si>
  <si>
    <t>Even though I am not mandated by law to do so, I will be leaving my busineses before January 20th so that I can focus full time on the......</t>
  </si>
  <si>
    <t>I will be making my announcement on the next Secretary of State tomorrow morning.</t>
  </si>
  <si>
    <t>The final Wisconsin vote is in and guess what - we just picked up an additional 131 votes. The Dems and Green Party can now rest. Scam!</t>
  </si>
  <si>
    <t>#ThankYouTour2016 
Tue: West Allis, WI. 
Thur: Hershey, PA. 
Fri: Orlando, FL. 
Sat: Mobile, AL. 
Tickets:… https://t.co/OJ8S7iVzFx</t>
  </si>
  <si>
    <t>The F-35 program and cost is out of control. Billions of dollars can and will be saved on military (and other) purchases after January 20th.</t>
  </si>
  <si>
    <t>Unless you catch "hackers" in the act, it is very hard to determine who was doing the hacking. Why wasn't this brought up before election?</t>
  </si>
  <si>
    <t>Can you imagine if the election results were the opposite and WE tried to play the Russia/CIA card. It would be called conspiracy theory!</t>
  </si>
  <si>
    <t>Just watched @NBCNightlyNews - So biased, inaccurate and bad, point after point. Just can't get much worse, although @CNN is right up there!</t>
  </si>
  <si>
    <t>Will be interviewed on @FoxNews at 10:00 P.M. Enjoy!</t>
  </si>
  <si>
    <t>Whether I choose him or not for "State"- Rex Tillerson, the Chairman &amp;amp; CEO of ExxonMobil, is a world class player and dealmaker. Stay tuned!</t>
  </si>
  <si>
    <t>I spent Friday campaigning with John Kennedy, of the Great State of Louisiana, for the U.S.Senate. The election is over - JOHN WON!</t>
  </si>
  <si>
    <t>Being at the Army - Navy Game was fantastic. There is nothing like the spirit in that stadium. A wonderful experience, and congrats to Army!</t>
  </si>
  <si>
    <t>I will be interviewed today on Fox News Sunday with Chris Wallace at 10:00 (Eastern) Network. ENJOY!</t>
  </si>
  <si>
    <t>RT @FoxNewsSunday: Sunday-- our exclusive interview with President-elect @realDonaldTrump 
Watch on @FoxNews at 2p/10p ET 
Check your local…</t>
  </si>
  <si>
    <t>October 2015 - thanks Chris Wallace @FoxNewsSunday! https://t.co/VEsgPcWq7z</t>
  </si>
  <si>
    <t>RT @TrumpInaugural: Counting down the days until the swearing in of @realDonaldTrump &amp;amp; @mike_pence. Check in here for the latest updates. #…</t>
  </si>
  <si>
    <t>A very interesting read. Unfortunately, so much is true.
https://t.co/ER2BoM765M</t>
  </si>
  <si>
    <t>Reports by @CNN that I will be working on The Apprentice during my Presidency, even part time, are ridiculous &amp;amp; untrue - FAKE NEWS!</t>
  </si>
  <si>
    <t>As a show of support for our Armed Forces, I will be going to The Army-Navy Game today. Looking forward to it, should be fun!</t>
  </si>
  <si>
    <t>I have NOTHING to do with The Apprentice except for fact that I conceived it with Mark B &amp;amp; have a big stake in it. Will devote ZERO TIME!</t>
  </si>
  <si>
    <t>.@RudyGiuliani, one of the finest people I know and a former GREAT Mayor of N.Y.C., just took himself out of consideration for "State".</t>
  </si>
  <si>
    <t>Thank you Michigan. We are going to bring back your jobs &amp;amp; together, we will MAKE AMERICA GREAT AGAIN!
Watch:… https://t.co/EyLOo26FqW</t>
  </si>
  <si>
    <t>Thank you Louisiana! Get out &amp;amp; vote for John Kennedy tomorrow. Electing Kennedy will help enact our agenda on behal… https://t.co/sHXeyreEZI</t>
  </si>
  <si>
    <t>Join me live in Louisiana! Tomorrow, we need you to go to the polls &amp;amp; send John Kennedy to the U.S. Senate. https://t.co/O0jtz0BKeL</t>
  </si>
  <si>
    <t>THANK YOU IOWA!
#ThankYouTour2016 https://t.co/v6EB2OQMeO</t>
  </si>
  <si>
    <t>Join me tomorrow! #MAGA 
10am- Baton Rouge, LA. 
Tickets: https://t.co/rvIQ6Yq45P
7pm- Grand Rapids, MI.
Tickets: https://t.co/2UTwAg5V87</t>
  </si>
  <si>
    <t>On my way to Des Moines, Iowa- will see you soon with @mike_pence. Join us! Tickets: https://t.co/1IuRTVwMSx #ThankYouTour2016</t>
  </si>
  <si>
    <t>Today we lost a great pioneer of air and space in John Glenn. He was a hero and inspired generations of future explorers. He will be missed.</t>
  </si>
  <si>
    <t>If United Steelworkers 1999 was any good, they would have kept those jobs in Indiana. Spend more time working-less time talking. Reduce dues</t>
  </si>
  <si>
    <t>Chuck Jones, who is President of United Steelworkers 1999, has done a terrible job representing workers. No wonder companies flee country!</t>
  </si>
  <si>
    <t>Join me tomorrow in Des Moines, Iowa with Vice President-Elect @mike_pence - at 7:00pm!
#ThankYouTour2016 #MAGA… https://t.co/Geq6sT70IT</t>
  </si>
  <si>
    <t>We pause today to remember the 2,403 American heroes who selflessly gave their lives at Pearl Harbor 75 years ago...
https://t.co/r5eRLR24Q3</t>
  </si>
  <si>
    <t>I will be interviewed on the @TODAYshow at 7:30. Enjoy!</t>
  </si>
  <si>
    <t>A great night in Fayetteville, North Carolina. Thank you! #ICYMI watch here: https://t.co/ZAuTgxKPpb https://t.co/EF9xRWmciA</t>
  </si>
  <si>
    <t>Departing New York with General James 'Mad Dog' Mattis for tonight's rally in Fayetteville, North Carolina! See you… https://t.co/Z8sgJBWI09</t>
  </si>
  <si>
    <t>Masa said he would never do this had we (Trump) not won the election!</t>
  </si>
  <si>
    <t>Masa (SoftBank) of Japan has agreed to invest $50 billion in the U.S. toward businesses and 50,000 new jobs....</t>
  </si>
  <si>
    <t>Join me tonight in Fayetteville, North Carolina at 7pm! 
#ThankYouTour2016 
Tickets: https://t.co/79AHq3NC0v https://t.co/KoZCE7JeG7</t>
  </si>
  <si>
    <t>Boeing is building a brand new 747 Air Force One for future presidents, but costs are out of control, more than $4 billion. Cancel order!</t>
  </si>
  <si>
    <t>#ThankYouTour2016 
12/6- North Carolina
https://t.co/79AHq3NC0v
12/8- Iowa
https://t.co/1IuRTVwMSx
12/9- Michiga… https://t.co/vcQaIJ8qoB</t>
  </si>
  <si>
    <t>If the press would cover me accurately &amp;amp; honorably, I would have far less reason to "tweet." Sadly, I don't know if that will ever happen!</t>
  </si>
  <si>
    <t>I am thrilled to nominate Dr. @RealBenCarson as our next Secretary of the US Dept. of Housing and Urban Development… https://t.co/OJKuDFhP3r</t>
  </si>
  <si>
    <t>their country (the U.S. doesn't tax them) or to build a massive military complex in the middle of the South China Sea?  I don't think so!</t>
  </si>
  <si>
    <t>Did China ask us if it was OK to devalue their currency (making it hard for our companies to compete), heavily tax our products going into..</t>
  </si>
  <si>
    <t>.@FoxNews will be re-running "Objectified: Donald Trump," the ratings hit produced by the great Harvey Levin of TMZ, at 8:00 P.M. Enjoy!</t>
  </si>
  <si>
    <t>The Green Party just dropped its recount suit in Pennsylvania and is losing votes in Wisconsin recount. Just a Stein scam to raise money!</t>
  </si>
  <si>
    <t>expensive mistake! THE UNITED STATES IS OPEN FOR BUSINESS</t>
  </si>
  <si>
    <t>these companies are able to move between all 50 states, with no tax or tariff being charged. Please be forewarned prior to making a very ...</t>
  </si>
  <si>
    <t>wanting to sell their product, cars, A.C. units etc., back across the border. This tax will make leaving financially difficult, but.....</t>
  </si>
  <si>
    <t>without retribution or consequence, is WRONG! There will be a tax on our soon to be strong border of 35% for these companies ......</t>
  </si>
  <si>
    <t>fires its employees, builds a new factory or plant in the other country, and then thinks it will sell its product back into the U.S.  ......</t>
  </si>
  <si>
    <t>The U.S. is going to substantialy reduce taxes and regulations on businesses, but any business that leaves our country for another country,</t>
  </si>
  <si>
    <t>Just tried watching Saturday Night Live - unwatchable! Totally biased, not funny and the Baldwin impersonation just can't get any worse. Sad</t>
  </si>
  <si>
    <t>Our great VPE, @mike_pence, is in Louisiana campaigning for John Kennedy for US Senate. John will be a tremendous help to us in Washington.</t>
  </si>
  <si>
    <t>State Treasurer John Kennedy is my choice for US Senator from Louisiana. Early voting today; election next Saturday.</t>
  </si>
  <si>
    <t>"@TigerWoods: Can’t wait to get back out there and mix it up with the boys. –TW #heroworldchallenge" Great to have you back Tiger - Special!</t>
  </si>
  <si>
    <t>Rexnord of Indiana is moving to Mexico and rather viciously firing all of its 300 workers. This is happening all over our country. No more!</t>
  </si>
  <si>
    <t>Interesting how the U.S. sells Taiwan billions of dollars of military equipment but I should not accept a congratulatory call.</t>
  </si>
  <si>
    <t>The President of Taiwan CALLED ME today to wish me congratulations on winning the Presidency. Thank you!</t>
  </si>
  <si>
    <t>Thank you Ohio! Together, we made history – and now, the real work begins. America will start winning again!… https://t.co/sVNSNJE7Uf</t>
  </si>
  <si>
    <t>Heading to U.S. Bank Arena in Cincinnati, Ohio for a 7pm rally. 
Join me! Tickets: https://t.co/HiWqZvHv6M</t>
  </si>
  <si>
    <t>Getting ready to leave for the Great State of Indiana and meet the hard working and wonderful people of Carrier A.C.</t>
  </si>
  <si>
    <t>My thoughts and prayers are with those affected by the tragic storms and tornadoes in the Southeastern United States. Stay safe!</t>
  </si>
  <si>
    <t>Look forward to going to Indiana tomorrow in order to be with the great workers of Carrier. They will sell many air conditioners!</t>
  </si>
  <si>
    <t>'Donald Trump is already helping the working class' https://t.co/GTuNcQhLYx</t>
  </si>
  <si>
    <t>RT @DanScavino: Great interview on @foxandfriends by @SteveDoocy w/ Carrier employee- who has a message for #PEOTUS @realDonaldTrump &amp;amp; #VPE…</t>
  </si>
  <si>
    <t>'President-elect Donald J. Trump today announced his intent to nominate Steven Mnuchin, Wilbur Ross &amp;amp; Todd Ricketts… https://t.co/cEBxoWsnYp</t>
  </si>
  <si>
    <t>Join me in Cincinnati, Ohio tomorrow evening at 7:00pm. I am grateful for all of your support. THANK YOU!
Tickets:… https://t.co/51Emq7Tffa</t>
  </si>
  <si>
    <t>Hence, legal documents are being crafted which take me completely out of business operations. The Presidency is a far more important task!</t>
  </si>
  <si>
    <t>do this under the law, I feel it is visually important, as President,  to in no way have a conflict of interest with my various businesses..</t>
  </si>
  <si>
    <t>great business in total in order to fully focus on running the country in order to MAKE AMERICA GREAT AGAIN! While I am not mandated to ....</t>
  </si>
  <si>
    <t>I will be holding a major news conference in New York City with my children on December 15 to discuss the fact that I will be leaving my ...</t>
  </si>
  <si>
    <t>ISIS is taking credit for the terrible stabbing attack at Ohio State University by a Somali refugee who should not have been in our country.</t>
  </si>
  <si>
    <t>Big day on Thursday for Indiana and the great workers of that wonderful state.We will keep our companies and jobs in the U.S. Thanks Carrier</t>
  </si>
  <si>
    <t>I will be going to Indiana on Thursday to make a major announcement concerning Carrier A.C. staying in Indianapolis. Great deal for workers!</t>
  </si>
  <si>
    <t>'President-Elect Donald J. Trump Nominates Elaine Chao as Secretary of the Department of Transportation'
https://t.co/5FMGdhAZxB</t>
  </si>
  <si>
    <t>'President-Elect Donald J. Trump Intends to Nominate Congressman Tom Price and Seema Verma.'
https://t.co/ZTh5cuY26Z https://t.co/twIgAKJs3s</t>
  </si>
  <si>
    <t>RT @DanScavino: Back to Cincinnati, Ohio this Thursday (12/1/16) at 7pm for #PEOTUS @realDonaldTrump's #ThankYouTour2016! Join us!
https://…</t>
  </si>
  <si>
    <t>My thoughts and prayers are with the great people of Tennessee during these terrible wildfires. Stay safe!</t>
  </si>
  <si>
    <t>Nobody should be allowed to burn the American flag - if they do, there must be consequences - perhaps loss of citizenship or year in jail!</t>
  </si>
  <si>
    <t>I thought that @CNN would get better after they failed so badly in their support of Hillary Clinton however, since election, they are worse!</t>
  </si>
  <si>
    <t>The Great State of Michigan was just certified as a Trump WIN giving all of our MAKE AMERICA GREAT AGAIN supporters another victory - 306!</t>
  </si>
  <si>
    <t>.@CNN is so embarrassed by their total  (100%) support of Hillary Clinton, and yet her loss in a landslide, that they don't know what to do.</t>
  </si>
  <si>
    <t>"@sdcritic:  @HighonHillcrest @jeffzeleny @CNN There is NO QUESTION THAT #voterfraud did take place, and in favor of #CorruptHillary !"</t>
  </si>
  <si>
    <t>"@FiIibuster: @jeffzeleny Pathetic - you have no sufficient evidence that Donald Trump did not suffer from voter fraud, shame! Bad reporter.</t>
  </si>
  <si>
    <t>"@JoeBowman12: @jeffzeleny just another generic CNN part time wannabe journalist !"  @CNN still doesn't get it. They will never learn!</t>
  </si>
  <si>
    <t>"@HighonHillcrest: @jeffzeleny what PROOF do u have DonaldTrump did not suffer from millions of FRAUD votes? Journalist? Do your job! @CNN"</t>
  </si>
  <si>
    <t>Just met with General Petraeus--was very impressed!</t>
  </si>
  <si>
    <t>If Cuba is unwilling to make a better deal for the Cuban people, the Cuban/American people and the U.S. as a whole, I will terminate deal.</t>
  </si>
  <si>
    <t>Serious voter fraud in Virginia, New Hampshire and California - so why isn't the media reporting on this? Serious bias - big problem!</t>
  </si>
  <si>
    <t>states instead of the 15 states that I visited. I would have won even more easily and convincingly (but smaller states are forgotten)!</t>
  </si>
  <si>
    <t>It would have been much easier for me to win the so-called popular vote than the Electoral College in that I would only campaign in 3 or 4--</t>
  </si>
  <si>
    <t>In addition to winning the Electoral College in a landslide, I won the popular vote if you deduct the millions of people who voted illegally</t>
  </si>
  <si>
    <t>Trump is going to be our President. We owe him an open mind and the chance to lead." So much time and money will be spent - same result! Sad</t>
  </si>
  <si>
    <t>this election. That is a direct threat to our democracy." She then said, "We have to accept the results and look to the future, Donald --</t>
  </si>
  <si>
    <t>of position." Then, separately she stated, "He said something truly horrifying ... he refused to say that he would respect the results of --</t>
  </si>
  <si>
    <t>during a general election. I, for one, am appalled that somebody that is the nominee of one of our two major parties would take that kind --</t>
  </si>
  <si>
    <t>and fair elections. We've accepted the outcomes when we may not have liked them, and that is what must be expected of anyone standing on a -</t>
  </si>
  <si>
    <t>Hillary's debate answer on delay: "That is horrifying. That is not the way our democracy works. Been around for 240 years. We've had free --</t>
  </si>
  <si>
    <t>Hillary Clinton conceded the election when she called me just prior to the victory speech and after the results were in. Nothing will change</t>
  </si>
  <si>
    <t>The Democrats, when they incorrectly thought they were going to win, asked that the election night tabulation be accepted. Not so anymore!</t>
  </si>
  <si>
    <t>The Green Party scam to fill up their coffers by asking for impossible recounts is now being joined by the badly defeated &amp;amp; demoralized Dems</t>
  </si>
  <si>
    <t>Fidel Castro is dead!</t>
  </si>
  <si>
    <t>I am working hard, even on Thanksgiving, trying to get Carrier A.C. Company to stay in the U.S. (Indiana). MAKING PROGRESS - Will know soon!</t>
  </si>
  <si>
    <t>Happy Thanksgiving to everyone. We will, together, MAKE AMERICA GREAT AGAIN!</t>
  </si>
  <si>
    <t>Let us give thanks for all that we have, and let us boldly face the exciting new frontiers that lie ahead. Happy Th… https://t.co/RY9mGGjrXm</t>
  </si>
  <si>
    <t>Bus crash in Tennessee so sad &amp;amp; so terrible. Condolences to all family members and loved ones. These beautiful children will be remembered!</t>
  </si>
  <si>
    <t>I am seriously considering Dr. Ben Carson as the head of HUD. I've gotten to know him well--he's a greatly talented person who loves people!</t>
  </si>
  <si>
    <t>The meeting with the @nytimes is back on at 12:30 today. Look forward to it!</t>
  </si>
  <si>
    <t>'Jeff Sessions, a Fitting Selection for Attorney General'
https://t.co/LjKTkAZSFy</t>
  </si>
  <si>
    <t>'President-elect Donald J. Trump's CIA Director Garners Praise'
https://t.co/UFdLWtwBEQ https://t.co/MrPaG7OziQ</t>
  </si>
  <si>
    <t>Great meetings will take place today at Trump Tower concerning the formation of the people who will run our government for the next 8 years.</t>
  </si>
  <si>
    <t>The failing @nytimes just announced that complaints about them are at a 15 year high. I can fully understand that - but why announce?</t>
  </si>
  <si>
    <t>Perhaps a new meeting will be set up with the @nytimes. In the meantime they continue to cover me inaccurately and with a nasty tone!</t>
  </si>
  <si>
    <t>I cancelled today's meeting with the failing @nytimes when the terms and conditions of the meeting were changed at the last moment. Not nice</t>
  </si>
  <si>
    <t>Many people would like to see @Nigel_Farage represent Great Britain as their Ambassador to the United States. He would do a great job!</t>
  </si>
  <si>
    <t>Prior to the election it was well known that I have interests in properties all over the world.Only the crooked media makes this a big deal!</t>
  </si>
  <si>
    <t>.@transition2017 update and policy plans for the first 100 days. https://t.co/HTgPXfPWeJ</t>
  </si>
  <si>
    <t>I have always had a good relationship with Chuck Schumer. He is far smarter than Harry R and has the ability to get things done. Good news!</t>
  </si>
  <si>
    <t>General James "Mad Dog" Mattis, who is being considered for Secretary of Defense, was very impressive yesterday. A true General's General!</t>
  </si>
  <si>
    <t>I watched parts of @nbcsnl Saturday Night Live last night. It is a totally one-sided, biased show - nothing funny at all. Equal time for us?</t>
  </si>
  <si>
    <t>Numerous patriots will be coming to Bedminster today as I continue to fill out the various positions necessary to MAKE AMERICA GREAT AGAIN!</t>
  </si>
  <si>
    <t>The cast and producers of Hamilton, which I hear is highly overrated, should immediately apologize to Mike Pence for their terrible behavior</t>
  </si>
  <si>
    <t>The Theater must always be a safe and special place.The cast of Hamilton was very rude last night to a very good man, Mike Pence. Apologize!</t>
  </si>
  <si>
    <t>Our wonderful future V.P. Mike Pence was harassed last night at the theater by the cast of Hamilton, cameras blazing.This should not happen!</t>
  </si>
  <si>
    <t>The ONLY bad thing about winning the Presidency is that I did not have the time to go through a long but winning trial on Trump U. Too bad!</t>
  </si>
  <si>
    <t>I settled the Trump University lawsuit for a small fraction of the potential award because as President I have to focus on our country.</t>
  </si>
  <si>
    <t>Will be working all weekend in choosing the great men and women who will be helping to MAKE AMERICA GREAT AGAIN!</t>
  </si>
  <si>
    <t>RT @transition2017: President-elect Trump announces selections for Attorney General, National Security Advisor, CIA Director. More here: ht…</t>
  </si>
  <si>
    <t>I worked hard with Bill Ford to keep the Lincoln plant in Kentucky. I owed it to the great State of Kentucky for their confidence in me!</t>
  </si>
  <si>
    <t>Just got a call from my friend Bill Ford, Chairman of Ford, who advised me that he will be keeping the Lincoln plant in Kentucky - no Mexico</t>
  </si>
  <si>
    <t>My transition team, which is working long hours and doing a fantastic job, will be seeing many great candidates today. #MAGA</t>
  </si>
  <si>
    <t>Australia, New Zealand, and more. I am always available to them. @nytimes is just upset that they looked like fools in their coverage of me.</t>
  </si>
  <si>
    <t>I have recieved and taken calls from many foreign leaders despite what the failing @nytimes said. Russia, U.K., China, Saudi Arabia, Japan,</t>
  </si>
  <si>
    <t>The failing @nytimes story is so totally wrong on transition. It is going so smoothly. Also, I have spoken to many foreign leaders.</t>
  </si>
  <si>
    <t>I am not trying to get "top level security clearance" for my children. This was a typically false news story.</t>
  </si>
  <si>
    <t>Very organized process taking place as I decide on Cabinet and many other positions. I am the only one who knows who the finalists are!</t>
  </si>
  <si>
    <t>The Electoral College is actually genius in that it brings all states, including the smaller ones, into play. Campaigning is much different!</t>
  </si>
  <si>
    <t>If the election were based on total popular vote I would have campaigned in  N.Y. Florida and California and won even bigger and more easily</t>
  </si>
  <si>
    <t>The debates, especially the second and third, plus speeches and intensity of the large rallies, plus OUR GREAT SUPPORTERS, gave us the win!</t>
  </si>
  <si>
    <t>I will be interviewed on @60Minutes tonight after the NFL game - 7:00 P.M. Enjoy!</t>
  </si>
  <si>
    <t>The @nytimes states today that DJT believes "more countries should acquire nuclear weapons." How dishonest are they. I never said this!</t>
  </si>
  <si>
    <t>Governor John Kasich of the GREAT, GREAT, GREAT State of Ohio called to congratulate me on the win. The people of Ohio were incredible!</t>
  </si>
  <si>
    <t>Jeb Bush, George W and George H.W. all called to express their best wishes on the win. Very nice!</t>
  </si>
  <si>
    <t>Mitt Romney called to congratulate me on the win. Very nice!</t>
  </si>
  <si>
    <t>The @nytimes sent a letter to their subscribers apologizing for their BAD coverage of me. I wonder if it will change - doubt it?</t>
  </si>
  <si>
    <t>Wow, the @nytimes is losing thousands of subscribers because of their very poor and highly inaccurate coverage of the "Trump phenomena"</t>
  </si>
  <si>
    <t>This will prove to be a great time in the lives of ALL Americans. We will unite and we will win, win, win!</t>
  </si>
  <si>
    <t>Today we express our deepest gratitude to all those who have served in our armed forces. #ThankAVet https://t.co/wPk7QWpK8Z</t>
  </si>
  <si>
    <t>Busy day planned in New York. Will soon be making some very important decisions on the people who will be running our government!</t>
  </si>
  <si>
    <t>Love the fact that the small groups of protesters last night have passion for our great country. We will all come together and be proud!</t>
  </si>
  <si>
    <t>Just had a very open and successful presidential election. Now professional protesters, incited by the media, are protesting. Very unfair!</t>
  </si>
  <si>
    <t>A fantastic day in D.C. Met with President Obama for first time. Really good meeting, great chemistry. Melania liked Mrs. O a lot!</t>
  </si>
  <si>
    <t>Happy 241st birthday to the U.S. Marine Corps! Thank you for your service!! https://t.co/Lz2dhrXzo4</t>
  </si>
  <si>
    <t>Such a beautiful and important evening! The forgotten man and woman will never be forgotten again. We will all come together as never before</t>
  </si>
  <si>
    <t>Watching the returns at 9:45pm. 
#ElectionNight #MAGA🇺🇸 https://t.co/HfuJeRZbod</t>
  </si>
  <si>
    <t>RT @IvankaTrump: Such a surreal moment to vote for my father for President of the United States! Make your voice heard and vote! #Election2…</t>
  </si>
  <si>
    <t>RT @EricTrump: Join my family in this incredible movement to #MakeAmericaGreatAgain!! Now it is up to you! Please #VOTE for America! https:…</t>
  </si>
  <si>
    <t>RT @DonaldJTrumpJr: FINAL PUSH! Eric and I doing dozens of radio interviews. We can win this thing! GET OUT AND VOTE! #MAGA #ElectionDay ht…</t>
  </si>
  <si>
    <t>Still time to #VoteTrump! 
#iVoted #ElectionNight https://t.co/UZtYAY1Ba6</t>
  </si>
  <si>
    <t>Don't let up, keep getting out to vote - this election is FAR FROM OVER! We are doing well but there is much time left. GO FLORIDA!</t>
  </si>
  <si>
    <t>Just out according to @CNN: "Utah officials report voting machine problems across entire country"</t>
  </si>
  <si>
    <t>I will be watching the election results from Trump Tower in Manhattan with my family and friends. Very exciting!</t>
  </si>
  <si>
    <t>#ElectionDay https://t.co/MXrAxYnTjY https://t.co/FZhOncih21</t>
  </si>
  <si>
    <t>We need your vote. Go to the POLLS! Let's continue this MOVEMENT! Find your poll location: https://t.co/VMUdvi1tx1… https://t.co/zGOx74Ebhw</t>
  </si>
  <si>
    <t>VOTE TODAY! Go to https://t.co/MXrAxYnTjY to find your polling location. We are going to Make America Great Again!… https://t.co/KPQ5EY9VwQ</t>
  </si>
  <si>
    <t>TODAY WE MAKE AMERICA GREAT AGAIN!</t>
  </si>
  <si>
    <t>Today we are going to win the great state of MICHIGAN and we are going to WIN back the White House! Thank you MI!… https://t.co/onRpEvzHrW</t>
  </si>
  <si>
    <t>RT @DonaldJTrumpJr: Thanks New Hampshire!!! 
#NH #NewHampshire #MAGA https://t.co/JDgcyJvJpk</t>
  </si>
  <si>
    <t>RT @detroitnews: .@IvankaTrump in Michigan: ‘This is your movement’ https://t.co/0Sa7huoOP1  @realDonaldTrump https://t.co/cMXEqSHuDj</t>
  </si>
  <si>
    <t>Unbelievable evening in New Hampshire - THANK YOU! Flying to Grand Rapids, Michigan now. 
Watch NH rally here:… https://t.co/hP88anrfgk</t>
  </si>
  <si>
    <t>Big news to share in New Hampshire tonight! Polls looking great! See you soon.</t>
  </si>
  <si>
    <t>Today in Florida, I pledged to stand with the people of Cuba and Venezuela in their fight against oppression- cont: https://t.co/8eELqk2wUw</t>
  </si>
  <si>
    <t>Thank you Pennsylvania! Going to New Hampshire now and on to Michigan. Watch PA rally here: https://t.co/d29DLINGst… https://t.co/zcH9crFIKM</t>
  </si>
  <si>
    <t>LIVE on #Periscope: Join me for a few minutes in Pennsylvania. Get out &amp;amp; VOTE tomorrow. LETS #MAGA!! https://t.co/Ej0LmMK3YU</t>
  </si>
  <si>
    <t>Hey Missouri let's defeat Crooked Hillary &amp;amp; @koster4missouri! Koster supports Obamacare &amp;amp; amnesty! Vote outsider Navy SEAL @EricGreitens!</t>
  </si>
  <si>
    <t>'America must decide between failed policies or fresh perspective, a corrupt system or an outsider'
https://t.co/ll8QIW9SqW</t>
  </si>
  <si>
    <t>'What I Like About Trump ... and Why You Need to Vote for Him'
https://t.co/6rVuDUehZq</t>
  </si>
  <si>
    <t>'Why Trump' https://t.co/RpwIYB7aOV</t>
  </si>
  <si>
    <t>I love you North Carolina- thank you for your amazing support! Get out and https://t.co/HfihPERFgZ tomorrow!
Watch:… https://t.co/jZzfqUZNYh</t>
  </si>
  <si>
    <t>On my way! https://t.co/6L2ILD6r8h</t>
  </si>
  <si>
    <t>Just landed in North Carolina- heading to the J.S. Dorton Arena. See you all soon! Lets #MakeAmericaGreatAgain! https://t.co/EUo0keWX1Y</t>
  </si>
  <si>
    <t>Starting tomorrow it's going to be #AmericaFirst! Thank you for a great morning Sarasota, Florida!
Watch here:… https://t.co/ig62Kjkkvl</t>
  </si>
  <si>
    <t>Thank you for you support Virginia! In ONE DAY - get out and #VoteTrumpPence16! #ICYMI: https://t.co/Nid8qcFTwY https://t.co/WOsEcjM8sm</t>
  </si>
  <si>
    <t>Thank you Pennsylvania- I am forever grateful for your amazing support. Lets MAKE AMERICA GREAT AGAIN! #MAGA… https://t.co/qbcJZAzw6z</t>
  </si>
  <si>
    <t>Thank you Michigan! This is a MOVEMENT that will never be seen again- it's our last chance to #DrainTheSwamp! Watch… https://t.co/cSdGkCFYRL</t>
  </si>
  <si>
    <t>Our American comeback story begins 11/8/16. Together, we will MAKE AMERICA SAFE &amp;amp; GREAT again for everyone! Watch:… https://t.co/ek8Cn3CgTr</t>
  </si>
  <si>
    <t>Thank you Minnesota! It is time to #DrainTheSwamp &amp;amp; #MAGA! 
#ICYMI- watch: https://t.co/fVThC7yIL6 https://t.co/e8SaXiJrxj</t>
  </si>
  <si>
    <t>MONDAY - 11/7/2016
Scranton, Pennsylvania at 5:30pm.
https://t.co/BcErCtsPdF
Grand Rapids, Michigan at 11pm.… https://t.co/pgFMLp0173</t>
  </si>
  <si>
    <t>Thank you Iowa - Get out &amp;amp; #VoteTrumpPence16! 
https://t.co/HfihPERFgZ https://t.co/QsukELQmKb</t>
  </si>
  <si>
    <t>RT @IvankaTrump: Thank you New Hampshire! 🇺🇸 https://t.co/pdnxXq2jgy</t>
  </si>
  <si>
    <t>Van Jones: ‘There Is A Crack in the Blue Wall’ — It Has to Do With Trade: https://t.co/BvEF9cC7o7</t>
  </si>
  <si>
    <t>Great night in Denver, Colorado- thank you! Together, we will MAKE AMERICA GREAT AGAIN! 
#ICYMI watch rally here:… https://t.co/LbvNHo6T2k</t>
  </si>
  <si>
    <t>RT @DanScavino: Join @realDonaldTrump LIVE in Denver, Colorado via his #Facebook page- we are here!!
#MakeAmericaGreatAgain🇺🇸  
https://t.c…</t>
  </si>
  <si>
    <t>Thank you Reno, Nevada. 
NOTHING will stop us in our quest to MAKE AMERICA SAFE AND GREAT AGAIN! #AmericaFirst… https://t.co/A4eeHoCbGS</t>
  </si>
  <si>
    <t>Join me live in Reno, Nevada!
https://t.co/T4bf1hrxaA https://t.co/EPqRXHa1CM</t>
  </si>
  <si>
    <t>JOIN ME TOMORROW!
MINNESOTA • 2pm
https://t.co/WcgLh4prS7
MICHIGAN • 6pm
https://t.co/9BqGVKNNrt
VIRGINIA • 9:30p… https://t.co/A1oVhCrT6t</t>
  </si>
  <si>
    <t>#DrainTheSwamp!
https://t.co/z68vGp9Bvf</t>
  </si>
  <si>
    <t>Top Clinton Aides Bemoan Campaign ‘All Tactics,’ No Vision: https://t.co/mHYvQtIq78</t>
  </si>
  <si>
    <t>‘Must Act Immediately’: Clinton Charity Lawyer Told Execs They Were Breaking The Law
https://t.co/hsi4qhqTV1</t>
  </si>
  <si>
    <t>Watch Coach Mike Ditka- a great guy and supporter tonight at 8pmE on #WattersWorld with @jessebwatters @FoxNews.</t>
  </si>
  <si>
    <t>Thank you Wilmington, North Carolina. We are 3 days away from the CHANGE you've been waiting for your entire life!… https://t.co/6ZJZRBfLST</t>
  </si>
  <si>
    <t>Thank you for the incredible support this morning Tampa, Florida! #ICYMI- watch here: https://t.co/q43kHf7MoE https://t.co/1GscFNaV4L</t>
  </si>
  <si>
    <t>Join me in Denver, Colorado tonight at 9:30pm: https://t.co/LJYGIK7Mri
NEW- Scranton, Pennsylvania Monday @ 5:30pm: https://t.co/BcErCtsPdF</t>
  </si>
  <si>
    <t>Thank you Hershey, Pennsylvania. Get out &amp;amp; VOTE on November 8th &amp;amp; we will #MAGA! #RallyForRiley 
#ICYMI, watch here… https://t.co/maWukVBTr8</t>
  </si>
  <si>
    <t>Join me in Denver, Colorado tomorrow at 9:30pm!
Tickets: https://t.co/LJYGIK7Mri</t>
  </si>
  <si>
    <t>Join me live in Hershey, Pennsylvania! 
#MakeAmericaGreatAgain 
LIVE: https://t.co/xEj6sZpb12 https://t.co/JWfGI1vlwW</t>
  </si>
  <si>
    <t>The only thing that can stop this corrupt machine is YOU. The only force strong enough to save our country is US.… https://t.co/7dcSHOkuzc</t>
  </si>
  <si>
    <t>Thank you Ohio! VOTE so we can replace Obamacare and save healthcare for every family in the United States! Watch:… https://t.co/7CH8ZnGdOa</t>
  </si>
  <si>
    <t>Join me live in Wilmington, Ohio!
https://t.co/nQ2p4EulLu</t>
  </si>
  <si>
    <t>If Obama worked as hard on straightening out our country as he has trying to protect and elect Hillary, we would all be much better off!</t>
  </si>
  <si>
    <t>'ICE OFFICERS WARN HILLARY IMMIGRATION PLAN WILL UNLEASH GANGS, CARTELS &amp;amp; DRUG VIOLENCE NATIONWIDE'… https://t.co/09aSrBwQrv</t>
  </si>
  <si>
    <t>Thank you NH! We will end illegal immigration, stop the drugs, deport all criminal aliens&amp;amp;save American lives! Watc… https://t.co/uxcazVkb32</t>
  </si>
  <si>
    <t>Clinton Aides: ‘Definitely’ Not Releasing Some HRC Emails:
https://t.co/GY5pGKaDoW</t>
  </si>
  <si>
    <t>RT @TeamTrump: Mrs. Saucier's son is in prison for having classified info on an unsecured device. @HillaryClinton did FAR WORSE &amp;amp; is runnin…</t>
  </si>
  <si>
    <t>"The Clinton Campaign at Obama Justice" #DrainTheSwamp
https://t.co/LZkvFc071z</t>
  </si>
  <si>
    <t>Join me today in Wilmington, Ohio at 4pm: https://t.co/eCLECMkYLw
Tomorrow- Tampa, Florida at 10am: https://t.co/N9380pVmuM</t>
  </si>
  <si>
    <t>There is no challenge too great, no dream outside of our reach! Thank you Selma, North Carolina!
#ICYMI, watch here… https://t.co/8uIrhgYRsl</t>
  </si>
  <si>
    <t>RT @PaulaReidCBS: .@CBSNews confirms FBI found emails on #AnthonyWeiner computer, related to Hillary Clinton server, that are "new" &amp;amp; not p…</t>
  </si>
  <si>
    <t>Join me in Wilmington, Ohio tomorrow at 4:00pm! It is time to #DrainTheSwamp! Tickets: https://t.co/eCLECM3nmW https://t.co/sb5irRxjxJ</t>
  </si>
  <si>
    <t>#CrookedHillary is unfit to serve. https://t.co/bSuGvInNF1</t>
  </si>
  <si>
    <t>Thank you Concord, North Carolina! When WE win on November 8th, we are going to Washington, D.C. and we are going t… https://t.co/7j4MBn1Waf</t>
  </si>
  <si>
    <t>Watching my beautiful wife, Melania, speak about our love of country and family. We will make you all very proud.… https://t.co/DiKmSnTlC2</t>
  </si>
  <si>
    <t>Looking at Air Force One @ MIA. Why is he campaigning instead of creating jobs &amp;amp; fixing Obamacare? Get back to work for the American people!</t>
  </si>
  <si>
    <t>ObamaCare is a total disaster. Hillary Clinton wants to save it by making it even more expensive. Doesn't work, I will REPEAL AND REPLACE!</t>
  </si>
  <si>
    <t>My wife, Melania, will be speaking in Pennsylvania this afternoon. So exciting, big crowds! I will be watching from North Carolina.</t>
  </si>
  <si>
    <t>Thank you Arlene! We will MAKE AMERICA SAFE AND GREAT AGAIN! 
#ImWithYou #DrainTheSwamp 
https://t.co/tSI0YP2LL9</t>
  </si>
  <si>
    <t>RT @T_Lineberger: Thanks @IvankaTrump for coming to help win Michigan! More people here than a Hillary rally with less than 24 hours notice…</t>
  </si>
  <si>
    <t>#MakeAmericaGreatAgain #6Days https://t.co/eHTGIEpFsm</t>
  </si>
  <si>
    <t>Thank you Orlando, Florida! We are just six days away from delivering justice for every forgotten man, woman and ch… https://t.co/LPXBQZ5AXt</t>
  </si>
  <si>
    <t>After decades of lies and scandal, Crooked Hillary's corruption is closing in. #DrainTheSwamp! https://t.co/YivCacmkKq</t>
  </si>
  <si>
    <t>Clinton camp fumed when surrogate told supporters Clinton planned to betray labor on TPP post-election: 
https://t.co/ZZjbGDZP7e</t>
  </si>
  <si>
    <t>"It pays to have friends in high places- like the Justice Department. Clearly the Clintons do." 
#DrainTheSwamp! https://t.co/KZXB4B156M</t>
  </si>
  <si>
    <t>Thank you Miami! In 6 days, we are going to WIN the GREAT STATE of FLORIDA - and we are going to win back the White… https://t.co/MKYPOp0MeD</t>
  </si>
  <si>
    <t>Praying for the families of the two Iowa police who were ambushed this morning. An attack on those who keep us safe is an attack on us all.</t>
  </si>
  <si>
    <t>"@PYNance: Evangelical women live at #trumptower @pdpryor1 @CissieGLynch @SaysGabrielle https://t.co/k5kGXPR2WA"</t>
  </si>
  <si>
    <t>"@Ravenrantz: #Billygraham's grand daughter #SupportsTrump https://t.co/sKz1SPHzDZ"  So nice, thank you Cissy Graham Lynch!!!!</t>
  </si>
  <si>
    <t>Crooked Hillary Clinton deleted 33,000 e-mails AFTER they were subpoenaed by the United States Congress. Guilty - cannot run. Rigged system!</t>
  </si>
  <si>
    <t>I am going to repeal and replace ObamaCare. We will have MUCH less expensive and MUCH better healthcare. With Hillary, costs will triple!</t>
  </si>
  <si>
    <t>You can change your vote in six states. So, now that you see that Hillary was a big mistake, change your vote to MAKE AMERICA GREAT AGAIN!</t>
  </si>
  <si>
    <t>Join me in Florida tomorrow!
MIAMI•12pm
https://t.co/A3X71Q6sG2
ORLANDO•4pm
https://t.co/6BqTVoty5C
PENSACOLA•7p… https://t.co/kEQuuJeO1B</t>
  </si>
  <si>
    <t>Thank you for your incredible support Wisconsin and Governor @ScottWalker! It is time to #DrainTheSwamp &amp;amp; #MAGA!… https://t.co/gKBkKmTudn</t>
  </si>
  <si>
    <t>RT @DanScavino: Join @realDonaldTrump LIVE in Wisconsin with Gov. @ScottWalker, @MayorRGiuliani, @Reince &amp;amp; Coach Bobby Knight! LIVE: https:…</t>
  </si>
  <si>
    <t>WikiLeaks emails reveal Podesta urging Clinton camp to 'dump' emails. 
Time to #DrainTheSwamp!
https://t.co/P3ajiACiXK</t>
  </si>
  <si>
    <t>'Podesta urged Clinton team to hand over emails after use of private server emerged' https://t.co/NYvVmoA8wl</t>
  </si>
  <si>
    <t>Mika Brzezinski: Dem Criticism of Comey Reinforcing Idea ‘There’s Something There'
https://t.co/EvBp0xESPN https://t.co/QIDBiDpat8</t>
  </si>
  <si>
    <t>Hillary Advisers Wanted Her To Avoid Supporting Israel When Talking To Democrats: https://t.co/y7m8iVU173</t>
  </si>
  <si>
    <t>Trump promises special session to repeal Obamacare: https://t.co/wTCd108yrV</t>
  </si>
  <si>
    <t>'Kept me out of jail': Top DOJ official involved in Clinton probe represented her campaign chairman: https://t.co/QUZn97CEOq</t>
  </si>
  <si>
    <t>.@DarrellIssa is a very good man. Help him win his congressional seat in California.</t>
  </si>
  <si>
    <t>#ICYMI: Governor @mike_pence and I were in Valley Forge, Pennsylvania today. You can watch it here:… https://t.co/6GWgmCV23Z</t>
  </si>
  <si>
    <t>So terrible that Crooked didn't report she got the debate questions from Donna Brazile, if that were me it would have been front page news!</t>
  </si>
  <si>
    <t>JOIN ME TOMORROW IN FLORIDA!
MIAMI•12pm
https://t.co/A3X71Q6sG2
ORLANDO•4pm
https://t.co/6BqTVoty5C
PENSACOLA•7p… https://t.co/kNzrAeuLZO</t>
  </si>
  <si>
    <t>Crooked Hillary should not be allowed to run for president. She deleted 33,000 e-mails AFTER getting a subpoena from U.S. Congress. RIGGED!</t>
  </si>
  <si>
    <t>Wow, now leading in @ABC /@washingtonpost Poll 46 to 45. Gone up 12 points in two weeks, mostly before the Crooked Hillary blow-up!</t>
  </si>
  <si>
    <t>Look at the way Crooked Hillary is handling the e-mail case and the total mess she is in. She is unfit to be president. Bad judgement!</t>
  </si>
  <si>
    <t>Wow! I hear you Warren, Michigan. Streaming live - join us America. It is time to DRAIN THE SWAMP!
Watch: https://t.co/pjXELwc5E1</t>
  </si>
  <si>
    <t>#ObamacareFail #HillarycareFail https://t.co/gaXOWVI0Xa</t>
  </si>
  <si>
    <t>Thank you Grand Rapids, Michigan! #ICYMI- watch: https://t.co/2mDQCs6coB https://t.co/gN7BYfLD9K</t>
  </si>
  <si>
    <t>$25 Million+ raised online in just one week! RECORD WEEK. #DrainTheSwamp Today we set a bigger record. Contribute &amp;gt;https://t.co/CZ1QmzCxwO</t>
  </si>
  <si>
    <t>Legendary basketball coach Bobby Knight who has 900+ wins, many championships and a gold medal will be introducing… https://t.co/aHltfG7U4I</t>
  </si>
  <si>
    <t>'Hillary's Two Official Favors To Morocco Resulted In $28 Million For Clinton Foundation' #DrainTheSwamp
https://t.co/6qOO7FZSvF</t>
  </si>
  <si>
    <t>Join me tomorrow in Michigan!
Grand Rapids at 12pm:
https://t.co/xFPRNF7pnF
Warren at 3pm:
https://t.co/DREwbH7ZVd https://t.co/iyXwiP0rvd</t>
  </si>
  <si>
    <t>Beautiful rally in Albuquerque, New Mexico this evening - thank you. Get out &amp;amp; VOTE! #DrainTheSwamp
Watch rally:… https://t.co/K2RSgt2Zh5</t>
  </si>
  <si>
    <t>"@slh: I follow Mr.Trump at all of his rallies by watching them on https://t.co/biseaBESvS. He is a lion-hearted warrior, who inspires hope</t>
  </si>
  <si>
    <t>Thank you Greeley, CO! REAL change means restoring honesty to the govt. Our plan will END govt. corruption! Watch:… https://t.co/qz5AL7zvp4</t>
  </si>
  <si>
    <t>Thank you Las Vegas, Nevada- I love you! Departing for Greeley, Colorado now. Get out &amp;amp; VOTE! #ICYMI- watch here:… https://t.co/uIloPRtEn9</t>
  </si>
  <si>
    <t>See you tomorrow Michigan!
Grand Rapids, MI tomorrow at noon:
https://t.co/xFPRNEPNZ5
Warren, MI tomorrow at 3pm:… https://t.co/UHRTgS88B5</t>
  </si>
  <si>
    <t>Wow, Twitter, Google and Facebook are burying the FBI criminal investigation of Clinton. Very dishonest media!</t>
  </si>
  <si>
    <t>Hillary and the Dems loved and praised FBI Director Comey just a few days ago. Original evidence was overwhelming, should not have delayed!</t>
  </si>
  <si>
    <t>We are now leading in many polls, and many of these were taken before the criminal investigation announcement on Friday - great in states!</t>
  </si>
  <si>
    <t>Great day in Colorado &amp;amp; Arizona. Will be in Nevada, Colorado and New Mexico tomorrow - join me!
Tickets:… https://t.co/vMPTsLXsCT</t>
  </si>
  <si>
    <t>THANK YOU Phoenix, Arizona! Time for new POWERFUL leadership. Just imagine what WE can accomplish in our first 100… https://t.co/gqZLLxcenk</t>
  </si>
  <si>
    <t>So nice - great Americans outside Trump Tower right now. Thank you! https://t.co/34ATTgICTz</t>
  </si>
  <si>
    <t>Departing Golden, CO. for Arizona now - after an unbelievable rally. Watch here: https://t.co/zNzmWuZPiV
Overflow: https://t.co/93L7JfdmXJ</t>
  </si>
  <si>
    <t>#ObamacareFail https://t.co/iusXk4n9w7</t>
  </si>
  <si>
    <t>Tomorrow!
Las Vegas, NV- 11a: https://t.co/KluudKImvn
Greeley, CO- 4p: https://t.co/JYimiIbqKB
Albuquerque, NM- 7p: https://t.co/7SCol4vQlM</t>
  </si>
  <si>
    <t>"@DeplorableCBTP: "In my mind, #DonaldTrump is the only way out of this mess." - #PhilRobertson of TV's #DuckDynasty"   Thank you Phil!</t>
  </si>
  <si>
    <t>I am in Colorado - big day planned - but nothing can be as big as yesterday!</t>
  </si>
  <si>
    <t>Join me in Colorado at 12pm tomorrow - or Arizona at 3pm!
TICKETS:
Golden: https://t.co/Eix7SspO2Z
Phoenix:… https://t.co/pheYCksxq0</t>
  </si>
  <si>
    <t>Thank you Maine, New Hampshire and Iowa. The waiting is OVER! The time for change is NOW! We are going to… https://t.co/HVPjw6qeQ2</t>
  </si>
  <si>
    <t>"@piersmorgan: BOMBSHELL: FBI reopening its investigation into HillaryClinton's email server after new discovery!</t>
  </si>
  <si>
    <t>Just landed in Iowa - speaking soon!</t>
  </si>
  <si>
    <t>We must not let #CrookedHillary take her CRIMINAL SCHEME into the Oval Office. #DrainTheSwamp https://t.co/GtPkj4xIz6</t>
  </si>
  <si>
    <t>Just out: Neera Tanden, Hillary Clinton adviser said, “Israel is depressing.” I think Israel is inspiring!</t>
  </si>
  <si>
    <t>RT @DRUDGE_REPORT: WSJ:  The Cold Clinton Reality... https://t.co/udWj5mXcA6</t>
  </si>
  <si>
    <t>Heading to New Hampshire. Will be talking about the disaster known as ObamaCare!</t>
  </si>
  <si>
    <t>If my people said the things about me that Podesta &amp;amp; Hillary's people said about her, I would fire them out of self respect. "Bad instincts"</t>
  </si>
  <si>
    <t>Join me tonight in Cedar Rapids, Iowa at 7pm: https://t.co/QWaEJpR79n
Phoenix, Arizona tomorrow night at 3pm: https://t.co/0LjE9qbNLh</t>
  </si>
  <si>
    <t>"@Jmoschetti1363: @Johnatsrs1949 FBI must be outraged that their hands r tied she has no regard or t secret service, FBI, or (Dallas)police"</t>
  </si>
  <si>
    <t>RT @DRUDGE_REPORT: WSJ:  Grifters-in-Chief...  https://t.co/mPFocMuBgu</t>
  </si>
  <si>
    <t>Thank you Geneva, Ohio. 
If I am elected President, I am going to keep RADICAL ISLAMIC TERRORISTS OUT of our countr… https://t.co/a7t5QN2iqW</t>
  </si>
  <si>
    <t>Join @TeamTrump on Facebook &amp;amp; watch tonight's rally from Geneva, Ohio- our 3rd rally of the day. #AmericaFirst #MAGA https://t.co/ZqJmf4QcwH</t>
  </si>
  <si>
    <t>Crooked Hillary launched her political career by letting terrorists off the hook. #DrainTheSwamp… https://t.co/BLMkZQ8svK</t>
  </si>
  <si>
    <t>"@KeithRowland: People in Arizona just got a taste of Obamacare with a 116% increase in premiums. @realDonaldTrump" Repeal and replace!</t>
  </si>
  <si>
    <t>I will be interviewed on @oreillyfactor tonight at 8:00 P.M. Enjoy!</t>
  </si>
  <si>
    <t>I delivered a speech in Charlotte, North Carolina yesterday. I appreciate all of the feedback &amp;amp; support. Lets #MAGA… https://t.co/aI2HtiRUzr</t>
  </si>
  <si>
    <t>Join me live in Toledo, Ohio. Time to #DrainTheSwamp &amp;amp; #MAGA!
https://t.co/NU39Mmlh1T</t>
  </si>
  <si>
    <t>Join me in Cedar Rapids, Iowa tomorrow at 7:00pm! #MAGA
https://t.co/QWaEJpzvKN https://t.co/CniHGkjp0v</t>
  </si>
  <si>
    <t>#ICYMI: I agree- To all Americans, I see you &amp;amp; I hear you. I am your voice. Vote to #DrainTheSwamp with me on 11/8.… https://t.co/P2edj2MoXy</t>
  </si>
  <si>
    <t>Thank you Springfield, Ohio. Get out and #VoteTrumpPence16!
#ICYMI - watch here: https://t.co/dEoXV6oS3b… https://t.co/RNgCUUqO4X</t>
  </si>
  <si>
    <t>Join me live in Springfield, Ohio!
https://t.co/LREA7WRmOx</t>
  </si>
  <si>
    <t>Inside ‘Bill Clinton Inc.’: Hacked memo reveals intersection of charity and personal income. #DrainTheSwamp!
https://t.co/UfDVzeSDfd</t>
  </si>
  <si>
    <t>JOIN ME! #MAGA
TODAY:
Springfield, OH 
Toledo, OH 
Geneva, OH 
FRIDAY:
Manchester, NH 
Lisbon, ME 
Cedar Rapids, IA
https://t.co/kv624y9UOm</t>
  </si>
  <si>
    <t>I agree, @MMFlint- To all Americans, I see you &amp;amp; I hear you. I am your voice. Vote to #DrainTheSwamp w/ me on 11/8. https://t.co/D7nBwkogBb</t>
  </si>
  <si>
    <t>"Clinton Foundation’s Fundraisers Pressed Donors to Steer Business to Former President"
https://t.co/PlFILR6JCn</t>
  </si>
  <si>
    <t>Ron Fournier: "Clinton Used Secret Server To Protect #CircleOfEnrichment”
https://t.co/4OGP3tPxyp</t>
  </si>
  <si>
    <t>'WikiLeaks Drip-Drop Releases Prove One Thing: There's No Nov. 8 Deadline on Clinton's Dishonesty and Scandals'
https://t.co/MfRy3Nvd4F</t>
  </si>
  <si>
    <t>A lot of call-ins about vote flipping at the voting booths in Texas. People are not happy. BIG lines. What is going on?</t>
  </si>
  <si>
    <t>Obamacare is a disaster. We must REPEAL &amp;amp; REPLACE. Tired of the lies, and want to #DrainTheSwamp? Get out &amp;amp; VOTE… https://t.co/jOelj829Pg</t>
  </si>
  <si>
    <t>RT @EricTrump: Tune into @GMA right now to catch a great interview with my father &amp;amp; the entire family! 🇺🇸 #VoteTrumpPence16 https://t.co/Sa…</t>
  </si>
  <si>
    <t>Beautiful evening in Kinston, North Carolina - thank you! Get out and VOTE!! You can watch tonight's rally here:… https://t.co/x7wtERl55d</t>
  </si>
  <si>
    <t>Thank you Charlotte, North Carolina. Great afternoon! #ICYMI - I delivered a speech on urban renewal. Full speech:… https://t.co/ga6DQZrIR0</t>
  </si>
  <si>
    <t>Hillary said she was under sniper fire (while surrounded by USSS.) Turned out to be a total lie. She is not fit to… https://t.co/hBIrGj21l6</t>
  </si>
  <si>
    <t>JOIN ME IN OHIO TOMORROW!
Springfield-1pm:
https://t.co/YcbpSigtva
Toledo-4pm:
https://t.co/BOJH0l1CZz
Geneva-7pm… https://t.co/7qbIRel33u</t>
  </si>
  <si>
    <t>REPEAL AND REPLACE OBAMACARE!</t>
  </si>
  <si>
    <t>Thank you Tallahassee, Florida! A beautiful evening with the MOVEMENT! Get out &amp;amp; VOTE!
#ICYMI- watch here: https://t.co/GDKhwrCa9R</t>
  </si>
  <si>
    <t>Thank you Sanford, Florida. Get out &amp;amp; VOTE #TrumpPence16! #ICYMI- watch this afternoons rally here:… https://t.co/zVXrScClfd</t>
  </si>
  <si>
    <t>REPEAL AND REPLACE!!! 
#ObamaCareInThreeWords</t>
  </si>
  <si>
    <t>I have met &amp;amp; spent a lot of time with families @ The Remembrance Project. I will fight for them everyday!… https://t.co/Ot6vQGqVW0</t>
  </si>
  <si>
    <t>Get your ballots in Colorado - I will see you soon -- and we will win!
#MakeAmericaGreatAgain https://t.co/oDLvZg7MLk</t>
  </si>
  <si>
    <t>'Obama Warned Of Rigged Elections In 2008.' Time to #DrainTheSwamp
https://t.co/AkczH8l0FJ https://t.co/7mIkwAHTuV</t>
  </si>
  <si>
    <t>Obamacare is a disaster. Rates going through the sky - ready to explode. I will fix it. Hillary can't!
#ObamacareFailed</t>
  </si>
  <si>
    <t>Truly honored to receive the first ever presidential endorsement from the Bay of Pigs Veterans Association. #MAGA… https://t.co/aRdlFkVjAx</t>
  </si>
  <si>
    <t>Obamacare is a disaster - as I've been saying from the beginning. Time to repeal &amp;amp; replace! 
#ObamacareFail https://t.co/5CvoMbVceT</t>
  </si>
  <si>
    <t>#ObamacareFail https://t.co/90Aixp25Oc</t>
  </si>
  <si>
    <t>Obamacare is a disaster! Time to repeal &amp;amp; replace! #ObamacareFail 
https://t.co/xDPhVczf1g</t>
  </si>
  <si>
    <t>#ObamacareFail https://t.co/5Zvsys8j5w</t>
  </si>
  <si>
    <t>#ObamacareFail https://t.co/Mb0YW1rg6g</t>
  </si>
  <si>
    <t>Get out and vote! I am your voice and I will fight for you! We will make America great again! https://t.co/XXvLRlhSaz</t>
  </si>
  <si>
    <t>Key Obamacare premiums to jump 25% next year:
https://t.co/TCdHEdPQDG</t>
  </si>
  <si>
    <t>#Obamacare premiums are about to SKYROCKET --- again. Crooked H will only make it worse. We will repeal &amp;amp; replace! https://t.co/fY1REYV4rK</t>
  </si>
  <si>
    <t>As election looms, some bad news for Clinton, Democrats:
https://t.co/7aWWVQPjTo</t>
  </si>
  <si>
    <t>Record crowd in Tampa, Florida- thank you! We will WIN FLORIDA, #DrainTheSwamp in Washington D.C. and MAKE AMERICA… https://t.co/IpSUYnXcp6</t>
  </si>
  <si>
    <t>Thank you Bobby Bowden for the intro tonight and your support! I hope I can do as well for Florida as you have done! https://t.co/Vx5iltoaXj</t>
  </si>
  <si>
    <t>My contract with the American voter will restore honesty, accountability &amp;amp; CHANGE to Washington! #DrainTheSwamp https://t.co/sbVwctT1Sj</t>
  </si>
  <si>
    <t>Peter Navarro: 'Trump the Bull vs. Clinton the Bear' #DrainTheSwamp 
https://t.co/mQRkfMG80j</t>
  </si>
  <si>
    <t>'Democratic operative caught on camera: Hillary PERSONALLY ordered 'Donald Duck' troll campaign that broke the law'
https://t.co/sTreHAfYUH</t>
  </si>
  <si>
    <t>Join me tomorrow in Sanford or Tallahassee, Florida!
Sanford at 3pm:
https://t.co/PZENw9Kheg
Tallahassee at 6pm:
https://t.co/WKI69e1bqD</t>
  </si>
  <si>
    <t>THANK YOU St. Augustine, Florida! Get out and VOTE! Join the MOVEMENT - and lets #DrainTheSwamp! Off to Tampa now!… https://t.co/zgwqhy2jBX</t>
  </si>
  <si>
    <t>Join me LIVE on my Facebook page in St. Augustine, Florida! Lets #DrainTheSwamp &amp;amp; MAKE AMERICA GREAT AGAIN!… https://t.co/mPzVrcaR9L</t>
  </si>
  <si>
    <t>Honored to receive an endorsement from @SJSOPIO - thank you! Together, we are going to MAKE AMERICA SAFE &amp;amp; GREAT AG… https://t.co/PSTcOei5t1</t>
  </si>
  <si>
    <t>'Hillary Clinton Had Gun Control Supporters Planted In Town Hall Audience' https://t.co/1GVq74iW8a</t>
  </si>
  <si>
    <t>Leaving West Palm Beach, Florida now - heading to St. Augustine for a 3pm rally. Will be in Tampa at 7pm - join me:… https://t.co/eLunEQRxZq</t>
  </si>
  <si>
    <t>'The Clinton Foundation’s Most Questionable Foreign Donations'
#PayToPlay #DrainTheSwamp
https://t.co/IkeqMRjX5z</t>
  </si>
  <si>
    <t>Departing Farmers Round Table in Boynton Beach, Florida. Get out &amp;amp; VOTE- lets #MAGA! 
EARLY VOTING BY FL. COUNTY:… https://t.co/MgJxNbxRga</t>
  </si>
  <si>
    <t>Get out to VOTE on 11/8/2016- and we will #DrainTheSwamp!
RASMUSSEN NATIONAL 
Trump 43%
Clinton 41% https://t.co/jIOR7Bq816</t>
  </si>
  <si>
    <t>We are winning and the press is refusing to report it. Don't let them fool you- get out and vote! #DrainTheSwamp on November 8th!</t>
  </si>
  <si>
    <t>Why has nobody asked Kaine about the horrible views emanated on WikiLeaks about Catholics? Media in the tank for Clinton but Trump will win!</t>
  </si>
  <si>
    <t>Major story that the Dems are making up phony polls in order to suppress the the Trump . We are going to WIN!</t>
  </si>
  <si>
    <t>Wow, just came out on secret tape that Crooked Hillary wants to take in as many Syrians as possible. We cannot let this happen - ISIS!</t>
  </si>
  <si>
    <t>'Clinton Ally Aided Campaign of FBI Official’s Wife' https://t.co/U0w99gfyKE</t>
  </si>
  <si>
    <t>'Clinton Charity Got Up To $56 Million From Nations That Are Anti-Women, Gays' #CrookedHillary
https://t.co/eHsuBdi8XM</t>
  </si>
  <si>
    <t>Thank you Naples, Florida! Get out and VOTE #TrumpPence16 on 11/8. 
Lets #MakeAmericaGreatAgain! 
Full Naples rally… https://t.co/5ZbteSJ00K</t>
  </si>
  <si>
    <t>The attack on Mosul is turning out to be a total disaster. We gave them months of notice. U.S. is looking so dumb. VOTE TRUMP and WIN AGAIN!</t>
  </si>
  <si>
    <t>#CrookedHillary #PayToPlay https://t.co/BT1Nv0ZMYg</t>
  </si>
  <si>
    <t>Join me in Naples, Florida this evening at 6:00pm! Tickets: https://t.co/Oax06JVzv1 https://t.co/g9LBxI1dJ8</t>
  </si>
  <si>
    <t>Remember - get out on November 8th &amp;amp; VOTE #TrumpPence16. It is time to #DrainTheSwamp -- this is our last chance! https://t.co/bnGcJUt7UL</t>
  </si>
  <si>
    <t>Former Prosecutor: The Clintons Are So Corrupt, Everything ‘They Touch Turns To Molten Lead’ 
https://t.co/5Eyfi092vn</t>
  </si>
  <si>
    <t>Thank you Las Vegas Review Journal! 
EDITORIAL: 'Donald Trump for president' https://t.co/uH5GH7Bhe0 via @reviewjournal</t>
  </si>
  <si>
    <t>Well, Iran has done it again. Taken two of our people and asking for a fortune for their release. This doesn't happen if I'm president!</t>
  </si>
  <si>
    <t>"If you can't run your own house you certainly can't run the White House" A statement made by Mrs. Obama about Crooked Hillary Clinton</t>
  </si>
  <si>
    <t>Thank you for the massive turnout tonight- Cleveland, Ohio! Get out &amp;amp; VOTE #TrumpPence16 on 11/8.
Watch rally here:… https://t.co/XuJZeJwSGk</t>
  </si>
  <si>
    <t>WikiLeaks: 'Clinton-Kaine Even Lied About Timing of Veep Pick'
https://t.co/e1NVdpSfNr</t>
  </si>
  <si>
    <t>'Trump lays out policies for first 100 days in White House'
https://t.co/OrwOIFJuSz</t>
  </si>
  <si>
    <t>'Huma Abedin told Clinton her secret email account caused problems'
https://t.co/i4zN2QzKnf</t>
  </si>
  <si>
    <t>Just arrived in Cleveland, Ohio- join Governor @Mike_Pence and I now, LIVE via: https://t.co/SS58ChFTNy</t>
  </si>
  <si>
    <t>Hillary Clinton: 'Architect of failure'
#DrainTheSwamp #CrookedHillary
https://t.co/b5HqsGrc7N</t>
  </si>
  <si>
    <t>Unbelievable crowd of supporters in Virginia Beach, Virginia. Thank you! Next stop - Cleveland, Ohio.… https://t.co/CN3sdX5ft1</t>
  </si>
  <si>
    <t>In order to #DrainTheSwamp &amp;amp; create a new GOVERNMENT of, by, &amp;amp; for the PEOPLE, I need your VOTE! Go to https://t.co/HfihPERFgZ- LET'S #MAGA!</t>
  </si>
  <si>
    <t>Today I introduced my Contract with the American Voter - our economy will be STRONG &amp;amp; our people will be SAFE.… https://t.co/Sa6XUfueU4</t>
  </si>
  <si>
    <t>Change has to come from outside our very broken system. #MAGA https://t.co/OH9Lvo3R7K</t>
  </si>
  <si>
    <t>Crooked Hillary Clinton Tops Middle East Forum’s ‘Islamist Money List'
https://t.co/JC25rNtx6G</t>
  </si>
  <si>
    <t>Thank you Gettysburg, Pennsylvania! #DrainTheSwamp https://t.co/jWgLcxDji7</t>
  </si>
  <si>
    <t>Landing in Pennsylvania now. Great new poll this morning, thank you. Lets #DrainTheSwamp and #MakeAmericaGreatAgain… https://t.co/BV2RFavG84</t>
  </si>
  <si>
    <t>Will be in Cleveland, Ohio w/ @mike_pence tonight- join us: https://t.co/hre7FofPxQ
Naples, Florida-tomorrow @ 6pm: https://t.co/Oax06JVzv1</t>
  </si>
  <si>
    <t>"@AZTRUMPTRAIN: I #Voted for DonaldTrump! #Arizona ☉ #Economy #Immigration #Jobs #Veterans #BorderControl #Trade… https://t.co/0BJk9BwkfW"</t>
  </si>
  <si>
    <t>"@jensen4law: Best way to pay Hillary back for what she did to @BernieSanders #DNCleak is a DonaldTrump LANDSLIDE https://t.co/Ha8o5wCyGh"</t>
  </si>
  <si>
    <t>The media refuses to talk about the three new national polls that have me in first place. Biggest crowds ever - watch what happens!</t>
  </si>
  <si>
    <t>Just returned from Pennsylvania where we will be bringing back their jobs. Amazing crowd. Will be going back tomorrow, to Gettysburg!</t>
  </si>
  <si>
    <t>Governor @Mike_Pence and I will be in Cleveland, Ohio tomorrow night at 7pm - join us! #MAGA
Tickets:… https://t.co/kfJv5Po0x6</t>
  </si>
  <si>
    <t>Thank you to the great crowd of supporters in Newtown, Pennsylvania. Get out &amp;amp; VOTE on 11/8/16. Lets #MAGA! Watch:… https://t.co/eb6XuMlbFW</t>
  </si>
  <si>
    <t>#CrookedHillary sending U.S. intelligence info. to Podesta’s hacked email is ‘unquestionably an OPSEC violation’ https://t.co/z58aeo4CO7</t>
  </si>
  <si>
    <t>WikiLeaks reveals Clinton camp’s work with ‘VERY friendly and malleable reporters’ 
#DrainTheSwamp #CrookedHillary
https://t.co/bcYLslrxi0</t>
  </si>
  <si>
    <t>Donna Brazile Shreds Obama Economy - Acting DNC chair says 'people are more in despair about how things are' https://t.co/LQNbISSoX0</t>
  </si>
  <si>
    <t>"{Crooked Hillary Clinton} created this mess, and she knows it." 
#DrainTheSwamp https://t.co/3cBNYjl5CD https://t.co/sjwkuq3nkk</t>
  </si>
  <si>
    <t>'Clinton Campaign And Harry Reid Worked With New York Times To Smear State Dept Watchdog'
Time to #DrainTheSwamp! 
https://t.co/0VDdGdpCTg</t>
  </si>
  <si>
    <t>VERY IRONIC: "In 2010 video, Clinton lectured underlings on cybersecurity and guarding ‘sensitive information’" 
https://t.co/dL7VDMqSLy</t>
  </si>
  <si>
    <t>Great crowd in Johnstown, Pennsylvania- thank you. Get out &amp;amp; VOTE on 11/8! Watch the MOVEMENT in PA. this afternoon… https://t.co/DUMlbSkVeY</t>
  </si>
  <si>
    <t>A top Clinton Foundation official said he could name “500 different examples” of conflicts of interest. 
https://t.co/rtWhdYOyq7</t>
  </si>
  <si>
    <t>#CrookedHillary “was at center of negotiating $12M commitment from King Mohammed VI of Morocco” to Clinton Fdn. https://t.co/HWOQ7jQWY2</t>
  </si>
  <si>
    <t>Great crowd in Fletcher, North Carolina- thank you! Heading to Johnstown, Pennsylvania now! Get out on November 8th… https://t.co/IG5KhKIz3W</t>
  </si>
  <si>
    <t>The results are in on the final debate and it is almost unanimous, I WON! Thank you, these are very exciting times.</t>
  </si>
  <si>
    <t>Huma calls it a "MESS," the rest of us call it CORRUPT! WikiLeaks catches Crooked in the act - again.
#DrainTheSwamp https://t.co/juvdLIJPWu</t>
  </si>
  <si>
    <t>Hillary &amp;amp; Obama's Broken Promises. 
#RepealObamacare https://t.co/oz24r2xW7G</t>
  </si>
  <si>
    <t>In addition to those without health coverage- those that have disastrous #Obamacare are seeing MASSIVE PREMIUM INCR… https://t.co/J7ldXmUmJm</t>
  </si>
  <si>
    <t>RT @EricTrump: On behalf of the entire family, we would truly be honored to have your vote! Let's #MakeAmericaGreatAgain #EarlyVote https:/…</t>
  </si>
  <si>
    <t>RT @TeamTrump: When Obama took office in 2009 employer-provided premiums cost $13,375. Today they are $18,142. Thanks, Obama.</t>
  </si>
  <si>
    <t>Crooked Hillary promised 200k jobs in NY and FAILED. We'll create 25M jobs when I'm president, and I will DELIVER! https://t.co/NgyCkEH7Xn</t>
  </si>
  <si>
    <t>Crooked took MILLIONS from oppressive ME countries. Will she give the $$$ back? Probably not. Don't forget her slog… https://t.co/esLgql0Gg8</t>
  </si>
  <si>
    <t>'Trump won the third debate'
https://t.co/Wh52fyLNRz</t>
  </si>
  <si>
    <t>UPCOMING RALLIES - JOIN ME!
TOMORROW
Fletcher, NC @ 12pm. 
https://t.co/uASvA4Gd4r
SATURDAY
Cleveland, OH @ 7pm. 
https://t.co/hre7Foxqpo</t>
  </si>
  <si>
    <t>#ICYMI - OHIO RALLY!
Watch here: https://t.co/0qAjfOcu6Y https://t.co/fpShHiXI31</t>
  </si>
  <si>
    <t>Want access to Crooked Hillary? Don't forget - it's going to cost you!
#DrainTheSwamp #PayToPlay https://t.co/qjMBZkEnK9</t>
  </si>
  <si>
    <t>Thank you Delaware County, Ohio! Remember- either we WIN this election, or we are going to LOSE this country!… https://t.co/ntDRTzYOqi</t>
  </si>
  <si>
    <t>If elected POTUS - I will stop RADICAL ISLAMIC TERRORISM in this country! In order to do this, we need to… https://t.co/45Vyk6z18m</t>
  </si>
  <si>
    <t>Why didn't Hillary Clinton announce that she was inappropriately given the debate questions - she secretly used them! Crooked Hillary.</t>
  </si>
  <si>
    <t>Thank you America! #MAGA
Rasmussen National Poll
Donald Trump 43%
Hillary Clinton 40% https://t.co/n4eZ3qpcjg</t>
  </si>
  <si>
    <t>Just landed in Ohio. Thank you America- I am honored to win the final debate for our MOVEMENT. It is time to… https://t.co/ivdjRzL6wZ</t>
  </si>
  <si>
    <t>Totally dishonest Donna Brazile chokes on the truth. Highly illegal! 
Watch: https://t.co/Rs5brj31bA https://t.co/FYoRo6MUjX</t>
  </si>
  <si>
    <t>The Washington Times Presidential Debate Poll:
TRUMP 77% (18,290)
CLINTON 17% (4,100)
#DrainTheSwamp #Debate https://t.co/wsgsf5nv6H</t>
  </si>
  <si>
    <t>Join the MOVEMENT to #MAGA!
https://t.co/3KWOl2ibaW https://t.co/V84qfN4oz1</t>
  </si>
  <si>
    <t>Great poll - thank you America! Once we #DrainTheSwamp, together we will #MAGA🇺🇸#Debate https://t.co/SvcjmrsHKD</t>
  </si>
  <si>
    <t>That was really exciting. Made all of my points. MAKE AMERICA GREAT AGAIN!</t>
  </si>
  <si>
    <t>Join my team over on my Facebook page- live now! #Debates
https://t.co/vpDVQfO58A https://t.co/5v1tWzHrxq</t>
  </si>
  <si>
    <t>The era of division is coming to an end. We will create a new future of #AmericanUnity. First, we need to… https://t.co/mZUFP24Bgh</t>
  </si>
  <si>
    <t>We cannot take four more years of Barack Obama and that’s what you’ll get if you vote for Hillary. #BigLeagueTruth</t>
  </si>
  <si>
    <t>I started this campaign to Make America Great Again. That’s what I’m going to do. #MAGA #debate</t>
  </si>
  <si>
    <t>HILLARY'S HEALTH CARE POLICIES
#DrainTheSwamp #Debate https://t.co/t1Sr8dk2Xi</t>
  </si>
  <si>
    <t>RT @TeamTrump: .@realDonaldTrump is going to cut taxes BIG LEAGUE -- Crooked is going to raise taxes BIG LEAGUE! #DrainTheSwamp #Debate htt…</t>
  </si>
  <si>
    <t>We have to repeal &amp;amp; replace #Obamacare! Look at what is doing to people! #DrainTheSwamp https://t.co/fsv7P11mWV</t>
  </si>
  <si>
    <t>ISIS has infiltrated countries all over Europe by posing as refugees, and @HillaryClinton will allow it to happen h… https://t.co/MmeW2qsTQh</t>
  </si>
  <si>
    <t>The economy cannot take four more years of these same failed policies.
#BigLeagueTruth #DrainTheSwamp https://t.co/o8g2E5xXy6</t>
  </si>
  <si>
    <t>Together we can save American JOBS, American LIVES, and AMERICAN FUTURES! #Debates https://t.co/2Yfd0Omn4X</t>
  </si>
  <si>
    <t>USA has the greatest business people in the world but we let political hacks negotiate our deals. We need change! #BigLeagueTruth #Debate</t>
  </si>
  <si>
    <t>I WILL DEFEAT ISIS. THEY HAVE BEEN AROUND TOO LONG! What has our leadership been doing?
#DrainTheSwamp https://t.co/tU0iW3Gi9v</t>
  </si>
  <si>
    <t>RT @TeamTrump: What They Are Saying About @realDonaldTrump's GREAT Debate and @HillaryClinton's Bad Performance
https://t.co/FGULnoDrkQ htt…</t>
  </si>
  <si>
    <t>After Crooked @HillaryClinton allowed ISIS to rise, she now claims she'll defeat them? LAUGHABLE! Here's my plan: https://t.co/FzRMObNQVn</t>
  </si>
  <si>
    <t>RT @TeamTrump: "Her instincts are suboptimal."
https://t.co/PRCHvRtPVA</t>
  </si>
  <si>
    <t>I opposed going into Iraq. Hillary voted for it. As with everything else she's supported, it was a DISASTER. https://t.co/Um5WJXWfBZ</t>
  </si>
  <si>
    <t>#BigLeagueTruth #DrainTheSwamp https://t.co/eoBiXFPc5f</t>
  </si>
  <si>
    <t>Bernie Sanders on HRC: Bad Judgement. John Podesta on HRC: Bad Instincts. #BigLeagueTruth #Debate</t>
  </si>
  <si>
    <t>HILLARY FAILED ALL OVER THE WORLD. #BigLeagueTruth  
❌LIBYA
❌SYRIA
❌IRAN
❌IRAQ
❌ASIA PIVOT
❌RUSSIAN RESET
❌BENGHAZI… https://t.co/H1UH0svtt2</t>
  </si>
  <si>
    <t>Hillary says "take back Mosul?" We would have NEVER lost Mosul- if it wasn't for #CrookedHillary. #DrainTheSwamp https://t.co/TmsY0ApFLQ</t>
  </si>
  <si>
    <t>RT @TeamTrump: LIVE FACT-CHECK: Trump's RIGHT. The Clinton Foundation has taken MILLIONS from the Middle East. #DrainTheSwamp https://t.co/…</t>
  </si>
  <si>
    <t>You should give the money back @HillaryClinton! #DrainTheSwamp https://t.co/m0LKHRUoHz</t>
  </si>
  <si>
    <t>Crooked’s top aides were MIRED in massive conflicts of interests at the State Dept. We MUST #DrainTheSwamp https://t.co/a4p7q9jZde #Debate</t>
  </si>
  <si>
    <t>Crooked @HillaryClinton's foundation is a CRIMINAL ENTERPRISE. Time to #DrainTheSwamp!  https://t.co/89eOMTsIjt #BigLeagueTruth #Debate</t>
  </si>
  <si>
    <t>Moderator: “Respectfully, you won’t answer the pay-to-play question.” #Debate #BigLeagueTruth</t>
  </si>
  <si>
    <t>.@HillaryClinton loves to lie. America has had enough of the CLINTON'S! It is time to #DrainTheSwamp! Debates https://t.co/3Mz4T7qTTR</t>
  </si>
  <si>
    <t>She'll say anything and change NOTHING! #MAGA #BigLeagueTruth https://t.co/6E767Uw6Dj</t>
  </si>
  <si>
    <t>I will do more in the first 30 days in office than Hillary has done in the last 30 years! #Debate  #BigLeagueTruth https://t.co/tuNQePu8Vk</t>
  </si>
  <si>
    <t>Crooked's camp incited violence at my rallies. These incidents weren't "spontaneous" - like she claimed in Benghazi! https://t.co/aCzOgFIfZ2</t>
  </si>
  <si>
    <t>#CrookedHillary is nothing more than a Wall Street PUPPET! #BigLeagueTruth #Debate https://t.co/skhBWG6AQ3</t>
  </si>
  <si>
    <t>Brought to you by @HillaryClinton &amp;amp; her campaign- in Chicago, Illinois. 
#BigLeagueTruth #DrainTheSwamp https://t.co/10iUBOcECp</t>
  </si>
  <si>
    <t>RT @TeamTrump: .@realDonaldTrump will do more in the first 30 days in office than Hillary has done in the last 30 years! #Debate #BigLeague…</t>
  </si>
  <si>
    <t>Our country is stagnant. We’ve lost jobs and business. We don’t make things anymore b/c of the bill Hillary’s husband signed and she blessed</t>
  </si>
  <si>
    <t>Crooked Hillary has never created a job in her life. We will create 25 million jobs. Think she can do that? Not a c… https://t.co/64Kll0Dl7K</t>
  </si>
  <si>
    <t>.@HillaryClinton has been doing this for THIRTY YEARS....where has she been? #BigLeagueTruth</t>
  </si>
  <si>
    <t>#CrookedHillary gives Obama an “A” for an economic recovery that’s the slowest since WWII... #BigLeagueTruth… https://t.co/wVMFHdyCu2</t>
  </si>
  <si>
    <t>THE CHOICE IS CLEAR!
#BigLeagueTruth #DrainTheSwamp https://t.co/kGx88PEpmX</t>
  </si>
  <si>
    <t>RT @TeamTrump: #CrookedHillary's plan will add $1.15 TRILLION in new taxes. We cannot afford her! #DrainTheSwamp #Debate https://t.co/jpjKY…</t>
  </si>
  <si>
    <t>I will renegotiate NAFTA. If I can’t make a great deal, we’re going to tear it up. We’re going to get this economy running again. #Debate</t>
  </si>
  <si>
    <t>This is what we can expect from #CrookedHillary. More Taxes. More Spending. #BigLeageTruth #DrainTheSwamp #Debates https://t.co/5yxnt0gNUF</t>
  </si>
  <si>
    <t>#BigLeagueTruth https://t.co/jhDLwFez3v</t>
  </si>
  <si>
    <t>.@HillaryClinton's tax hikes will CRUSH our economy. I will cut taxes -- BIG LEAGUE. https://t.co/EtA1tBnrNG https://t.co/NgMDP4wilI</t>
  </si>
  <si>
    <t>.@HillaryClinton talking about jobs? Remember what she promised upstate New York. #BigLeagueTruth
#Debates https://t.co/SmjNuHi7XB</t>
  </si>
  <si>
    <t>.@HillaryClinton has been a foreign policy DISASTER for the American people. I will #MakeAmericaStrongAgain #Debate… https://t.co/tj6PWM5r1J</t>
  </si>
  <si>
    <t>Moderator: Hillary plan calls for more regulation and more government spending. #Debate #BigLeagueTruth</t>
  </si>
  <si>
    <t>.@HillaryClinton- you have failed, failed, and failed. #BigLeagueTruth
Time to #DrainTheSwamp! https://t.co/c2EiyU8XKK</t>
  </si>
  <si>
    <t>Hillary has called for 550% more Syrian immigrants, but won’t even mention “radical Islamic terrorists.” #Debate… https://t.co/Rf48XkZWbu</t>
  </si>
  <si>
    <t>Hey @POTUS - WE AGREE!
#BigLeagueTruth #DrainTheSwamp https://t.co/WnofYy60fc</t>
  </si>
  <si>
    <t>Moderator: Hillary paid $225,000 by a Brazilian bank for a speech that called for “open borders.” That’s a quote! #Debate #BigLeagueTruth</t>
  </si>
  <si>
    <t>RT @TeamTrump: .@RealDonaldTrump wants a SAFE America w/ stronger borders, no amnesty, and an END to sanctuary cities. He is #AmericaFirst!…</t>
  </si>
  <si>
    <t>TRUMP &amp;amp; CLINTON ON IMMIGRATION
#Debate #BigLeagueTruth https://t.co/OP4c7Jc8Ad</t>
  </si>
  <si>
    <t>Hillary is too weak to lead on border security-no solutions, no ideas, no credibility.She supported NAFTA, worst deal in US history. #Debate</t>
  </si>
  <si>
    <t>Plain &amp;amp; Simple: We should only admit into this country those who share our VALUES and RESPECT our people. https://t.co/TlJo8dtVjZ</t>
  </si>
  <si>
    <t>One of my first acts as President will be to deport the drug lords and then secure the border. #Debate #MAGA</t>
  </si>
  <si>
    <t>Hillary Clinton will use American tax dollars to provide amnesty for thousands of illegals. I will put… https://t.co/ZpV33TfbR6</t>
  </si>
  <si>
    <t>Drugs are pouring into this country. If we have no border, we have no country. That’s why ICE endorsed me. #Debate #BigLeagueTruth</t>
  </si>
  <si>
    <t>RT @TeamTrump: .@realDonaldTrump is PRO-LIFE, PRO-FAMILY #BigLeagueTruth #Debates2016 https://t.co/nOqbDBMQFM</t>
  </si>
  <si>
    <t>#SecondAmendment #2A
#Debates https://t.co/QbOaf8Dlhs</t>
  </si>
  <si>
    <t>It is so imperative that we have the right justices. #DrainTheSwamp #Debates #BigLeagueTruth https://t.co/RHryqijTlu</t>
  </si>
  <si>
    <t>.@HillaryClinton lists litany of ways she plans to restrict gun rights. 2A will not survive a Hillary presidency. #Debate #BigLeagueTruth</t>
  </si>
  <si>
    <t>RT @TeamTrump: .@realDonaldTrump will PROTECT and DEFEND the Constitution #Debate #BigLeagueTruth #DrainTheSwamp https://t.co/mNTio22WK8</t>
  </si>
  <si>
    <t>The 2nd Amendment is under siege. We need SCOTUS judges who will uphold the US Constitution. #Debate #BigLeagueTruth</t>
  </si>
  <si>
    <t>Hillary Clinton wants to create the most liberal Supreme Court in history #debate #DrainTheSwamp https://t.co/fKJBNXvluh</t>
  </si>
  <si>
    <t>Ready to lead. Ready to Make America Great Again. #Debate #MAGA</t>
  </si>
  <si>
    <t>This is an incredible MOVEMENT- WE are going to take our country BACK! #November8th #BigLeagueTruth #Debate https://t.co/BT4VgYTkBr</t>
  </si>
  <si>
    <t>Tune in at https://t.co/Q08Kp4w3oT and get the word out #BigLeagueTruth #Debate Help us spread the TRUTH, stop the… https://t.co/GS9YQYzF6x</t>
  </si>
  <si>
    <t>I will be handing over my Twitter account to my team of deplorables for tonight's #debate
#MakeAmericaGreatAgain</t>
  </si>
  <si>
    <t>UNBELIEVABLE!
Clinton campaign contractor caught in voter-fraud video is a felon who visited White House 342 times: https://t.co/qQdsMHAtkT</t>
  </si>
  <si>
    <t>'Over 250,000 to Lose Health Insurance in Battleground North Carolina Due to #Obamacare'
https://t.co/18McSKO2AY</t>
  </si>
  <si>
    <t>Join my team tonight at 8:30pmE!
https://t.co/ZqJmf4yB87 https://t.co/ncJXn6fURF</t>
  </si>
  <si>
    <t>I will issue a lifetime ban against senior executive branch officials lobbying on behalf of a FOREIGN GOVERNMENT!… https://t.co/GQizTdCdFC</t>
  </si>
  <si>
    <t>I am going to expand the definition of LOBBYIST - so we close all the LOOPHOLES! #DrainTheSwamp https://t.co/PBPrrEnfSK</t>
  </si>
  <si>
    <t>Obamacare premiums increasing 33% in Pennsylvania - a complete disaster. It must be repealed and replaced!… https://t.co/aDZEfcI7SM</t>
  </si>
  <si>
    <t>'Hillary Clinton Deleted Emails With Her Email Server Technician'
https://t.co/VvO4lTKsaj</t>
  </si>
  <si>
    <t>Join me in Delaware, Ohio tomorrow at 12:30pm! #DrainTheSwamp 
Tickets: https://t.co/TWRFY1ryY8 https://t.co/Zd1KjzlCtJ</t>
  </si>
  <si>
    <t>'Top Hillary Adviser Mocked, Plotted Attacks on Pro-Sanders Civil Rights Leader' #DrainTheSwamp 
https://t.co/ER5FtjZgjw</t>
  </si>
  <si>
    <t>'Dem Operative Who Oversaw Trump Rally Agitators Visited White House 342 Times' #DrainTheSwamp 
https://t.co/MO4SJaQMzo</t>
  </si>
  <si>
    <t>'State works hard, and illegally, for Clinton' #DrainTheSwamp https://t.co/zXvUnJTKhF</t>
  </si>
  <si>
    <t>'Scandals surround Clinton's gatekeeper at State'
#DrainTheSwamp https://t.co/xxTTZeMYAc</t>
  </si>
  <si>
    <t>The State Department's 'shadow government' #DrainTheSwamp 
https://t.co/UtbqlGrYJh</t>
  </si>
  <si>
    <t>More Anti-Catholic Emails From Team Clinton: https://t.co/KYirBbYjp2 https://t.co/f8Z7olUvlM</t>
  </si>
  <si>
    <t>It is time to #DrainTheSwamp!
https://t.co/U2XeM2vDJK</t>
  </si>
  <si>
    <t>‘Food Groups’ – Emails Show Clinton Campaign Organized Potential VPs By Race And Gender: https://t.co/Qk1fOm1t8L</t>
  </si>
  <si>
    <t>#DrainTheSwamp 
https://t.co/wqqPjxfBoJ</t>
  </si>
  <si>
    <t>Time to #DrainTheSwamp in Washington, D.C. and VOTE #TrumpPence16 on 11/8/2016. Together, we will MAKE AMERICA SAFE… https://t.co/rVcjXdWxzp</t>
  </si>
  <si>
    <t>Hillary is the most corrupt person to ever run for the presidency of the United States. #DrainTheSwamp https://t.co/xA3YO8YzCq</t>
  </si>
  <si>
    <t>'Clinton Campaign Tried to Limit Damage From Classified Info on Email Server' #DrainTheSwamp 
https://t.co/5j8WuKLL5o</t>
  </si>
  <si>
    <t>'Trump rally disrupter was once on Clinton's payroll'
https://t.co/75oLLuD4SI</t>
  </si>
  <si>
    <t>RT @TeamTrump: It is time to #DrainTheSwamp in Washington, D.C! Vote Nov. 8th to take down the #RIGGED system! https://t.co/Ox9hH13Q9I</t>
  </si>
  <si>
    <t>Thank you Colorado Springs. If I’m elected President I am going to keep Radical Islamic Terrorists out of our count… https://t.co/N74UK73RLK</t>
  </si>
  <si>
    <t>FL, KS, ME, MD, MN, NJ, OR &amp;amp; WV! It's the LAST DAY to mail in voter reg forms. Get the forms at… https://t.co/CbpgL6wynY</t>
  </si>
  <si>
    <t>RT @EricTrump: Nevada: A quick reminder that today is your last day to register to vote! https://t.co/ZnPgnu8vCS https://t.co/gF8ErCzTC1</t>
  </si>
  <si>
    <t>Hillary’s Aides Urged Her to Take Foreign Lobbyist Donation And Deal With Attacks: https://t.co/o2qvr1myIZ</t>
  </si>
  <si>
    <t>If we let Crooked run the govt, history will remember 2017 as the year America lost its independence. #DrainTheSwamp https://t.co/VpYiO8CnXQ</t>
  </si>
  <si>
    <t>Pay-to-play. Collusion. Cover-ups. And now bribery? So CROOKED. I will #DrainTheSwamp. https://t.co/FNzMit7mD8</t>
  </si>
  <si>
    <t>I will Make Our Government Honest Again -- believe me. But first, I'm going to have to #DrainTheSwamp in DC. https://t.co/m1lMAQPnIb</t>
  </si>
  <si>
    <t>"@THEREALMOGUL: 41% of American voters believe the  election could be "stolen" from DonaldTrump due to widespread voter fraud. - Politico"</t>
  </si>
  <si>
    <t>Great night in WI. I’m going to fight for every person in this country who believes government should serve the PEO… https://t.co/UIKwWNmwR7</t>
  </si>
  <si>
    <t>Donald J. Trump Ethics Reform Plan For Washington D.C.
https://t.co/lKzas1SqUA</t>
  </si>
  <si>
    <t>EXCLUSIVE: FBI Agents Say Comey ‘Stood In The Way’ Of Clinton Email Investigation:
https://t.co/6n63fHVvNo</t>
  </si>
  <si>
    <t>Get rich quick! Crooked Hillary Clinton's pay to play guide: https://t.co/uKh5sCFfrv</t>
  </si>
  <si>
    <t>Yet more evidence of a media-rigged election: https://t.co/rVh4ocgx3r</t>
  </si>
  <si>
    <t>My wife, Melania, will be interviewed tonight at 8:00pm by Anderson Cooper on @CNN. I have no doubt she will do very well. Enjoy!</t>
  </si>
  <si>
    <t>I will sign the first bill to repeal #Obamacare and give Americans many choices and much lower rates!</t>
  </si>
  <si>
    <t>Trump Virginia Office Announces Statewide TV Ad Strategy and Leadership Team: https://t.co/wVJZTjY8bA https://t.co/JUBRu4mqCE</t>
  </si>
  <si>
    <t>Join me in Colorado Springs, Colorado tomorrow at 1:00pm! #MAGA 
Tickets: https://t.co/ktFk8RuaUK</t>
  </si>
  <si>
    <t>Crooked Hillary colluded w/FBI and DOJ and media is covering up to protect her. It's a #RiggedSystem! Our country d… https://t.co/kuinRTImVJ</t>
  </si>
  <si>
    <t>New polls are good because the media has deceived the public by putting women front and center with made-up stories and lies, and got caught</t>
  </si>
  <si>
    <t>"Journalists shower Hillary Clinton with campaign cash"
https://t.co/qZPPX0LO4X https://t.co/NsWbJN01Uu</t>
  </si>
  <si>
    <t>"State Department official accused of offering 'quid pro quo' in Clinton email scandal" https://t.co/XkmcKeyRPJ</t>
  </si>
  <si>
    <t>RT @TeamTrump: Our thoughts are with the forces fighting ISIS in Iraq. We must never back down against this extreme radical Islamic terrori…</t>
  </si>
  <si>
    <t>Wow, new polls just came out from @CNN   Great numbers, especially after total media hit job. Leading Ohio 48 - 44.</t>
  </si>
  <si>
    <t>RT @TeamTrump: CORRUPTION CONFIRMED: FBI confirms State Dept. offered 'quid pro quo' to cover up classified emails
https://t.co/A3mCNBLCsO</t>
  </si>
  <si>
    <t>Voter fraud! Crooked Hillary Clinton even got the questions to a debate, and nobody says a word. Can you imagine if I got the questions?</t>
  </si>
  <si>
    <t>Unbelievable. https://t.co/D7kpxlQPwU</t>
  </si>
  <si>
    <t>RT @TeamTrump: 🚨BREAKING🚨: "State Department's Kennedy pressured FBI to unclassify Clinton emails: FBI documents"
https://t.co/GYYaneeysA</t>
  </si>
  <si>
    <t>WikiLeaks proves even the Clinton campaign knew Crooked mishandled classified info, but no one gets charged? RIGGED! https://t.co/FgGxDsS0a1</t>
  </si>
  <si>
    <t>We have all got to come together and win this election. We can't have four more years of Obama (or worse!).</t>
  </si>
  <si>
    <t>Of course there is large scale voter fraud happening on and before election day. Why do Republican leaders deny what is going on? So naive!</t>
  </si>
  <si>
    <t>"@RosieGray: Peter Thiel chooses now to give $1.25mil in support of Trump https://t.co/sNEEB2n2TE"</t>
  </si>
  <si>
    <t>"@PrisonPlanet: Trump accuser praised him in an email as recently as April! This is all yet another hoax. https://t.co/tcKzmIKpfS" Terrible</t>
  </si>
  <si>
    <t>"@MarkSimoneNY: Watch Joe Biden's Long History Of Grabbing, Kissing and Groping Women Who Are Cringing: https://t.co/1iQCMd25Dz"</t>
  </si>
  <si>
    <t>Can't believe these totally phoney stories, 100% made up by women (many already proven false) and pushed big time by press, have impact!</t>
  </si>
  <si>
    <t>ALL SAFE IN ORANGE COUNTY, NORTH CAROLINA. With you all the way, will never forget. Now we have to win. Proud of you all!  @NCGOP</t>
  </si>
  <si>
    <t>Animals representing Hillary Clinton and Dems in North Carolina just firebombed our office in Orange County because we are winning @NCGOP</t>
  </si>
  <si>
    <t>Wow, interview released by Wikileakes shows "quid pro quo" in Crooked Hillary e-mail probe.Such a dishonest person - &amp;amp; Paul Ryan does zilch!</t>
  </si>
  <si>
    <t>Finally, in the new ABC News/Washington Post Poll, Hillary Clinton is down 11 points with WOMEN VOTERS and the election is close at 47-43!</t>
  </si>
  <si>
    <t>Paul Ryan, a man who doesn't know how to win (including failed run four years ago), must start focusing on the budget, military, vets etc.</t>
  </si>
  <si>
    <t>The Democrats have a corrupt political machine pushing crooked Hillary Clinton. We have Paul Ryan, always fighting the Republican nominee!</t>
  </si>
  <si>
    <t>Join me in Wisconsin tomorrow or Colorado on Tuesday!
Green Bay- 6pm
https://t.co/9L917nvCBX
Colorado Springs- 1pm… https://t.co/972GWZDGEp</t>
  </si>
  <si>
    <t>“The vast majority felt she should be prosecuted..." -- even senior FBI officials thought Crooked was guilty. 
https://t.co/AFtDs7HVlt</t>
  </si>
  <si>
    <t>The election is absolutely being rigged by the dishonest and distorted media pushing Crooked Hillary - but also at many polling places - SAD</t>
  </si>
  <si>
    <t>We've all wondered how Hillary avoided prosecution for her email scheme. Wikileaks may have found the answer. Obama! https://t.co/xF0wv8Oa8q</t>
  </si>
  <si>
    <t>Hillary's staff thought her email scandal might just blow over. Who would trust these people with national security? https://t.co/EvBCQoZRG2</t>
  </si>
  <si>
    <t>A country that Crooked Hillary says has funded ISIS also gave Wild Bill $1 million for his birthday? SO CORRUPT! https://t.co/00s5tgsXrM</t>
  </si>
  <si>
    <t>They let Crooked &amp;amp; the Gang off the hook for the crime, but it looks like the cover-up is just as bad. Unbelievable! https://t.co/eWjHoq20Dw</t>
  </si>
  <si>
    <t>Election is being rigged by the media, in a coordinated effort with the Clinton campaign, by putting stories that never happened into news!</t>
  </si>
  <si>
    <t>Polls close, but can you believe I lost large numbers of women voters based on made up events THAT NEVER HAPPENED. Media rigging election!</t>
  </si>
  <si>
    <t>Watched Saturday Night Live hit job on me.Time to retire the boring and unfunny show. Alec Baldwin portrayal stinks. Media rigging election!</t>
  </si>
  <si>
    <t>"@davidshiloach: @realDonaldTrump Go Mr. Trump! Israel is behind you!"</t>
  </si>
  <si>
    <t>Thank you for sharing Amy. https://t.co/StfzCeaQgH</t>
  </si>
  <si>
    <t>A great day in New Hampshire and Maine. Fantastic crowds and energy! #MAGA</t>
  </si>
  <si>
    <t>Thank you Bangor, Maine! Get out &amp;amp; #VoteTrumpPence16 on 11/8/16- and together we will MAKE AMERICA SAFE AND GREAT A… https://t.co/sUSh8v07MW</t>
  </si>
  <si>
    <t>The failing @nytimes reporters don't even call us anymore, they just write whatever they want to write, making up sources along the way!</t>
  </si>
  <si>
    <t>Nothing ever happened with any of these women. Totally made up nonsense to steal the election. Nobody has more respect for women than me!</t>
  </si>
  <si>
    <t>The MOVEMENT in Portsmouth, New Hampshire w/ 7K supporters. THANK YOU! This is the biggest election of our lifetime… https://t.co/4otZyjYLc2</t>
  </si>
  <si>
    <t>Landing in New Hampshire soon to talk about the massive drug problem there, and all over the country.</t>
  </si>
  <si>
    <t>The truth is a beautiful weapon. https://t.co/P7FrFhicvw</t>
  </si>
  <si>
    <t>RT @DanScavino: Mr. Trump removing the broken teleprompter in North Carolina-in front of a massive crowd. He goes on&amp;amp;delivers the best spee…</t>
  </si>
  <si>
    <t>Hillary Clinton should have been prosecuted and should be in jail. Instead she is running for president in what looks like a rigged election</t>
  </si>
  <si>
    <t>Will be in Bangor, Maine today at 3pm- join me! #MAGA
Tickets: https://t.co/NY7E1FBOB7 https://t.co/5TN2wvnR7J</t>
  </si>
  <si>
    <t>This election is being rigged by the media pushing false and unsubstantiated charges, and outright lies, in order to elect Crooked Hillary!</t>
  </si>
  <si>
    <t>100% fabricated and made-up charges, pushed strongly by the media and the Clinton Campaign, may poison the minds of the American Voter. FIX!</t>
  </si>
  <si>
    <t>Thank you @TrumpWomensTour!
#MakeAmericaGreatAgain https://t.co/R4oxaHpsAB</t>
  </si>
  <si>
    <t>Thank you Charlotte, North Carolina! We are going to have an AMAZING victory on November 8th...because this is all… https://t.co/A7Ql7KuMfT</t>
  </si>
  <si>
    <t>Make sure you're registered to vote! Let's #MakeAmericaGreatAgain! We can't afford more years of FAILURE! All info:… https://t.co/MgV5urLhB0</t>
  </si>
  <si>
    <t>Thank you for your support Greensboro, North Carolina. Next stop - Charlotte! #MAGA
https://t.co/3KWOl2ibaW https://t.co/jjde4W1hz2</t>
  </si>
  <si>
    <t>WHAT THEY ARE SAYING ABOUT THE CLINTON CAMPAIGN’S ANTI-CATHOLIC BIGOTRY: 
https://t.co/oRUlaT4zbn</t>
  </si>
  <si>
    <t>Thank you to our U.S. Navy for protecting our country, both in times of peace &amp;amp; war. Together, WE WILL MAKE AMERICA… https://t.co/v23jCl4tEQ</t>
  </si>
  <si>
    <t>Join me live in Cincinnati, Ohio!
#TrumpRally #MAGA
https://t.co/MzqgNNVfZb</t>
  </si>
  <si>
    <t>Join me in Greensboro, North Carolina tomorrow at 2:00pm! #TrumpRally
https://t.co/vpLryxCyoq https://t.co/dRra2AqayJ</t>
  </si>
  <si>
    <t>RT @TeamTrump: "This is a crossroads in the history of our civilization that will determine whether or not We The People reclaim control ov…</t>
  </si>
  <si>
    <t>Dem Gov. of MN. just announced that the Affordable Care Act (Obamacare) is no longer affordable. I've been saying this for years- disaster!</t>
  </si>
  <si>
    <t>Great event in Columbus- taking off for Cincinnati now. Great new Ohio poll out- thank you!
OHIO NBC/WSJ/MARIST POLL
Trump 42% 
Clinton 41%</t>
  </si>
  <si>
    <t>Just left a great rally in Florida - now heading to Ohio for two more. Will be there soon.</t>
  </si>
  <si>
    <t>I am making a major speech in West Palm Beach, Florida at noon. Tune in!</t>
  </si>
  <si>
    <t>Thank you! #MAGA #AmericaFirst https://t.co/fG313wjlKm</t>
  </si>
  <si>
    <t>Join me in Ohio &amp;amp; Maine!
Cincinnati, Ohio- tonight @ 7:30pm: https://t.co/XlHGD1VrMo
Bangor, Maine - Saturday @ 3pm… https://t.co/DYHPQYBwpK</t>
  </si>
  <si>
    <t>The phony story in the failing @nytimes is a TOTAL FABRICATION. Written by same people as last discredited story on women. WATCH!</t>
  </si>
  <si>
    <t>Why didn't the writer of the twelve year old article in People Magazine mention the "incident" in her story. Because it did not happen!</t>
  </si>
  <si>
    <t>I will be in Cincinnati, Ohio tomorrow night at 7:30pm- join me! #OhioVotesEarly #VoteTrumpPence16 
Tickets:… https://t.co/Bp5iHKbT2d</t>
  </si>
  <si>
    <t>The MOVEMENT in Lakeland, Florida. Voter registration extended to 10/18. REGISTER ASAP @ https://t.co/HfihPERFgZ &amp;amp;… https://t.co/PygIlshrgv</t>
  </si>
  <si>
    <t>The people of Cuba have struggled too long. Will reverse Obama's Executive Orders and concessions towards Cuba until freedoms are restored.</t>
  </si>
  <si>
    <t>PAY TO PLAY POLITICS. 
#CrookedHillary https://t.co/wjsl8ITVvk</t>
  </si>
  <si>
    <t>Very little pick-up by the dishonest media of incredible information provided by WikiLeaks. So dishonest! Rigged system!</t>
  </si>
  <si>
    <t>Crooked Hillary Clinton likes to talk about the things she will do but she has been there for 30 years - why didn't she do them?</t>
  </si>
  <si>
    <t>Thank you Florida- a MOVEMENT that has never been seen before and will never be seen again. Lets get out &amp;amp;… https://t.co/t9XM9wFDZI</t>
  </si>
  <si>
    <t>Join me Thursday in Florida &amp;amp; Ohio!
West Palm Beach, FL at noon:
https://t.co/jwbZnQhxg9
Cincinnati, OH this 7:30pm:
https://t.co/5w2UhalPIx</t>
  </si>
  <si>
    <t>Wow, @CNN Town Hall questions were given to Crooked Hillary Clinton in advance of big debates against Bernie Sanders. Hillary &amp;amp; CNN FRAUD!</t>
  </si>
  <si>
    <t>Thank you Texas! If you haven't registered to VOTE- today is your last day. Go to: https://t.co/HfihPEA3Sp &amp;amp; get ou… https://t.co/gxbDRD4x2k</t>
  </si>
  <si>
    <t>VOTER REGISTRATION DEADLINES TODAY. You can register now at: https://t.co/HfihPEA3Sp and get out to… https://t.co/LlFdF0DRX4</t>
  </si>
  <si>
    <t>DON'T LET HER FOOL US AGAIN. https://t.co/3QSoADFh7S</t>
  </si>
  <si>
    <t>Crooked's State Dept gave special attention to "Friends of Bill" after the Haiti Earthquake. Unbelievable! https://t.co/opP2l8ln0J</t>
  </si>
  <si>
    <t>RT @DonaldJTrumpJr: 13 states have voter registration deadlines TODAY: FL, OH, PA, MI, GA, TX, NM, IN, LA, TN, AR, KY, SC.
Register: https…</t>
  </si>
  <si>
    <t>I hope people are looking at the disgraceful behavior of Hillary Clinton as exposed by WikiLeaks. She is unfit to run.</t>
  </si>
  <si>
    <t>In Texas now, leaving soon for BIG rally in Florida!</t>
  </si>
  <si>
    <t>The very foul mouthed Sen. John McCain begged for my support during his  primary (I gave, he won), then dropped me over locker room remarks!</t>
  </si>
  <si>
    <t>Wow. Unbelievable. https://t.co/RcBPCcmwnD</t>
  </si>
  <si>
    <t>Disloyal R's are far more difficult than Crooked Hillary. They come at you from all sides. They don’t know how to win - I will teach them!</t>
  </si>
  <si>
    <t>With the exception of cheating Bernie out of the nom the Dems have always proven to be far more loyal to each other than the Republicans!</t>
  </si>
  <si>
    <t>It is so nice that the shackles have been taken off me and I can now fight for America the way I want to.</t>
  </si>
  <si>
    <t>RT @EricTrump: 13 states have voter registration deadlines TODAY: FL, OH, PA, MI, GA, TX, NM, IN, LA, TN, AR, KY, SC.
Register: https://t.…</t>
  </si>
  <si>
    <t>Our very weak and ineffective leader, Paul Ryan, had a bad conference call where his members went wild at his disloyalty.</t>
  </si>
  <si>
    <t>Despite winning the second debate in a landslide (every poll), it is hard to do well when Paul Ryan and others give zero support!</t>
  </si>
  <si>
    <t>Thank you Pennsylvania. This is a MOVEMENT like we have never seen before! #VoteTrumpPence16 on 11/8/16- together,… https://t.co/x0197JL5RU</t>
  </si>
  <si>
    <t>Is this really America? Terrible! https://t.co/WiwC61PIFu</t>
  </si>
  <si>
    <t>Wow, @CNN got caught fixing their "focus group" in order to make Crooked Hillary look better. Really pathetic and totally dishonest!</t>
  </si>
  <si>
    <t>Debate polls look great - thank you!
#MAGA #AmericaFirst https://t.co/4peQ3Sswdz</t>
  </si>
  <si>
    <t>CNN is the worst - fortunately they have bad ratings because everyone knows they are biased. https://t.co/oFRfNY2rUY</t>
  </si>
  <si>
    <t>Paul Ryan should spend more time on balancing the budget, jobs and illegal immigration and not waste his time on fighting Republican nominee</t>
  </si>
  <si>
    <t>Thank you for all of the great comments on the debate last night. Very exciting!</t>
  </si>
  <si>
    <t>Thank you St. Louis, Missouri!
#MakeAmericaGreatAgain  
https://t.co/2llBltf0mE https://t.co/wBmVxf1a9D</t>
  </si>
  <si>
    <t>RT @mike_pence: Congrats to my running mate @realDonaldTrump on a big debate win! Proud to stand with you as we #MAGA.</t>
  </si>
  <si>
    <t>RT @TeamTrump: RT if you agree @realDonaldTrump WON the #Debate- BIG LEAGUE! #MAGA https://t.co/EmwDZ32uAZ</t>
  </si>
  <si>
    <t>RT @DonaldJTrumpJr: Someone please fact check her coal comments. Give me a break. #debates</t>
  </si>
  <si>
    <t>RT @TeamTrump: It’s US vs. them! @realDonaldTrump will fight for you! #BigLeagueTruth #Debates</t>
  </si>
  <si>
    <t>MY PRO-GROWTH Econ Plan:
✅Eliminate excessive regulations! 
✅Lean government!
✅Lower taxes!
#Debates … https://t.co/OchcnuSAgR</t>
  </si>
  <si>
    <t>Hypocrite: @HillaryClinton is the single biggest beneficiary of Citizens United in history, by far. #debate #bigleaguetruth</t>
  </si>
  <si>
    <t>RT @DonaldJTrumpJr: Ironic since Hillary has gotten a lot more of that "dark unaccountable money" into her campaign. #debates</t>
  </si>
  <si>
    <t>RT @TeamTrump: "She calls our people deplorable and irredeemable. I will be a president for ALL of our people." - @RealDonaldTrump #BigLeag…</t>
  </si>
  <si>
    <t>RT @KellyannePolls: After a decent first debate, @HillaryClinton is back to form: pedantic, lawyerly, technocratic, (woefully untruthful) r…</t>
  </si>
  <si>
    <t>Our country has the slowest growth since 1929. #BigLeagueTruth #debate</t>
  </si>
  <si>
    <t>RT @DanScavino: WE LOVE OUR DEPLORABLES!!!
#TrumpTrain #Debates2016 https://t.co/2Nt9ID3tV7</t>
  </si>
  <si>
    <t>@AC360: “How can you unite a country if you’ve written off tens of millions of Americans?” #Deplorables #BigLeagueTruth #Debate</t>
  </si>
  <si>
    <t>This country cannot take four more years of Barack Obama! #Debate</t>
  </si>
  <si>
    <t>We agree @POTUS-
"SHE'LL (Hillary Clinton) SAY ANYTHING &amp;amp; CHANGE NOTHING. IT'S TIME TO TURN THE PAGE" -President Obama</t>
  </si>
  <si>
    <t>If @HillaryClinton is president, she’ll be all talk and nothing will get done. #Debate #BigLeagueTruth</t>
  </si>
  <si>
    <t>FACT ✔️ on “red line” in Syria: HRC "I wasn’t there." Fact: line drawn in Aug ’12. HRC Secy of State til Feb ’13. https://t.co/4yZjH3TR5B</t>
  </si>
  <si>
    <t>In my administration, EVERY American will be treated equally, protected equally, and honored equally #Debate #BigLeagueTruth</t>
  </si>
  <si>
    <t>RT @TeamTrump: It's hard to fight terrorism when you're making cash payments to the world's LARGEST state sponsor of TERROR. Under Trump: N…</t>
  </si>
  <si>
    <t>RT @TeamTrump: .@HillaryClinton had her chance and she BLEW IT. #BigLeagueTruth #Debates https://t.co/d2MI0DCg5Y</t>
  </si>
  <si>
    <t>RT @TeamTrump: "We are going to be THRIVING again." - @realDonaldTrump #BigLeagueTruth #Debates2016 https://t.co/CaFOF7jS7k</t>
  </si>
  <si>
    <t>We cannot let this evil continue! #Debates2016 https://t.co/f6BxYyRJID</t>
  </si>
  <si>
    <t>This is the definition of ransom ⬇ https://t.co/370piI2JLp</t>
  </si>
  <si>
    <t>RT @JasonMillerinDC: Is @realDonaldTrump debating Crooked @HillaryClinton or the moderators, @AC360 and @MarthaRaddatz? #rattledhillary</t>
  </si>
  <si>
    <t>The world is most peaceful, and most prosperous when America is strongest. https://t.co/Y2Dx7xyBBs</t>
  </si>
  <si>
    <t>Here are Hillary Clinton's "accomplishments" at the State Department.
#Debates2016 #RattledHillary https://t.co/iouuqXYAdq</t>
  </si>
  <si>
    <t>RT @TeamTrump: #RattledHillary wants to talk about her 30 years in service. How about her 30 years of FLOPS↔️FLOPS?! #BigLeagueTruth #Debat…</t>
  </si>
  <si>
    <t>RT @TeamTrump: .@HillaryClinton is RAISING your taxes to a disastrous level. @realDonaldTrump is going to LOWER your taxes - BIG LEAGUE! #D…</t>
  </si>
  <si>
    <t>History lesson: There’s a big difference between Hillary Clinton and Abraham Lincoln. For one, his nickname is Hone… https://t.co/A5JDkz1eCE</t>
  </si>
  <si>
    <t>We're going to cut taxes BIG LEAGUE for the middle class. She's raising your taxes and I'm lowering your taxes!
https://t.co/ZwIkqNH2FX</t>
  </si>
  <si>
    <t>"YOU NEED BOTH A PUBLIC AND A PRIVATE POSITION"
@HillaryClinton #Debates2016 https://t.co/oI2qi2HAdO</t>
  </si>
  <si>
    <t>Hypocrite! @HillaryClinton claims she needs a “public and a private stance” in discussions with Wall Street banks. #Debate</t>
  </si>
  <si>
    <t>I hope when the MSM runs its “interruption counters” they consider the # of times the moderators interrupted me com… https://t.co/pHEjp8bZVP</t>
  </si>
  <si>
    <t>.@HillaryClinton - ITS CALLED EXTREME VETTING! #Debates2016 https://t.co/ueq7cbOg9Y</t>
  </si>
  <si>
    <t>.@HillaryClinton #ICYMI- "WE ARE NOT IN A NARRATIVE FIGHT."
@Mike_Pence #MAGA https://t.co/FUQzXlyPwY</t>
  </si>
  <si>
    <t>RT @TeamTrump: ONLY @realDonaldTrump will end what even @BillClinton called a CRAZY SYSTEM. #BigLeagueTruth #Debate https://t.co/cgoqZLDXDV</t>
  </si>
  <si>
    <t>#CrookedHillary has FAILED all over the world! 􏰀 
#BigLeagueTruth #Debates2016 https://t.co/dalk9JKcFg</t>
  </si>
  <si>
    <t>RT @realDonaldTrump: ATTN: @HillaryClinton - Why did five of your staffers need FBI IMMUNITY?! #BigLeagueTruth #Debates</t>
  </si>
  <si>
    <t>.@HillaryClinton is NOT above the law!
#Debates2016 https://t.co/4arYZcGgYZ</t>
  </si>
  <si>
    <t>RT @TeamTrump: We agree with Bill, ObamaCare is “the craziest thing in the world.” #BigLeagueTruth #Debates2016 https://t.co/v2yo6pSYoB</t>
  </si>
  <si>
    <t>.@HillaryClinton : Bill “clarified” what he meant when calling Obamacare a “disaster.” Actually “disaster” is pretty clear. #Debate</t>
  </si>
  <si>
    <t>We must repeal Obamacare and replace it with a much more competitive, comprehensive, affordable system. #debate #MAGA</t>
  </si>
  <si>
    <t>Obama and Clinton told the same lie to sell #ObamaCare. #Debates2016 https://t.co/vhOLtHrR66</t>
  </si>
  <si>
    <t>ATTN: @HillaryClinton - Why did five of your staffers need FBI IMMUNITY?! #BigLeagueTruth #Debates</t>
  </si>
  <si>
    <t>Hillary’s 33,000 deleted emails about her daughter’s wedding. That’s a lot of wedding emails. #debate</t>
  </si>
  <si>
    <t>Basically nothing Hillary has said about her secret server has been true. #CrookedHillary</t>
  </si>
  <si>
    <t>If I win-I am going to instruct my AG to get a special prosecutor to look into your situation bc there's never been anything like your lies.</t>
  </si>
  <si>
    <t>RT @TeamTrump: RT if you believe @HillaryClinton is the one who owes America an apology! #BigLeagueTruth #Debates https://t.co/KcmDedSUTw</t>
  </si>
  <si>
    <t>Donald J. Trump's History Of Empowering Women #BigLeagueTruth
https://t.co/oY2YSPz7nB</t>
  </si>
  <si>
    <t>There’s never been anyone more abusive to women in politics than Bill Clinton.My words were unfortunate-the Clintons’ actions were far worse</t>
  </si>
  <si>
    <t>RT @TeamTrump: Quite simply, @HillaryClinton mistreats women. #BigLeagueTruth #Debate2016
https://t.co/zhgrulIctf https://t.co/wHtwtnCxxQ</t>
  </si>
  <si>
    <t>I’m not proud of my locker room talk. But this world has serious problems. We need serious leaders. #debate #BigLeagueTruth</t>
  </si>
  <si>
    <t>RT @TeamTrump: .@realDonaldTrump is here to talk about the REAL issues #BigLeagueTruth #Debates2016 https://t.co/C5OF7HdJz6</t>
  </si>
  <si>
    <t>It’s this simple. “Make America Great Again.” #debate #BigLeagueTruth</t>
  </si>
  <si>
    <t>RT @TeamTrump: .@HillaryClinton just claimed she has a "positive, optimistic view" for America. #Debates https://t.co/hOWJYZbD7v</t>
  </si>
  <si>
    <t>My team of deplorables will be taking over my Twitter account for tonight's #debate
#MakeAmericaGreatAgain</t>
  </si>
  <si>
    <t>Join me on #FacebookLive as I conclude my final #debate preparations. https://t.co/gAbNvI8Fd7</t>
  </si>
  <si>
    <t>The Palestinian terror attack today reminds the world of the grievous perils facing Israeli citizens....continued:
https://t.co/d2Upx5FitC</t>
  </si>
  <si>
    <t>Exclusive Video–Broaddrick, Willey, Jones to Bill's Defenders: ‘These Are Crimes,’ ‘Terrified’ of ‘Enabler’ Hillary 
https://t.co/DMfLsIbtU1</t>
  </si>
  <si>
    <t>LA Times- USC Dornsife Sunday Poll: Donald Trump Retains 2 Point Lead Over Hillary:
https://t.co/n05rul4Ycw</t>
  </si>
  <si>
    <t>So many self-righteous hypocrites. Watch their poll numbers - and elections - go down!</t>
  </si>
  <si>
    <t>"@HenryLeledog: @realDonaldTrump This Black Democrat is on the "TRUMP TRAIN"!!"</t>
  </si>
  <si>
    <t>"@maidaa17: @realDonaldTrump GOP traitors! Not supporting U is voting for her, destroying America.</t>
  </si>
  <si>
    <t>"@CharleneOsbor17: @realDonaldTrump politicians don't count. It's the people. We are behind trump all the way to White House."</t>
  </si>
  <si>
    <t>"@eericmyers: @realDonaldTrump  "Republican leadership" should have only one job: Help elect the nominee we voted for, Donald J. Trump."</t>
  </si>
  <si>
    <t>"@Jodygirl1010: @realDonaldTrump I am a woman who continues to support &amp;amp; stand with #Trump! #dtmag https://t.co/nFmY3FJuEf" Thank you.</t>
  </si>
  <si>
    <t>EXCLUSIVE — Video Interview: Bill Clinton Accuser Juanita Broaddrick Relives Brutal Rapes:
https://t.co/9j7f8VK9Md</t>
  </si>
  <si>
    <t>Tremendous support (except for some Republican "leadership"). Thank you.</t>
  </si>
  <si>
    <t>Thank you to my great supporters in Wisconsin. I heard that the crowd and enthusiasm was unreal!</t>
  </si>
  <si>
    <t>RT @atensnut: Hillary calls Trump's remarks "horrific" while she lives with and protects a "Rapist".  Her actions are horrific.</t>
  </si>
  <si>
    <t>RT @atensnut: How many times must it be said? Actions speak louder than words. DT said bad things!HRC threatened me after BC raped me.</t>
  </si>
  <si>
    <t>The media and establishment want me out of the race so badly -  I WILL NEVER DROP OUT OF THE RACE, WILL NEVER LET MY SUPPORTERS DOWN! #MAGA</t>
  </si>
  <si>
    <t>Certainly has been an interesting 24 hours!</t>
  </si>
  <si>
    <t>Here is my statement. https://t.co/WAZiGoQqMQ</t>
  </si>
  <si>
    <t>Thoughts &amp;amp; prayers with the millions of people in the path of Hurricane Matthew. Look out for neighbors, and listen… https://t.co/JqjyTiKicD</t>
  </si>
  <si>
    <t>"@kevcirilli: Trump speaking in exact same tone he did in Waterville Valley on 12/1. The night I first realized he was gonna be GOP nominee"</t>
  </si>
  <si>
    <t>New National Rasmussen Poll: https://t.co/BnAveA5OuP</t>
  </si>
  <si>
    <t>Thank you Tennessee! #MAGA https://t.co/OoDFmerQ5B</t>
  </si>
  <si>
    <t>VOTE #TrumpPence16 on 11/8/16! https://t.co/12zAk8VmgK</t>
  </si>
  <si>
    <t>'Donald Trump: A President for All Americans' https://t.co/3lU2vrUE3t</t>
  </si>
  <si>
    <t>Volunteer to be a Trump Election Observer. Sign up today!
#MakeAmericaGreatAgain
https://t.co/ZzFHlsWnh4</t>
  </si>
  <si>
    <t>RT @DonaldJTrumpJr: Great group at our Victory Office in Columbus, Ohio. I'm incredibly grateful to have so many… https://t.co/rLJWCAGRlW</t>
  </si>
  <si>
    <t>RT @IvankaTrump: Thank you Angie Phillips for inviting me to tour your plant Middletown Tube Works. #Ohio https://t.co/fUKiiEIBXT</t>
  </si>
  <si>
    <t>Praying for everyone in Florida. Hoping the hurricane dissipates, but in any event, please be careful.</t>
  </si>
  <si>
    <t>New Virginia poll- thank you! We are going to show the whole world that America is back – BIGGER, and BETTER, and S… https://t.co/2CikEXb0G7</t>
  </si>
  <si>
    <t>Pennsylvania poll just released. Two rallies there on Mon- join me!
Ambridge: https://t.co/TujWDWcgd3
Wilkes-Barre:… https://t.co/TeIeCttUpP</t>
  </si>
  <si>
    <t>Nation's Immigration And Customs Enforcement Officers (ICE) Make First-Ever Presidential Endorsement:
https://t.co/eO1UY5N9J1</t>
  </si>
  <si>
    <t>Such a great honor! 
https://t.co/vt4AmLdkeP</t>
  </si>
  <si>
    <t>Amazing rally in Reno, Nevada- thank you. Make sure you get out on 11/8 &amp;amp; VOTE #TrumpPence16. Together, we will put… https://t.co/6gPJhb29xk</t>
  </si>
  <si>
    <t>Reuters polling just out- thank you!
#MakeAmericaGreatAgain https://t.co/UMY6kOiSTu</t>
  </si>
  <si>
    <t>Thank you South Carolina! Everyone has to get out and VOTE on 11/8/16. 
#MakeAmericaGreatAgain… https://t.co/os7EmRCdPf</t>
  </si>
  <si>
    <t>EARLY VOTING: MN &amp;amp; IA already underway, more states coming up in the next week: OH, ME, AZ, IN — check w/local officials for details &amp;amp; VOTE!</t>
  </si>
  <si>
    <t>'Small business says Trump is their pick for president'
https://t.co/tzVN9QgPFS</t>
  </si>
  <si>
    <t>Thank you @SenJohnMcCain for your kind remarks on the important issue of PTSD and the dishonest media. Great to be in Arizona yesterday!</t>
  </si>
  <si>
    <t>Bill Clinton is right: Obamacare is 'crazy', 'doesn't work' and 'doesn't make sense'.  Thanks Bill for telling the truth.</t>
  </si>
  <si>
    <t>Thank you Henderson, NV. This is a MOVEMENT like never seen before! Watch some of the rally via my Facebook page:… https://t.co/dNF8G4VUqY</t>
  </si>
  <si>
    <t>About to begin a rally here in Henderson, Nevada. New Reuters poll just out- thank you! Join the MOVEMENT:… https://t.co/uvbntNsxGl</t>
  </si>
  <si>
    <t>Beautiful morning- thank you @ICLV! https://t.co/xzJhrLgjHP</t>
  </si>
  <si>
    <t>The constant interruptions last night by Tim Kaine should not have been allowed. Mike Pence won big!</t>
  </si>
  <si>
    <t>Mike Pence won big. We should all be proud of Mike!</t>
  </si>
  <si>
    <t>RT @mike_pence: History teaches us that weakness arouses evil. America needs to be strong on the world stage. #VPDebate https://t.co/FJ59o5…</t>
  </si>
  <si>
    <t>RT @TeamTrump: RT if you agree - @HillaryClinton &amp;amp; @timkaine are WRONG for America! #VPDebate #MAGA https://t.co/2MZfFzCo6c</t>
  </si>
  <si>
    <t>RT @TeamTrump: .@timkaine's Abortion Flip-Flops: From Valuing The Sanctity of Life --&amp;gt; Pro-Abortion Demagogue #VPdebate https://t.co/aK4061…</t>
  </si>
  <si>
    <t>"@AnyoneTennis: @timkaine Cannot believe how often the moderator interrupts #Pence vs the other guy...so obvious @FoxNews"  So true!</t>
  </si>
  <si>
    <t>"@Gsimmons03Ginny: @realDonaldTrump ..Kaine is awful, Trump and Pence are the ticket..no more lies, we are ready to see America Great Again!</t>
  </si>
  <si>
    <t>Clinton’s Top Aides Were Mired In Conflict Of Interest At The State Department: https://t.co/wWfdaECtVu
#VPDebate #BigLeagueTruth</t>
  </si>
  <si>
    <t>"@FLifeforce: @_CFJ_ @vine That is a reason to NOT Vote for Hillary Clinton. Vote for Liberty! Vote for @realDonaldTrump"</t>
  </si>
  <si>
    <t>.@HillaryClinton’s Careless Use Of A Secret Server Put National Security At Risk: https://t.co/OiAEMnrGcy #VPDebate
#BigLeagueTruth</t>
  </si>
  <si>
    <t>CLINTON IS WEAK ON NORTH KOREA:
https://t.co/8pRednmnFX #VPDebate</t>
  </si>
  <si>
    <t>RT @TeamTrump: Obama-Clinton FAILED foreign policy:
-Bad nuclear deal
-Ransom payment to leading state sponsor of terror
-Sharing classifie…</t>
  </si>
  <si>
    <t>RT @TeamTrump: .@HillaryClinton &amp;amp; @timkaine think you're #Deplorables &amp;amp; #BasementDwellers. @realDonaldTrump &amp;amp; @mike_pence think you're PATR…</t>
  </si>
  <si>
    <t>CLINTON’S CLOSE TIES TO PUTIN DESERVE SCRUTINY:
https://t.co/wPYm5vQoyt #VPDebate</t>
  </si>
  <si>
    <t>Sanctions Relief From Clinton-Obama Iran Nuclear Deal Likely Go to Terrorists:
https://t.co/lM80JriF9k #BigLeagueTruth #VPDebate</t>
  </si>
  <si>
    <t>.@timkaine is wrong for defense: 
https://t.co/QN9qqoq1kH 
#BigLeagueTruth #VPDebate</t>
  </si>
  <si>
    <t>ICYMI: PENCE: I RAN A STATE THAT WORKED; KAINE RAN A STATE THAT FAILED. https://t.co/XuWaueNkH0</t>
  </si>
  <si>
    <t>.@timkaine is the ANTI-DEFENSE SENATOR. #VPDebate #BigLeagueTruth https://t.co/qWkvGFARA1</t>
  </si>
  <si>
    <t>RT @TeamTrump: We need STRONG, BROAD-SHOULDERED leadership like @mike_pence &amp;amp; @realDonaldTrump in the White House! #VPDebate #BigLeagueTrut…</t>
  </si>
  <si>
    <t>CLINTON’S FLAILING SYRIA POLICY WAS JUDGED A FAILURE:
https://t.co/ICZxn7Q3vZ #VPDebate</t>
  </si>
  <si>
    <t>RT @GOP: In @timkaine's own words ⬇️ #Debates2016 https://t.co/PMngoKHUjA</t>
  </si>
  <si>
    <t>.@mike_pence and I will defeat #ISIS.
https://t.co/oCIIDwtptV #VPDebate</t>
  </si>
  <si>
    <t>WHAT THEY ARE SAYING ABOUT MIKE PENCE “DOMINATING” THE DEBATE:
https://t.co/mUw9S5GgNM #VPDebate</t>
  </si>
  <si>
    <t>I agree Mike - thank you to all of our law enforcement officers! #VPDebate 
"Police officers are the best of us..."
@Mike_Pence</t>
  </si>
  <si>
    <t>.@HillaryClinton Sneers At Millions Of Average Americans.
https://t.co/gEfURjRCfu 
#VPDebate #BigLeagueTruth</t>
  </si>
  <si>
    <t>RT @TeamTrump: “Police officers are the BEST of us. Law enforcement in this country is a force for GOOD." - @mike_pence #VPDebate #BigLeagu…</t>
  </si>
  <si>
    <t>"@GeeVeeM: @realDonaldTrump @Susiesentinel Pence is so prepared! He did his homework to outperform Kaine."</t>
  </si>
  <si>
    <t>RT @TeamTrump: Law enforcement officers bring communities together &amp;amp; keep us safe. @mike_pence &amp;amp; @realDonaldTrump RESPECT &amp;amp; stand by them!…</t>
  </si>
  <si>
    <t>RT @seanspicer: .@timkaine wants to tough on crime - fails to talk about defending rapists and murders #VPDebate</t>
  </si>
  <si>
    <t>.@timkaine oversaw unemployment INCREASE by 179,249 while @mike_pence DECREASED unemployment in Indiana by 113,826.… https://t.co/wFQM8kg287</t>
  </si>
  <si>
    <t>"@aldonturnaolco1: @FrankLuntz @marthamaccallum @realDonaldTrump good!!"</t>
  </si>
  <si>
    <t>"@bcuzimdamomma: @FreeDavidKing No she only gets #Americans killed #Benghazi - we need @realDonaldTrump #MAGA"</t>
  </si>
  <si>
    <t>"@ifdanyt: @realDonaldTrump Loving @mike_pence he's so likeable and sensible. Kaine is just talking bull!</t>
  </si>
  <si>
    <t>"@carol_lcnixon67: @realDonaldTrump Kaine says Hillary and he have plans. She could care less what Kaine thinks."</t>
  </si>
  <si>
    <t>"@ARSenMissyIrvin: I want a "you're fired" president with people in Govt who are WASTING my tax $'s. @realDonaldTrump"</t>
  </si>
  <si>
    <t>.@mike_pence is doing a great job - so far, no contest!</t>
  </si>
  <si>
    <t>"@TeamTrump: .@mike_pence &amp;amp; @realDonaldTrump are PROVEN job creators and are prepared to bring JOBS BACK to the American people!</t>
  </si>
  <si>
    <t>"@Jnelson52722: @realDonaldTrump @Susiesentinel Kaine looks like an evil crook out of the Batman movies"</t>
  </si>
  <si>
    <t>"@elisac006: @nycmia @realDonaldTrump I agree. Kaine looks like a fool!!"</t>
  </si>
  <si>
    <t>RT @TeamTrump: .@timkaine has a pay-to-play problem just like Crooked @HillaryClinton #VPDebates #BigLeagueTruth https://t.co/SPOIn8AN8m</t>
  </si>
  <si>
    <t>"@bigdog_joey: @realDonaldTrump @timkaine is so angry. Our @mike_pence looks great. kaine can't defend all those lies #makeamericagreatagain</t>
  </si>
  <si>
    <t>RT @mike_pence: There’s one clear choice in this election to create jobs and grow the American economy. #VPDebate https://t.co/cvv0cK6Fbt</t>
  </si>
  <si>
    <t>RT @joshrogin: Pence is right. Clinton &amp;amp; Obama tried to negotiate an Iraq troop extension but failed. Bush admin always anticipated such an…</t>
  </si>
  <si>
    <t>"@Susiesentinel: #pence is so much more likeable than Kaine #cbsnews @realDonaldTrump"</t>
  </si>
  <si>
    <t>"@lainey34210: @realDonaldTrump Great opening Pence💕"</t>
  </si>
  <si>
    <t>"@RoadkingL: @mike_pence Wow, Kaine couldn't go 12 seconds without a lie. Marines and military are scared of the liar running. #bengazi"</t>
  </si>
  <si>
    <t>.@megynkelly- I am in Nevada. Sorry to inform you Kellyanne is in the audience. Better luck next time.</t>
  </si>
  <si>
    <t>Both are looking good! Now we begin!</t>
  </si>
  <si>
    <t>Here we go - Enjoy!</t>
  </si>
  <si>
    <t>I will be live-tweeting the V.P. Debate. Very exciting! MAKE AMERICA GREAT AGAIN!</t>
  </si>
  <si>
    <t>Wow, @CNN is so negative. Their panel is a joke, biased and very dumb. I'm turning to @FoxNews where we get a fair shake! Mike will do great</t>
  </si>
  <si>
    <t>Wow, did you just hear Bill Clinton's statement on how bad ObamaCare is. Hillary not happy. As I have been saying, REPEAL AND REPLACE!</t>
  </si>
  <si>
    <t>Join the MOVEMENT!
https://t.co/3KWOl20zMm https://t.co/BS5JLelPJd</t>
  </si>
  <si>
    <t>Thank you ARIZONA! This is a MOVEMENT like nobody has ever seen before. Together, we are going to MAKE AMERICA SAFE… https://t.co/EwP4hnaeoE</t>
  </si>
  <si>
    <t>My childcare plan makes a difference for working families - more money, more freedom. #AmericaFirst means… https://t.co/X3Yn3FZphf</t>
  </si>
  <si>
    <t>I will be watching the great Governor @Mike_Pence and live tweeting the VP debate tonight starting at 8:30pm est! Enjoy!</t>
  </si>
  <si>
    <t>Join me in Reno, Nevada tomorrow at 3:30pm! #AmericaFirst #MAGA
Tickets: https://t.co/DJ7JJUkkz7</t>
  </si>
  <si>
    <t>Join me in Reno, Nevada on Wednesday at 3:30pm at the Reno-Sparks Convention Center! #MAGA
Tickets:… https://t.co/G0NvFLQWgS</t>
  </si>
  <si>
    <t>Thank you Colorado! #MAGA
https://t.co/3KWOl20zMm
https://t.co/M7QhdCgRzw https://t.co/wIGNtKPA2X</t>
  </si>
  <si>
    <t>We must bring the truth directly to hard-working Americans who want to take our country back. #BigLeagueTruth… https://t.co/0iAeiPYEhO</t>
  </si>
  <si>
    <t>Thank you Pueblo, Colorado! 
#TrumpRally #AmericaFirst
https://t.co/3KWOl20zMm https://t.co/rFAf7xYNhy</t>
  </si>
  <si>
    <t>Join me in Henderson, Nevada on Wednesday at 11:30am! #MAGA 
Tickets: https://t.co/pWTYv9BbUE</t>
  </si>
  <si>
    <t>Just announced that Iraq (U.S.) is preparing for battle to reclaim Mosul. Why do they have to announce this? Makes mission much harder!</t>
  </si>
  <si>
    <t>Melania and I extend our warmest greetings to those observing Rosh Hashanah here in the United States, in Israel, and around the world.</t>
  </si>
  <si>
    <t>Bernie should pull his endorsement of Crooked Hillary after she decieved him and then attacked him and his supporters.</t>
  </si>
  <si>
    <t>"@trumplican2016: .@realDonaldTrump  There will be MASSIVE turnout for you,  Mr. Trump - These polls don't register the pulse of the PEOPLE!</t>
  </si>
  <si>
    <t>I have created tens of thousands of jobs and will bring back great American prosperity. Hillary has only created jobs at the FBI and DOJ!</t>
  </si>
  <si>
    <t>I know our complex tax laws better than anyone who has ever run for president and am the only one who can fix them. #failing@nytimes</t>
  </si>
  <si>
    <t>Heading to Pennsylvania for a big rally tonight. We will MAKE AMERICA GREAT AGAIN!</t>
  </si>
  <si>
    <t>Wow, just saw the really bad @CNN ratings. People don't want to watch bad product that only builds up Crooked Hillary.</t>
  </si>
  <si>
    <t>The so-called Commission on Presidential Debates admitted to us that the DJT audio &amp;amp; sound level was very bad. So why didn't they fix it?</t>
  </si>
  <si>
    <t>I won the debate if you decide without watching the totally one-sided "spin" that followed. This despite the really bad microphone.</t>
  </si>
  <si>
    <t>Crooked H is nasty to Sanders supporters behind closed doors. Owned by Wall St and Politicians, HRC is not with you. https://t.co/WN1lyCDXla</t>
  </si>
  <si>
    <t>I believe in #AmericaFirst and that means FAMILY FIRST! My childcare plan reflects the needs of modern working-clas… https://t.co/RCnZZtTk4c</t>
  </si>
  <si>
    <t>Thank you Novi, Michigan! Get out and VOTE #TrumpPence16 on 11/8. Together, WE WILL MAKE AMERICA GREAT AGAIN!… https://t.co/n7Gd6Xc18H</t>
  </si>
  <si>
    <t>Thank you for your support - on my way now! See you soon. #TrumpTrain https://t.co/SYuRpzosb5</t>
  </si>
  <si>
    <t>Join me in Pueblo, Colorado on Monday afternoon at 3pm! #TrumpRally
https://t.co/3P3QZxzSPJ</t>
  </si>
  <si>
    <t>For those few people knocking me for tweeting at three o'clock in the morning, at least you know I will be there, awake, to answer the call!</t>
  </si>
  <si>
    <t>Why isn't Hillary 50 points ahead? Maybe it's the email scandal, policies that spread ISIS, or calling millions of… https://t.co/yKz9vCz8O1</t>
  </si>
  <si>
    <t>The people are really smart in cancelling subscriptions to the Dallas &amp;amp; Arizona papers &amp;amp; now USA Today will lose readers! The people get it!</t>
  </si>
  <si>
    <t>Remember, don't believe "sources said" by the VERY dishonest media. If they don't name the sources, the sources don't exist.</t>
  </si>
  <si>
    <t>Did Crooked Hillary help disgusting (check out sex tape and past) Alicia M become a U.S. citizen so she could use her in the debate?</t>
  </si>
  <si>
    <t>Using Alicia M in the debate as a paragon of virtue just shows that Crooked Hillary suffers from BAD JUDGEMENT! Hillary was set up by a con.</t>
  </si>
  <si>
    <t>Wow, Crooked Hillary was duped and used by my worst Miss U. Hillary floated her as an "angel" without checking her past, which is terrible!</t>
  </si>
  <si>
    <t>Anytime you see a story about me or my campaign saying "sources said," DO NOT believe it. There are no sources, they are just made up lies!</t>
  </si>
  <si>
    <t>Wow, did you see how badly @CNN (Clinton News Network) is doing in the ratings. With people like @donlemon, who could expect any more?</t>
  </si>
  <si>
    <t>While Hillary profits off the rigged system, I am fighting for you! Remember the simple phrase: #FollowTheMoney… https://t.co/8mVInc82E9</t>
  </si>
  <si>
    <t>Thank you for joining me this afternoon, New Hampshire! Will be back soon. #FollowTheMoney
Speech transcript:… https://t.co/VtUkDgF4vs</t>
  </si>
  <si>
    <t>Join me in Manheim, Pennsylvania on Saturday at 7pm! #TrumpRally
Tickets: https://t.co/ADOGW34ctF https://t.co/LNWQZ9yUJy</t>
  </si>
  <si>
    <t>My condolences to those involved in today's horrible accident in NJ and my deepest gratitude to all of the amazing first responders.</t>
  </si>
  <si>
    <t>Will be in Novi, Michigan this Friday at 5:00pm. Join the MOVEMENT! Tickets available at: https://t.co/Q6APf0ZFYA… https://t.co/6WAyO9eQHN</t>
  </si>
  <si>
    <t>Join me in Bedford, New Hampshire- tomorrow at 3:00pm. Can't wait to see everyone! #AmericaFirst #MAGA… https://t.co/oeOJFAS7it</t>
  </si>
  <si>
    <t>Thank you Waukesha, Wisconsin! 
Full transcript of my speech, #FollowTheMoney:
https://t.co/Xb1yyDSNNf https://t.co/WdKK6nJCZW</t>
  </si>
  <si>
    <t>Joining @oreillyfactor from Waukesha, Wisconsin - now, live! Enjoy!</t>
  </si>
  <si>
    <t>Join me live in Waukesha, Wisconsin for an 8pmE rally! #AmericaFirst #MAGA
https://t.co/G8kGLSFy6S</t>
  </si>
  <si>
    <t>Thank you Council Bluffs, Iowa! Will be back soon. Remember- everything you need to know about Hillary -- just… https://t.co/45kIHxdX83</t>
  </si>
  <si>
    <t>RT @TeamTrump: "She put the office of Sec of State up for sale. If she ever got the chance, she’d put the Oval Office up for sale too." #Fo…</t>
  </si>
  <si>
    <t>An honor to meet with the Polish American Congress in Chicago this morning! #ImWithYou 
Video:… https://t.co/lBFHoWRqox</t>
  </si>
  <si>
    <t>Melania and I extend our deepest condolences to the family of Shimon Peres...https://t.co/xeGYL2IzUP</t>
  </si>
  <si>
    <t>Join me in Council Bluffs, Iowa- today at 3pm! #MakeAmericaGreatAgain 
Tickets: https://t.co/iRL3xh37gF</t>
  </si>
  <si>
    <t>Every on-line poll, Time Magazine, Drudge etc., has me winning the debate. Thank you to Fox &amp;amp; Friends for so reporting!</t>
  </si>
  <si>
    <t>My supporters are the best! $18 million from hard-working people who KNOW what we can be again! Shatter the record: https://t.co/8ZHGyOth0f</t>
  </si>
  <si>
    <t>Unbelievable evening in Melbourne, Florida w/ 15,000 supporters- and an additional 12,000 who could not get in. Tha… https://t.co/VU5wh2zXBU</t>
  </si>
  <si>
    <t>Join me for a 3pm rally - tomorrow at the Mid-America Center in Council Bluffs, Iowa! Tickets:… https://t.co/dfzsbICiXc</t>
  </si>
  <si>
    <t>Once again, we will have a government of, by and for the people. Join the MOVEMENT today! https://t.co/lWjYDbPHav https://t.co/uYwJrtZkAe</t>
  </si>
  <si>
    <t>RT @GOP: On National #VoterRegistrationDay, make sure you're registered to vote so we can #MakeAmericaGreatAgain https://t.co/GKcaLkx8C8 ht…</t>
  </si>
  <si>
    <t>Hillary Clinton's Campaign Continues To Make False Claims About Foundation Disclosure: 
https://t.co/zhkEfUouHH</t>
  </si>
  <si>
    <t>'CNBC, Time magazine online polls say Donald Trump won the first presidential debate' via @WashTimes. #MAGA
https://t.co/PGimqYKPoJ</t>
  </si>
  <si>
    <t>Great afternoon in Little Havana with Hispanic community leaders. Thank you for your support! #ImWithYou https://t.co/vxWZ2tyJTF</t>
  </si>
  <si>
    <t>In the last 24 hrs. we have raised over $13M from online donations and National Call Day, and we’re still going! Thank you America! #MAGA</t>
  </si>
  <si>
    <t>Well, now they're saying that I not only won the NBC Presidential Forum, but last night the big debate. Nice!</t>
  </si>
  <si>
    <t>Thank you for your endorsement, @GovernorSununu. #MAGA 
https://t.co/8BEeQPsuyd</t>
  </si>
  <si>
    <t>Such a great honor. Final debate polls are in - and the MOVEMENT wins!
#AmericaFirst #MAGA #ImWithYou… https://t.co/DV1BKMwHEM</t>
  </si>
  <si>
    <t>'U.S. Murders Increased 10.8% in 2015' via @WSJ: https://t.co/CIJMQJhLqp</t>
  </si>
  <si>
    <t>Thank you! #TrumpWon #MAGA 
https://t.co/a5rr1i38km</t>
  </si>
  <si>
    <t>Hillary's been failing for 30 years in not getting the job done - it will never change.</t>
  </si>
  <si>
    <t>'True blue-collar billionaire Donald Trump shows Hillary Clinton is out of touch' https://t.co/NHO1OicfVm</t>
  </si>
  <si>
    <t>The #1 trend on Twitter right now is #TrumpWon - thank you!</t>
  </si>
  <si>
    <t>I won every poll from last nights Presidential Debate - except for the little watched @CNN poll.</t>
  </si>
  <si>
    <t>'How Trump won over a bar full of undecideds and Democrats'
https://t.co/WWO39kxn8Y</t>
  </si>
  <si>
    <t>I really enjoyed the debate last night.Crooked Hillary says she is going to do so many things.Why hasn't she done them in her last 30 years?</t>
  </si>
  <si>
    <t>Great debate poll numbers - I will be on @foxandfriends at 7:00 to discuss. Enjoy!</t>
  </si>
  <si>
    <t>Thank you! Four new #DebateNight polls with the MOVEMENT winning. Together, we will MAKE AMERICA SAFE &amp;amp; GREAT AGAIN… https://t.co/39FCnUf8Pb</t>
  </si>
  <si>
    <t>.@DRUDGE_REPORT's First Presidential Debate Poll:
Trump: 80%
Clinton: 20%
Join the MOVEMENT today &amp;amp; lets #MAGA!… https://t.co/B12lgC97tn</t>
  </si>
  <si>
    <t>Thank you! CNBC #DebateNight poll with over 400,000 votes. 
Trump 61%
Clinton 39%
#AmericaFirst #ImWithYou… https://t.co/MJ3NwA98op</t>
  </si>
  <si>
    <t>TIME #DebateNight poll - over 800,000 votes. Thank you! 
#AmericaFirst #MAGA https://t.co/bTPX9E0wKu</t>
  </si>
  <si>
    <t>.@newtgingrich just said "a historic victory for Trump." NICE!</t>
  </si>
  <si>
    <t>Wow, did great in the debate polls (except for @CNN - which I don't watch). Thank you!</t>
  </si>
  <si>
    <t>Thank you Governor @TerryBranstad! 
#AmericaFirst #Debates2016 https://t.co/yIeZctdQy8</t>
  </si>
  <si>
    <t>Thank you Governor @Mike_Pence!
Lets MAKE AMERICA SAFE AND GREAT AGAIN with the American people. 
#AmericaFirst… https://t.co/6k7qP9X8nC</t>
  </si>
  <si>
    <t>Thank you Senator @TedCruz!
#Debates2016 #MAGA https://t.co/cgO6109USJ</t>
  </si>
  <si>
    <t>.@HillaryClinton’s Nuclear Agreement Paved The Way For The $400 Million Ransom Payment #DebateNight
https://t.co/qfZTx6aKYs</t>
  </si>
  <si>
    <t>Nothing on emails. Nothing on the corrupt Clinton Foundation. And nothing on #Benghazi. #Debates2016 #debatenight</t>
  </si>
  <si>
    <t>.@HillaryClinton - Obama #ISIS Strategy Has Allowed It To Expand To Become A Global Threat #DebateNight https://t.co/f7PctDE31L</t>
  </si>
  <si>
    <t>RT @TeamTrump: .@realDonaldTrump calling out @HillaryClinton's support for NAFTA = most searched moment during tonight's debate. #Debates20…</t>
  </si>
  <si>
    <t>Russia has more warheads than ever, N Korea is testing nukes, and Iran got a sweetheart deal to keep theirs. Thanks, @HillaryClinton.</t>
  </si>
  <si>
    <t>Hillary Clinton failed all over the world. 
❌LIBYA
❌SYRIA
❌IRAN
❌IRAQ
❌ASIA PIVOT
❌RUSSIAN RESET
❌BENGHAZI… https://t.co/OoakXs2rij</t>
  </si>
  <si>
    <t>RT @TeamTrump: 100% TRUE --&amp;gt; @realDonaldTrump is right - @HillaryClinton did call TPP ‘the gold standard’ #Debates2016 
https://t.co/W7L7a9…</t>
  </si>
  <si>
    <t>Hillary Clinton is the only candidate on stage who voted for the Iraq War. #Debates2016 #MAGA https://t.co/Um5WJXEEKr</t>
  </si>
  <si>
    <t>.@HillaryClinton's 2008 Campaign And Supporters Trafficked In Rumors About Obama's Heritage #DebateNight 
https://t.co/6EEOAaCiNv</t>
  </si>
  <si>
    <t>RT @TeamTrump: Hillary's policies have made America less safe, that's why 200+ general and military leaders have endorsed @realDonaldTrump!…</t>
  </si>
  <si>
    <t>RT @DanScavino: Jesse Jackson on @realDonaldTrump - when he donated space for the Rainbow/Push Coalition. 
#DebateNight https://t.co/JTbqO0…</t>
  </si>
  <si>
    <t>I will stand with police and protect ALL Americans! #Debates2016 #MAGA https://t.co/CX4oEWgEMp</t>
  </si>
  <si>
    <t>RT @TeamTrump: When @realDonaldTrump is POTUS, families are going to be safe and secure. Law and order will be RESTORED! #MAGA #Debates #De…</t>
  </si>
  <si>
    <t>RT @TeamTrump: WATCH: @realDonaldTrump on the stakes in this election #Debates2016 https://t.co/l7DSbPXDGh</t>
  </si>
  <si>
    <t>This is the simple fact about @HillaryClinton: she is a typical politician - all talk, no action. #Debates2016</t>
  </si>
  <si>
    <t>HILLARY'S BAD TAX HABIT! https://t.co/x3FBy8Hdq2</t>
  </si>
  <si>
    <t>A Clinton economy = more taxes and more spending! #DebateNight https://t.co/oFlaAhrwe5</t>
  </si>
  <si>
    <t>.@HillaryClinton has been part of the rigged DC system for 30 years? Why would we take policy advice from her? #Debates2016</t>
  </si>
  <si>
    <t>Instead of driving jobs and wealth away, AMERICA will become the world's great magnet for innovation and job creati… https://t.co/02NMQn3ZNQ</t>
  </si>
  <si>
    <t>.@HillaryClinton channels John Kerry on trade: she was for bad trade deals before she was against them. #TPP #Debates2016</t>
  </si>
  <si>
    <t>.@HillaryClinton and Obama policies increased debt by $9trillion over the last 8 years</t>
  </si>
  <si>
    <t>RT @TeamTrump: A @realDonaldTrump Administration will bring JOBS BACK! #Debates2016 https://t.co/4O3rIyycyW</t>
  </si>
  <si>
    <t>Why isn't Hillary Clinton 50 points ahead?
#DebateNight https://t.co/iux7icIkaT</t>
  </si>
  <si>
    <t>RT @DanScavino: Join @realDonaldTrump on his official social media platforms during tonight's debate ~ as @TeamTrump manages rapid response…</t>
  </si>
  <si>
    <t>My team of deplorables will be managing my Twitter account for this evenings debate. Tune in!
#DebateNight #TrumpPence16</t>
  </si>
  <si>
    <t>RT @KellyannePolls: #Polls showing @realDonaldTrump surging, @hillaryclinton #slipping, have HER camp on defense/lowering expectations, goi…</t>
  </si>
  <si>
    <t>New national Bloomberg poll just released - thank you! Join the MOVEMENT: https://t.co/3KWOl2ibaW. 
#TrumpTrain… https://t.co/xDGCwYVK0Q</t>
  </si>
  <si>
    <t>Really sad news: The great Arnold Palmer, the "King," has died. There was no-one like him - a true champion! He will be truly missed.</t>
  </si>
  <si>
    <t>Five people killed in Washington State by a Middle Eastern immigrant. Many people died this weekend in Ohio from drug overdoses. N.C. riots!</t>
  </si>
  <si>
    <t>Readout of my meeting with Israeli Prime Minister Benjamin Netanyahu:
https://t.co/VHuyE65hgi https://t.co/6KDPrQxSED</t>
  </si>
  <si>
    <t>Looking forward to my meeting with Benjamin Netanyahu in Trump Tower at 10:00 A.M.</t>
  </si>
  <si>
    <t>Bernie Sanders gave Hillary the Dem nomination when he gave up on the e-mails. That issue has only gotten bigger!</t>
  </si>
  <si>
    <t>Many on the team and staff of Bernie Sanders have been treated badly by the Hillary Clinton campaign - and they like Trump on trade, a lot!</t>
  </si>
  <si>
    <t>Thank you Roanoke, Virginia - this a MOVEMENT - join us today!
Sign up: https://t.co/NQEgRxQN2m
#AmericaFirst… https://t.co/Rz3DkpBQJu</t>
  </si>
  <si>
    <t>If dopey Mark Cuban of failed Benefactor fame wants to sit in the front row, perhaps I will put Gennifer Flowers right alongside of him!</t>
  </si>
  <si>
    <t>Will be back in Virginia tonight- for a 6pm rally at the Berglund Center in Roanoke. Join me! Tickets:… https://t.co/6pQMSgPWuN</t>
  </si>
  <si>
    <t>"@KellyannePolls: Trump is headed for a win, says professor who has predicted 30 years of presidential outcomes   https://t.co/68WEMcuHSO"</t>
  </si>
  <si>
    <t>The @SenTedCruz endorsement was a wonderful surprise. I greatly appreciate his support! We will have a tremendous victory on November 8th.</t>
  </si>
  <si>
    <t>Today is the day! Knock on doors and make calls with us on National Day of Action! #TrumpTrain #MAGA… https://t.co/4iW06ROvsT</t>
  </si>
  <si>
    <t>Crooked Hillary's bad judgement forced her to announce that she would go to Charlotte on Saturday to grandstand. Dem pols said no way, dumb!</t>
  </si>
  <si>
    <t>Join me in Roanoke, Virginia tomorrow at the Berglund Center- Coliseum ~ 6pm! Tickets available at:… https://t.co/bnEE6NX41Z</t>
  </si>
  <si>
    <t>'How Trump Would Stimulate the U.S. Economy'
https://t.co/jU3HHglnIu</t>
  </si>
  <si>
    <t>Hillary Clinton just lost every Republican she ever had, including Never Trump, all farmers &amp;amp; sm. biz, by saying she’ll tax estates at 65%.</t>
  </si>
  <si>
    <t>Tomorrow's the day! Knock on doors and make calls with us on National Day of Action! #TrumpTrain #MAGA… https://t.co/05NY0wJHkL</t>
  </si>
  <si>
    <t>RT @dcexaminer: EXCLUSIVE: How Donald Trump's 30 million followers are crashing the Internet https://t.co/hV2z4yrTU7 https://t.co/lWkjmdyQ7Q</t>
  </si>
  <si>
    <t>Spoke with Governor @PatMcCroryNC of North Carolina today. He is doing a tremendous job under tough circumstances.</t>
  </si>
  <si>
    <t>This is more than a campaign- it is a movement. #MakeAmericaGreatAgain
SIGN UP TODAY &amp;amp; WE WILL WIN! https://t.co/2XBs5SSRC3</t>
  </si>
  <si>
    <t>Join me in Roanoke, Virginia on Saturday evening at 6pm! #MAGA
https://t.co/uKG55Pznwu</t>
  </si>
  <si>
    <t>Will be on @foxandfriends now.</t>
  </si>
  <si>
    <t>I will be interviewed from Cleveland, Ohio, on @seanhannity - Tonight at 10:00 P.M. Enjoy!</t>
  </si>
  <si>
    <t>"@ThAllenSBoucher: @DiamondandSilk @realDonaldTrump @seanhannity I love those beautiful gals." D + S = Two amazing women!</t>
  </si>
  <si>
    <t>.@YoungDems4Trump  Thank you!</t>
  </si>
  <si>
    <t>Great new polls! Thank you Nevada, North Carolina &amp;amp; Ohio. Join the MOVEMENT today &amp;amp; lets #MAGA!… https://t.co/Y8Sb8MNyXA</t>
  </si>
  <si>
    <t>Thank you Toledo, Ohio! It is so important for you to get out and VOTE on November 8, 2016! Lets MAKE AMERICA SAFE… https://t.co/MQdp4GgLIE</t>
  </si>
  <si>
    <t>RT @GMA: WATCH: @IvankaTrump on "women who work;" empowering campaign celebrates modern women.  https://t.co/rMFe9o6WcL</t>
  </si>
  <si>
    <t>Hopefully the violence &amp;amp; unrest in Charlotte will come to an immediate end. To those injured, get well soon. We need unity &amp;amp; leadership.</t>
  </si>
  <si>
    <t>The situations in Tulsa and Charlotte are tragic. We must come together to make America safe again.</t>
  </si>
  <si>
    <t>It is a MOVEMENT - not a campaign. Leaving the past behind, changing our future. Together, we will MAKE AMERICA SAF… https://t.co/Lt2L3NKzyi</t>
  </si>
  <si>
    <t>Thank you Kenansville, North Carolina! Remember- on November 8th, that special interest gravy train is coming to a… https://t.co/AysJRMzvKw</t>
  </si>
  <si>
    <t>Thank you High Point, NC! I will fight for every neglected part of this nation &amp;amp; I will fight to bring us together… https://t.co/DSaUpSptBz</t>
  </si>
  <si>
    <t>Hillary Clinton is taking the day off again, she needs the rest. Sleep well Hillary - see you at the debate!</t>
  </si>
  <si>
    <t>Heading to North Carolina for two big rallies. Will be there soon. We will bring jobs back where they belong!</t>
  </si>
  <si>
    <t>Do people notice Hillary is copying my airplane rallies - she puts the plane behind her like I have been doing from the beginning.</t>
  </si>
  <si>
    <t>Thank you Nevada! #AmericaFirst
#MakeAmericaGreatAgain 
https://t.co/3KWOl2ibaW https://t.co/RJqHgq2Rn0</t>
  </si>
  <si>
    <t>Thank you Georgia! #AmericaFirst
#MakeAmericaGreatAgain 
https://t.co/3KWOl2ibaW https://t.co/y01qpON7h7</t>
  </si>
  <si>
    <t>Crooked Hillary has been fighting ISIS, or whatever she has been doing, for years. Now she has new ideas. It is time for change.</t>
  </si>
  <si>
    <t>Amazing rally in Florida - this is a MOVEMENT! Join us today at https://t.co/3KWOl2ibaW. https://t.co/BF1IqPXNho</t>
  </si>
  <si>
    <t>Together, we will MAKE AMERICA SAFE AND GREAT AGAIN! #ImWithYou #AmericaFirst https://t.co/XhwUGw0v2H</t>
  </si>
  <si>
    <t>I will be interviewed on the @oreillyfactor - tonight from Florida, now. Enjoy!</t>
  </si>
  <si>
    <t>Philly FOP Chief On Presidential Endorsement: Clinton ‘Blew The Police Off' https://t.co/ATBY343pS1</t>
  </si>
  <si>
    <t>Hillary Clinton's weakness while she was Secretary of State, has emboldened terrorists all over the world..cont: https://t.co/E5BdTiwlur</t>
  </si>
  <si>
    <t>Once again someone we were told is ok turns out to be a terrorist who wants to destroy our country &amp;amp; its people- how did he get thru system?</t>
  </si>
  <si>
    <t>Great job once again by law enforcement! We are proud of them and should embrace them - without them, we don't have a country!</t>
  </si>
  <si>
    <t>"@TarukMatuk: @CNN @FoxNews @realDonaldTrump @RogerRice10 Refugees from Syria over 10k plus more coming. Lots young males, poorly vetted.</t>
  </si>
  <si>
    <t>"@AngPiazza: @foxandfriends  @realDonaldTrump he's the ONLY candidate that will keep us safe!"</t>
  </si>
  <si>
    <t>Will be on @foxandfriends at 7:02 A.M.  Enjoy.</t>
  </si>
  <si>
    <t>Terrible attacks in NY, NJ and MN this weekend. Thinking of victims, their families and all Americans! We need to be strong!</t>
  </si>
  <si>
    <t>Under the leadership of Obama &amp;amp; Clinton, Americans have experienced more attacks at home than victories abroad. Time to change the playbook!</t>
  </si>
  <si>
    <t>HAPPY BIRTHDAY - to the United States Air Force!! https://t.co/5Gwi1M5R2t</t>
  </si>
  <si>
    <t>RT @KellyannePolls: more media #polls showing @realDonaldTrump ahead in states Pres Obama won twice. https://t.co/EGySAz6Am1</t>
  </si>
  <si>
    <t>I would like to express my warmest regards, best wishes and condolences to all of the families and victims of the horrible bombing in NYC.</t>
  </si>
  <si>
    <t>Never met but never liked dopey Robert Gates. Look at the mess the U.S. is in. Always speaks badly of his many bosses, including Obama.</t>
  </si>
  <si>
    <t>Heading to Colorado for a big rally. Massive crowd, great people! Will be there soon - the polls are looking good.</t>
  </si>
  <si>
    <t>My lawyers want to sue the failing @nytimes so badly for irresponsible intent. I said no (for now), but they are watching. Really disgusting</t>
  </si>
  <si>
    <t>The failing @nytimes has gone nuts that Crooked Hillary is doing so badly. They are willing to say anything, has become a laughingstock rag!</t>
  </si>
  <si>
    <t>Crazy Maureen Dowd, the wacky columnist for the failing @nytimes, pretends she knows me well--wrong!</t>
  </si>
  <si>
    <t>Wacky @NYTimesDowd, who hardly knows me, makes up things that I never said for her boring interviews and column. A neurotic dope!</t>
  </si>
  <si>
    <t>.@CNN just doesn't get it, and that's why their ratings are so low - and getting worse. Boring anti-Trump panelists, mostly losers in life!</t>
  </si>
  <si>
    <t>I never met former Defense Secretary Robert Gates. He knows nothing about me. But look at the results under his guidance - a total disaster!</t>
  </si>
  <si>
    <t>Crooked Hillary wants to take your 2nd Amendment rights away. Will guns be taken from her heavily armed Secret Service detail? Maybe not!</t>
  </si>
  <si>
    <t>My thoughts and prayers go out to the @PhillyPolice &amp;amp; @Penn police officers- in Philadelphia. https://t.co/eyC3W1mweY</t>
  </si>
  <si>
    <t>"Donald Trump’s birther event is the greatest trick he’s ever pulled"
https://t.co/zvVQnxeiQ9</t>
  </si>
  <si>
    <t>A very interesting take from @KatiePavlich: https://t.co/XaM9yEYCHL</t>
  </si>
  <si>
    <t>Just arrived in Texas - have been informed two @fortworthpd officers have been shot. My thoughts and prayers are with them.</t>
  </si>
  <si>
    <t>Just leaving Miami for Houston, Oklahoma and Colorado. Miami crowd was fantastic!</t>
  </si>
  <si>
    <t>Great parade in The Villages- I love you all. We will #MAGA. Thank you for the incredible support-I will not forget! https://t.co/5qTDijU3hn</t>
  </si>
  <si>
    <t>I am truly honored and grateful for receiving SO much support from our American heroes...https://t.co/S9bvbysiOr https://t.co/JJQncd3zhf</t>
  </si>
  <si>
    <t>I am now going to the brand new Trump International, Hotel D.C. for a major statement.</t>
  </si>
  <si>
    <t>Thank you for a great evening - Laconia, New Hampshire -- will be back soon! #AmericaFirst
https://t.co/3KWOl2ibaW https://t.co/QWbYm2lY7B</t>
  </si>
  <si>
    <t>"@AK_TWEET: #TheDonald's hair gets the #JimmyFallon treatment on #TheTonightShow #TrumpPence16 https://t.co/0RRPbfIgXH"  So true!</t>
  </si>
  <si>
    <t>"@jimmyfallon: Tonight: @realDonaldTrump, @normmacdonald, a performance by Kiiara,and your funniest #MyTeacherIsWeird tweets. #FallonTonight</t>
  </si>
  <si>
    <t>Instead of driving jobs and wealth away, AMERICA will become the WORLD'S great magnet for innovation &amp;amp; job creation! https://t.co/cvu20ZQSVJ</t>
  </si>
  <si>
    <t>Will be joining @jimmyfallon on @FallonTonight at 11:35pmE tonight. Enjoy!</t>
  </si>
  <si>
    <t>RT @EricTrump: What a scary statistic! Americans are working harder and making less! We need competent leadership! https://t.co/jcGCbVOf6v</t>
  </si>
  <si>
    <t>I will be interviewed by @jessebwatters on @oreillyfactor tonight at 8pm. Enjoy!</t>
  </si>
  <si>
    <t>Full transcript of economic plan- delivered to the Economic Club of New York. #MAGA https://t.co/xiu9AUiSSD https://t.co/Fsy1diPWjU</t>
  </si>
  <si>
    <t>Thank you @JerryJrFalwell! https://t.co/jzUQxkW4tB</t>
  </si>
  <si>
    <t>Thank you to all of our law enforcement officers - across America! #LESM #MAGA 
https://t.co/Mcbc2JzhN2 https://t.co/4MTmR8kXVb</t>
  </si>
  <si>
    <t>Thank you for having me! I enjoyed the tour and spending time with everyone. See you soon. #MAGA https://t.co/eNtS7IBPDo</t>
  </si>
  <si>
    <t>Will be on @foxandfriends at 7:00 A.M. Enjoy!</t>
  </si>
  <si>
    <t>"@ghfanlovessonny: @realDonaldTrump you have my vote in Pennsylvania. Trump 2016" Thank you!</t>
  </si>
  <si>
    <t>I was never a fan of Colin Powell after his weak understanding of weapons of mass destruction in Iraq = disaster. We can do much better!</t>
  </si>
  <si>
    <t>I will be interviewed on @foxandfriends tomorrow at 7am. Enjoy!</t>
  </si>
  <si>
    <t>Great poll out of Nevada- thank you! See you soon. #MAGA #AmericaFirst
https://t.co/3KWOl2ibaW https://t.co/27sR3MjjXc</t>
  </si>
  <si>
    <t>Great evening in Canton, Ohio-thank you! We are going to MAKE AMERICA GREAT AGAIN! Join us: 
https://t.co/3KWOl2ibaW https://t.co/4MvwUj9eX9</t>
  </si>
  <si>
    <t>Honor to have been interviewed by the very wonderful @bishopwtjackson in Detroit last week - tune in at 9pmE. Enjoy! https://t.co/9ahPnfhQ5N</t>
  </si>
  <si>
    <t>Thank you Ohio! Just landed in Canton for a rally at the Civic Center. Join me at 7pm: https://t.co/s0XVVNyBKf https://t.co/UtCRxykurW</t>
  </si>
  <si>
    <t>Thank you Florida- can't wait to see you Friday in Miami! Join me:
https://t.co/rsx313493u https://t.co/JxsWXz05T9</t>
  </si>
  <si>
    <t>Thank you @ATFD17! #ImWithYou
Video: https://t.co/z9Yg83VTF4</t>
  </si>
  <si>
    <t>Great poll Florida - thank you! 
#ImWithYou #AmericaFirst https://t.co/6Odle7j1hd</t>
  </si>
  <si>
    <t>Thank you Ohio - see you tonight! https://t.co/0DyHkzzWvj</t>
  </si>
  <si>
    <t>Russia took Crimea during the so-called Obama years. Who wouldn't know this and why does Obama get a free pass?</t>
  </si>
  <si>
    <t>Why isn't President Obama working instead of campaigning for Hillary Clinton?</t>
  </si>
  <si>
    <t>Thank you Rep. @CynthiaLummis!
https://t.co/4S4pnx4Q6r https://t.co/PLUKlsPXPR</t>
  </si>
  <si>
    <t>Thank you Rep. @MarshaBlackburn!
https://t.co/vxEk0X4ntS https://t.co/9gAk0FWqZ8</t>
  </si>
  <si>
    <t>Thank you @RepReneeEllmers!
https://t.co/1DrZpfa6je https://t.co/rzEw8pQhds</t>
  </si>
  <si>
    <t>RT @LouDobbs: Trump outlines new child-care policy proposals via the @FoxNews App @realDonaldTrump seems a candidate of destiny https://t.c…</t>
  </si>
  <si>
    <t>CHILD CARE REFORMS THAT WILL MAKE AMERICA GREAT AGAIN!
Transcript: https://t.co/rntyxBSb9J
https://t.co/5SWmxfVfto https://t.co/j389Quo4bg</t>
  </si>
  <si>
    <t>RT @IvankaTrump: Ivanka penned an Op-Ed that ran in the @WSJ this afternoon, read it here. https://t.co/3QE4nRXzLZ @realDonaldTrump https:/…</t>
  </si>
  <si>
    <t>#ImWithYou #AmericaFirst https://t.co/Ne4pI7FyU7</t>
  </si>
  <si>
    <t>RT @IvankaTrump: Ivanka is joining @realDonaldTrump to outline an innovative new child care policy to support American families. Tune in to…</t>
  </si>
  <si>
    <t>Thank you Clive, Iowa!
https://t.co/tuZ35BkD9J</t>
  </si>
  <si>
    <t>Join us today! Together, we will 
#MakeAmericaGreatAgain!
https://t.co/v40n8RXgti https://t.co/e3KQfBR2K8</t>
  </si>
  <si>
    <t>Heading to Iowa- join me today at noon! #MakeAmericaGreatAgain
Tickets: https://t.co/TEY6BbCyxt https://t.co/QyR2MDYYbZ</t>
  </si>
  <si>
    <t>Join me in Clive, Iowa tomorrow at noon! #AmericaFirst #MAGA
Tickets: https://t.co/TEY6BbCyxt https://t.co/l17uzRPyLs</t>
  </si>
  <si>
    <t>"@brimyers813: Saw ur speech on Twitter. U give me hope and optimism. I feel as though I am in the room with u. I pray 4 ur/our success."</t>
  </si>
  <si>
    <t>Just got back from Asheville,  North Carolina, where we had a massive rally. The spirit of the crowd was unbelievable. Thank you!  #MAGA</t>
  </si>
  <si>
    <t>Stopped by @TrumpDC to thank all of the tremendous men &amp;amp; women for their hard work! https://t.co/oGcJL4N454</t>
  </si>
  <si>
    <t>Will be on @CNBC at @7:22. Enjoy!</t>
  </si>
  <si>
    <t>I will be interviewed on @foxandfriends at 7:00 A.M.</t>
  </si>
  <si>
    <t>#NeverForget
https://t.co/G5TMAUzy0z</t>
  </si>
  <si>
    <t>The seriously failing @nytimes, despite so much winning and poll numbers that will soon put me in first place, only writes dishonest hits!</t>
  </si>
  <si>
    <t>Hillary Clinton just had her 47% moment. What a terrible thing she said about so many great Americans!</t>
  </si>
  <si>
    <t>RT @BarackObama: RT if you agree: We need a President who is fighting for all Americans, not one who writes off nearly half the country.</t>
  </si>
  <si>
    <t>While Hillary said horrible things about my supporters, and while many of her supporters will never vote for me, I still respect them all!</t>
  </si>
  <si>
    <t>Really sad that Republicans would allow themselves to be used in a Clinton ad. Lindsey Graham, Romney, Flake, Sass. SUPREME COURT, REMEMBER!</t>
  </si>
  <si>
    <t>Wow, Hillary Clinton was SO INSULTING to my supporters, millions of amazing, hard working people. I think it will cost her at the Polls!</t>
  </si>
  <si>
    <t>Will be in Missouri today with Melania for the funeral of a wonderful and truly respected woman, Phyllis S!</t>
  </si>
  <si>
    <t>"@Stvzbnk: Just Watched @tonyschwartz. Obviously Tony is a Total Whack Job @realDonaldTrump"</t>
  </si>
  <si>
    <t>Just returned from Pensacola, Florida, where the crowd was incredible.</t>
  </si>
  <si>
    <t>I havn't seen @tonyschwartz in many years, he hardly knows me. Never liked his style. Super lib, Crooked H supporter. Irrelevant dope!</t>
  </si>
  <si>
    <t>Dummy writer @tonyschwartz, who wanted to do a second book with me for years (I said no), is now a hostile basket case who feels jilted!</t>
  </si>
  <si>
    <t>Thank you Florida - we are going to MAKE AMERICA GREAT AGAIN! Join us: https://t.co/3KWOl2ibaW. 
#AmericaFirst https://t.co/vzKtRxzvwv</t>
  </si>
  <si>
    <t>Will be delivering a major speech tonight - live on @oreillyfactor at 8:10pm from Pensacola, Florida.</t>
  </si>
  <si>
    <t>Thank you Ohio. Together, we will MAKE AMERICA GREAT AGAIN!
https://t.co/3KWOl20zMm https://t.co/n026nE4XIp</t>
  </si>
  <si>
    <t>Great honor to be endorsed by popular &amp;amp; successful @gov_gilmore of VA. A state that I very much want to win-THX Jim! https://t.co/x4Y1TAFHvn</t>
  </si>
  <si>
    <t>MAKE AMERICA GREAT AGAIN!
#AmericaFirst #ImWithYou https://t.co/JIlNW7myEN</t>
  </si>
  <si>
    <t>Henry McMaster, Lt. Governor of South Carolina who endorsed me, beat failed @CNN announcer Bakari Sellers, so badly. Funny!</t>
  </si>
  <si>
    <t>RT @EricTrump: Join @TeamTrump on Saturday for National Day of Action as we work to #MakeAmericaGreatAgain! https://t.co/hyclkzPoBR https:/…</t>
  </si>
  <si>
    <t>Jeff Zucker failed @NBC and he is now failing @CNN.</t>
  </si>
  <si>
    <t>.@CNN is unwatchable. Their news on me is fiction. They
are a disgrace to the broadcasting industry and an arm of the Clinton campaign.</t>
  </si>
  <si>
    <t>The documentary of me that @CNN just aired is a total waste of time. I don't even know many of the people who spoke about me. A joke!</t>
  </si>
  <si>
    <t>Final poll results from NBC on last nights Commander-in-Chief Forum. Thank you! #ImWithYou #MAGA https://t.co/C5ipaxUN7B</t>
  </si>
  <si>
    <t>It wasn't Matt Lauer that hurt Hillary last night. It was her very dumb answer about emails &amp;amp; the veteran who said she should be in jail.</t>
  </si>
  <si>
    <t>More poll results from last nights Commander-in-Chief Forum. 
#AmericaFirst #TrumpTrain https://t.co/FxyBL6fO1h</t>
  </si>
  <si>
    <t>Last nights results - in poll taken by NBC. #AmericaFirst #ImWithYou https://t.co/sCOnny1fl3</t>
  </si>
  <si>
    <t>With Luis, Mexico and the United States would have made wonderful deals together - where both Mexico and the US would have benefitted.</t>
  </si>
  <si>
    <t>Mexico has lost a brilliant finance minister and wonderful man who I know is highly respected by President Peña Nieto.</t>
  </si>
  <si>
    <t>Hillary Clinton answered email questions differently last night than she has in the past. She is totally confused. Unfit to serve as #POTUS.</t>
  </si>
  <si>
    <t>Hillary just gave a disastrous news conference on the tarmac to make up for poor performance last night. She's being decimated by the media!</t>
  </si>
  <si>
    <t>RT @DanScavino: Last nights winner was clear &amp;amp; it will be proven time &amp;amp; time again - lets #MAGA!! Lets WIN!! #TrumpTrain https://t.co/sGqp9…</t>
  </si>
  <si>
    <t>"A rough night for Hillary Clinton"  ABC News.</t>
  </si>
  <si>
    <t>Wow, reviews are in - THANK YOU!</t>
  </si>
  <si>
    <t>COMING UP @GenFlynn @newtgingrich on @foxandfriends</t>
  </si>
  <si>
    <t>Thank you to @foxandfriends for the nice reviews of last night.</t>
  </si>
  <si>
    <t>Thank you America - great #CommanderInChiefForum polls! https://t.co/Rcu6KaRGCB</t>
  </si>
  <si>
    <t>Thank you to our fantastic veterans. The reviews and polls from almost everyone of my Commander-in-Chief presentation were great. Nice!</t>
  </si>
  <si>
    <t>Thank you Peter - if elected, I will think big for our country &amp;amp; never let the American people down! #AmericaFirst https://t.co/6Nwu7EMJ9d</t>
  </si>
  <si>
    <t>Wow - thank you Pensacola, FL. See you Friday at 7pm -- join me!
https://t.co/JCO7Za78tV https://t.co/LYmpRyY0Hq</t>
  </si>
  <si>
    <t>#AmericaFirst! https://t.co/fQGxwAjXD7</t>
  </si>
  <si>
    <t>'Donald Trump leads Hillary Clinton by 19 points among military, veteran voters: poll' #AmericaFirst #MAGA
https://t.co/5FmxGtLkwt</t>
  </si>
  <si>
    <t>"@adhd_fa:Kudos to @PARISDENNARD for standing up to CNN's attempt to bully you and shout you down for defending @realDonaldTrump #media bias</t>
  </si>
  <si>
    <t>I will be interviewed on @oreillyfactor tonight at 11pmE @FoxNews. Enjoy!</t>
  </si>
  <si>
    <t>Thank you North Carolina- get out &amp;amp; #VoteTrump on 11/8/2016!
#MakeAmericaGreatAgain https://t.co/HX2LRYs4Vq</t>
  </si>
  <si>
    <t>Great meeting with military spouses in Virginia- joined by @IvankaTrump, @LaraLeaTrump, @GenFlynn &amp;amp; @MayorRGiuliani. https://t.co/00GNH9nLet</t>
  </si>
  <si>
    <t>Thank you to all of our amazing military families, service members, and veterans. #ImWithYou https://t.co/RmQJt0Wxcq</t>
  </si>
  <si>
    <t>Join me in Pensacola, Florida this Friday at 7pm! #VoteTrump 
https://t.co/L8Ui56dcrJ https://t.co/0ciDCuoFeO</t>
  </si>
  <si>
    <t>Thank you! #VoteTrump #ImWithYou https://t.co/SCEq9LqTTj</t>
  </si>
  <si>
    <t>Mainstream media never covered Hillary’s massive “hacking”
or coughing attack, yet it is #1 trending. What’s up?</t>
  </si>
  <si>
    <t>"@Ler: Message for undecided voters: Please wake up and vote DonaldTrump now! Trump/Pence very important save our America before too late!"</t>
  </si>
  <si>
    <t>Thank you! #AmericaFirst https://t.co/6v4C8ykDVl</t>
  </si>
  <si>
    <t>As a tribute to the late, great Phyllis Schlafly, I hope everybody can go out and get her latest book, THE CONSERVATIVE CASE FOR TRUMP.</t>
  </si>
  <si>
    <t>China wouldn't provide a red carpet stairway from Air Force One and then Philippines President calls Obama "the son of a whore." Terrible!</t>
  </si>
  <si>
    <t>The truly great Phyllis Schlafly, who honored me with her strong endorsement for president, has passed away at 92. She was very special!</t>
  </si>
  <si>
    <t>Thank you Ohio! #AmericaFirst https://t.co/p68GAJdhwu</t>
  </si>
  <si>
    <t>Heading to Youngstown, Ohio now- some great polls. #AmericaFirst https://t.co/cGwDLSOFUt</t>
  </si>
  <si>
    <t>Thank you American Legion Post 610- for hosting @Mike_Pence &amp;amp; I for a roundtable with labor leaders. #LaborDay #MAGA https://t.co/r0cwJlV38L</t>
  </si>
  <si>
    <t>#LaborDay #AmericaFirst
Video: https://t.co/RNl7cfzkmN https://t.co/ZqRtbV4KRI</t>
  </si>
  <si>
    <t>Can you believe that the Chinese would not give Obama the proper stairway to get off his plane - fight on tarmac! https://t.co/FAldS5zZi5</t>
  </si>
  <si>
    <t>President Obama &amp;amp; Putin fail to reach deal on Syria - so what else is new? Obama is not a natural deal maker. Only makes bad deals!</t>
  </si>
  <si>
    <t>"@OSPREY675: @Miami4Trump I followed you because you are a patriot &amp;amp; support @realDonaldTrump, as do I. #MAGA by sticking together.</t>
  </si>
  <si>
    <t>"@tweak626: I'm at a biker rally in Perry, Kansas...and everyone is a @realDonaldTrump fan. Love it."</t>
  </si>
  <si>
    <t>"@ronnieclemmons: @ChrisCJackson @TakouiS @realDonaldTrump  Trump now leads her by 2 - get real, she will lose big"</t>
  </si>
  <si>
    <t>"@lblackvelvet: @realDonaldTrump We need to show Americans that Hillary will KILL our Country !! Vote for Trump !!"</t>
  </si>
  <si>
    <t>"@CherNuna: @realDonaldTrump It defies belief the Web of Lies Hillary is spinning! One excuse after another. Then it's this, then it's that.</t>
  </si>
  <si>
    <t>Lyin' Hillary Clinton told the FBI that she did not know the "C" markings on documents stood for CLASSIFIED. How can this be happening?</t>
  </si>
  <si>
    <t>To the African-American community: The Democrats have failed you for fifty years, high crime, poor schools, no jobs. I will fix it, VOTE "T"</t>
  </si>
  <si>
    <t>The polls are close so Crooked Hillary is getting out of bed and will campaign tomorrow.Why did she hammer 13 devices and acid-wash e-mails?</t>
  </si>
  <si>
    <t>The Great State of Arizona, where I just had a massive rally (amazing people), has a very weak and ineffective Senator, Jeff Flake. Sad!</t>
  </si>
  <si>
    <t>The Republican Party needs strong and committed leaders, not weak people such as @JeffFlake, if it is going to stop illegal immigration.</t>
  </si>
  <si>
    <t>RT @DanScavino: Doesn't fit the MSM narrative - so they wont share what @realDonaldTrump did for Jesse Jackson in 1999 - so I will! https:/…</t>
  </si>
  <si>
    <t>"@AnneBellar: @realDonaldTrump @CNN CNN is so biased. Never ever watch them. Trump 2016!!"</t>
  </si>
  <si>
    <t>Crooked Hillary's V.P. pick said this morning that I was not aware that Russia took over Crimea. A total lie - and taken over during O term!</t>
  </si>
  <si>
    <t>Wow, the failing @nytimes has not reported properly on Crooked's FBI release. They are at the back of the pack - no longer a credible source</t>
  </si>
  <si>
    <t>.@CNN is so disgusting in their bias, but they are having a hard time promoting Crooked Hillary in light of the new e-mail scandals.</t>
  </si>
  <si>
    <t>Great visit to Detroit church, fantastic reception, and all @CNN talks about is a small protest outside. Inside a large and wonderful crowd!</t>
  </si>
  <si>
    <t>I am returning to the Pensacola Bay Center in Florida- Friday, 9/9/16 at 7pm. Join me! https://t.co/L8Ui56dcrJ https://t.co/wAePlfS0JL</t>
  </si>
  <si>
    <t>Thank you Great Faith Ministries International, Bishop Wayne T. Jackson, and Detroit!
https://t.co/4Ucx678ZCC</t>
  </si>
  <si>
    <t>#ImWithYou https://t.co/I8dHzezmY4</t>
  </si>
  <si>
    <t>#AmericaFirst #ImWithYou https://t.co/Gtl7DyQkzt</t>
  </si>
  <si>
    <t>Great new poll Iowa - thank you!
#MakeAmericaGreatAgain #ImWithYou https://t.co/7hupah1RQN</t>
  </si>
  <si>
    <t>I visited our Trump Tower campaign headquarters last night, after returning from Ohio and Arizona, and it was packed with great pros - WIN!</t>
  </si>
  <si>
    <t>People will be very surprised by our ground game on Nov. 8. We have an army of volunteers and people with GREAT SPIRIT! They want to #MAGA!</t>
  </si>
  <si>
    <t>Just heard that crazy and very dumb @morningmika had a mental breakdown while talking about me on the low ratings @Morning_Joe. Joe a mess!</t>
  </si>
  <si>
    <t>I will be interviewed by @ericbolling tonight at 8pm on the @oreillyfactor. Enjoy!</t>
  </si>
  <si>
    <t>I am promising you a new legacy for America. We're going to create a new American future. Thank you OHIO! #ImWithYou https://t.co/TUgccsxvoy</t>
  </si>
  <si>
    <t>Thank you for having me this morning @AmericanLegion. I enjoyed my time with everyone! #ALConvention2016 https://t.co/19TZEi6EbB</t>
  </si>
  <si>
    <t>Poll numbers way up - making big progress!</t>
  </si>
  <si>
    <t>Thank you to @foxandfriends for the great review of the speech on immigration last night. Thank you also to the great people of Arizona!</t>
  </si>
  <si>
    <t>Mexico will pay for the wall!</t>
  </si>
  <si>
    <t>Under a Trump administration, it's called #AmericaFirst! #ImWithYou
https://t.co/QfHfCQg0Wa</t>
  </si>
  <si>
    <t>Hillary Clinton doesn't have the strength or the stamina to MAKE AMERICA GREAT AGAIN! #AmericaFirst
https://t.co/G1MuLrjhW9</t>
  </si>
  <si>
    <t>There will be no amnesty!
#MakeAmericaGreatAgain #ImWithYou
https://t.co/vVhzSdCblA</t>
  </si>
  <si>
    <t>Mexico will pay for the wall - 100%!
#MakeAmericaGreatAgain #ImWithYou
https://t.co/pSFuPZz0xP</t>
  </si>
  <si>
    <t>RT @LouDobbs: We are Watching A Leader Who for the First Time in Three Presidencies Will Put America and Americans First! @realDonaldTrump…</t>
  </si>
  <si>
    <t>RT @AnnCoulter: I hear Churchill had a nice turn of phrase, but Trump's immigration speech is the most magnificent speech ever given.</t>
  </si>
  <si>
    <t>Just arrived in Arizona! #ImWithYou
https://t.co/MT3wW61YS5</t>
  </si>
  <si>
    <t>Great trip to Mexico today  - wonderful leadership and high quality people! Look forward to our next meeting.</t>
  </si>
  <si>
    <t>Hillary Clinton didn't go to Louisiana, and now she didn't go to Mexico. She doesn't have the drive or stamina to MAKE AMERICA GREAT AGAIN!</t>
  </si>
  <si>
    <t>Former President Vicente Fox, who is railing against my visit to Mexico today, also invited me when he apologized for using the "f bomb."</t>
  </si>
  <si>
    <t>Thank you Washington! Together, WE will MAKE AMERICA SAFE AND GREAT AGAIN! #ImWithYou #AmericaFirst https://t.co/CWDQnISYH4</t>
  </si>
  <si>
    <t>I have accepted the invitation of President Enrique Pena Nieto, of Mexico, and look very much forward to meeting him tomorrow.</t>
  </si>
  <si>
    <t>RT @RSBNetwork: We are ALREADY LIVE in Everett, WA for the Trump Rally. Come join us- our cameras tonight! #TrumpinEverett 
https://t.co/R…</t>
  </si>
  <si>
    <t>RT @DRUDGE_REPORT: REUTERS POLL:  CLINTON, TRUMP ALL TIED UP... https://t.co/htCXcTA5T7</t>
  </si>
  <si>
    <t>Thank you North Carolina! #MAGA https://t.co/1oWrFnHe0u</t>
  </si>
  <si>
    <t>Thank you America! #MAGA
https://t.co/FljBVvbwKr https://t.co/ePJW9jLckM</t>
  </si>
  <si>
    <t>"@meequalsfree: Looking forward to seeing you again! Everett to be a packed house! @realDonaldTrump  @mike_pence"</t>
  </si>
  <si>
    <t>From day one I said that I was going to build a great wall on the SOUTHERN BORDER, and much more. Stop illegal immigration. Watch Wednesday!</t>
  </si>
  <si>
    <t>Join me this Thursday in Wilmington, Ohio at noon! #ImWithYou
Tickets: https://t.co/66bfVtIwf1 https://t.co/fDAJl5wVGe</t>
  </si>
  <si>
    <t>Join me this Wednesday in Phoenix, Arizona at 6pm! #ImWithYou
Tickets: https://t.co/1jATILh2k7 https://t.co/VwKnxo1TNQ</t>
  </si>
  <si>
    <t>#MakeAmericaGreatAgain #ImWithYou https://t.co/IoYMdjvWHf</t>
  </si>
  <si>
    <t>We will repeal and replace the horrible disaster known as #Obamacare! https://t.co/YzRTPrqrNC</t>
  </si>
  <si>
    <t>#CrookedHillary https://t.co/vXhcC8PaPy</t>
  </si>
  <si>
    <t>Now that African-Americans are seeing what a bad job Hillary type policy and management has done to the inner-cities, they want TRUMP!</t>
  </si>
  <si>
    <t>Crooked Hillary's brainpower is highly overrated.Probably why her decision making is so bad or, as stated by Bernie S, she has BAD JUDGEMENT</t>
  </si>
  <si>
    <t>Does anyone know that Crooked Hillary, who tried so hard, was unable to pass the Bar Exams in Washington D.C. She was forced to go elsewhere</t>
  </si>
  <si>
    <t>"@PMNOrlando: @realDonaldTrump I know of NO ONE voting for Crooked Hillary! Her rallies are held in (blank)  &amp;amp; she still has room.</t>
  </si>
  <si>
    <t>"@RhondaR: Thank-You Clarence Henderson for telling @cnn you know racism &amp;amp; it's not DonaldTrump https://t.co/fSBPxZU8Gu via @BreitbartNews"</t>
  </si>
  <si>
    <t>"@Patrici: Crowd at Trump Rally in Akron, Ohio is a Sea of Women, Minorities, Independents, Dems https://t.co/wm7HV8WPGk via @gatewaypundit</t>
  </si>
  <si>
    <t>Inner-city crime is reaching record levels. African-Americans will vote for Trump because they know I will stop the slaughter going on!</t>
  </si>
  <si>
    <t>Look how bad it is getting! How much more crime, how many more shootings, will it take for African-Americans and Latinos to vote Trump=SAFE!</t>
  </si>
  <si>
    <t>I will be making a major speech on ILLEGAL IMMIGRATION on Wednesday in the GREAT State of Arizona. Big crowds, looking for a larger venue.</t>
  </si>
  <si>
    <t>I think that both candidates, Crooked Hillary and myself, should release detailed medical records. I have no problem in doing so! Hillary?</t>
  </si>
  <si>
    <t>Today is the 53rd anniversary of the March on Washington - today we honor the enduring fight for justice, equality and opportunity.</t>
  </si>
  <si>
    <t>RT @FoxNews: Poll: @realDonaldTrump vs. @HillaryClinton among white Evangelicals. https://t.co/6ohwIh1Q24</t>
  </si>
  <si>
    <t>Thank you Arizona! #VoteTrump https://t.co/v8VLxdd0fO</t>
  </si>
  <si>
    <t>Join me Tuesday in Everett, Washington at the Xfinity Arena! Tickets: https://t.co/ABQGySdcYt https://t.co/sn08gnd0lq</t>
  </si>
  <si>
    <t>"@LindaHarden: @realDonaldTrump America loves Trump and @mike_pence -- praying for you every day. Stay strong. #TrumpPence2016 #NeverHillary</t>
  </si>
  <si>
    <t>NATIONAL DEBT 
January 2009 = $10.6 TRILLION
August 2016 = $19.4 TRILLION https://t.co/dKAVaLfGAJ</t>
  </si>
  <si>
    <t>It was an honor to have the amazing Root family join me in Iowa. I have been so inspired by their courage &amp;amp; bravery. https://t.co/P4qVGGUYVZ</t>
  </si>
  <si>
    <t>Thank you Iowa! #ImWithYou https://t.co/3BIF6jBTkk</t>
  </si>
  <si>
    <t>Just landed in Iowa to attend a great event in honor of wonderful Senator @JoniErnst. Look forward to being with all of my friends.</t>
  </si>
  <si>
    <t>My condolences to Dwyane Wade and his family, on the loss of Nykea Aldridge. They are in my thoughts and prayers.</t>
  </si>
  <si>
    <t>Dwyane Wade's cousin was just shot and killed walking her baby in Chicago. Just what I have been saying. African-Americans will VOTE TRUMP!</t>
  </si>
  <si>
    <t>"@GoldJazz559: #BlackMenForBernie Leader: #Hillary2016 ‘No Regard For Black Race’ https://t.co/m8952Ly3Jb via @dailycaller #BlacksForTrump</t>
  </si>
  <si>
    <t>"@DiamondandSilk: Crooked Hillary getting desperate. On TV bashing Trump. @CNN, she forgot how she said a KKK member was her mentor.</t>
  </si>
  <si>
    <t>Heroin overdoses are taking over our children and others in the MIDWEST. Coming in from our southern border. We need strong border &amp;amp; WALL!</t>
  </si>
  <si>
    <t>New polls - join the MOVEMENT today.
https://t.co/3KWOl20zMm #ImWithYou https://t.co/numII7W99T</t>
  </si>
  <si>
    <t>Join us via our new #AmericaFirst APP! #TrumpPence16 https://t.co/FccLQSCkDY https://t.co/0angXB2BrI</t>
  </si>
  <si>
    <t>Will be in Phoenix, Arizona on Wednesday. Changing venue to much larger one. Demand is unreal. Polls looking great! #ImWithYou</t>
  </si>
  <si>
    <t>Thank you @TeamTrump Florida. Keep me updated, and lets get those 100,000 registered voters!
#MakeAmericaGreatAgain  https://t.co/lseAAqxjA9</t>
  </si>
  <si>
    <t>I will be interviewed by @kimguilfoyle 
at 7pm on @FoxNews. #Enjoy!</t>
  </si>
  <si>
    <t>Army training slide lists Hillary Clinton as insider threat: https://t.co/CQTSo2ETJF</t>
  </si>
  <si>
    <t>Meet the ‘Trumpocrats’: Lifelong Democrats Breaking w/ Party Over Hillary to Support Donald Trump for President: https://t.co/g2N3JJWV8a</t>
  </si>
  <si>
    <t>"Hillary Clinton Deleted Emails Using Program Intended To Prevent Recovery" #CrookedHillary https://t.co/D0MeBJXBwN</t>
  </si>
  <si>
    <t>How quickly people forget that Crooked Hillary called African-American youth "SUPER PREDATORS" - Has she apologized?</t>
  </si>
  <si>
    <t>I am very proud to have brought the subject of illegal immigration back into the discussion. Such a big problem for our country-I will solve</t>
  </si>
  <si>
    <t>Wonderful @pastormarkburns was attacked viciously and unfairly on @MSNBC by crazy @morningmika on low ratings @Morning_Joe. Apologize!</t>
  </si>
  <si>
    <t>What do African-Americans and Hispanics have to lose by going with me. Look at the poverty, crime and educational statistics. I will fix it!</t>
  </si>
  <si>
    <t>Crooked Hillary will NEVER be able to solve the problems of poverty, education and safety within the African-American &amp;amp; Hispanic communities</t>
  </si>
  <si>
    <t>The Clinton's are the real predators...
https://t.co/Fr0gFtZVVz</t>
  </si>
  <si>
    <t>"@Lewenskimo: Your opponent has run out of ideas, now resorts to personal attacks on you. Every Amercan knows, you represent HOPE!!"</t>
  </si>
  <si>
    <t>"Hillary Clinton needs to address the racist undertones of her 2008 campaign." #FlashbackFriday https://t.co/MJQp0rcnzH</t>
  </si>
  <si>
    <t>"@DonaldJTrumpJr: Company Gouging Price Of EpiPens Is A Clinton Foundation Donor And Partner https://t.co/HHlNGnlGMN via dailycaller"</t>
  </si>
  <si>
    <t>"@foxnation: Flashback: Hillary Clinton Praised Former KKK Member Robert Byrd as 'Friend and Mentor': https://t.co/e0Hb2rLb1X"</t>
  </si>
  <si>
    <t>CLINTON CORRUPTION AND HER SABOTAGE OF THE INNER CITIES. 
Full speech transcript: https://t.co/npswT6lbg3</t>
  </si>
  <si>
    <t>Hillary Clinton only knows how to make a speech when it is a hit on me. No policy, and always very short (stamina). Media gives her a pass!</t>
  </si>
  <si>
    <t>HRC is using the oldest play in the Dem playbook- when their policies fail, they are left w/this one tired argument!
https://t.co/FNbCMmwLTn</t>
  </si>
  <si>
    <t>Hillary Clinton is using race-baiting to try to get African-American voters- but they know she is all talk and NO ACTION!</t>
  </si>
  <si>
    <t>Hillary Clinton's short speech is pandering to the worst instincts in our society. She should be ashamed of herself!</t>
  </si>
  <si>
    <t>Just watched recap of #CrookedHillary's speech. Very short and lies. She is the only one fear-mongering!</t>
  </si>
  <si>
    <t>So many in the African-American community are doing so badly, poverty and crime way up, employment and jobs way down: I will fix it, promise</t>
  </si>
  <si>
    <t>Poll numbers are starting to look very good. Leading in Florida @CNN Arizona and big jump in Utah. All numbers rising, national way up. Wow!</t>
  </si>
  <si>
    <t>"@Trump_Videos: .@Nigel_Farage of the #brexit fame - We CAN do this! We can #MAGA with @realDonaldTrump https://t.co/1qyuc8ZykJ"</t>
  </si>
  <si>
    <t>Thoughts and prayers to the great people of Indiana. You will prevail!</t>
  </si>
  <si>
    <t>Great Governor @Mike_Pence is in Indiana to help lead the relief efforts after tornadoes struck. True leadership.</t>
  </si>
  <si>
    <t>Will be on #Hannity @ 10pE @FoxNews- discussing various subjects including immigration-if elected, we will #BuildTheWall &amp;amp; enforce our laws!</t>
  </si>
  <si>
    <t>Thank you for your support!
#AmericaFirst #ImWithYou https://t.co/N8FShwYt2g</t>
  </si>
  <si>
    <t>A great afternoon in Tampa, Florida. Thank you! #TrumpPence16 https://t.co/K5MBAcnfR1</t>
  </si>
  <si>
    <t>New national poll released. Join the MOVEMENT &amp;amp; together we will #MakeAmericaGreatAgain! 
https://t.co/3KWOl2ibaW https://t.co/rnU1fkn274</t>
  </si>
  <si>
    <t>Great new poll Florida - thank you! #MakeAmericaGreatAgain https://t.co/7TKpe388Bc</t>
  </si>
  <si>
    <t>I will not let the families of The Remembrance Project down! 
#MakeAmericaSafeAgain
https://t.co/EMuSftG6RP
https://t.co/FHPR44WixX</t>
  </si>
  <si>
    <t>My thoughts and prayers are with the victims and families of those affected by two powerful earthquakes in Italy and Myanmar.</t>
  </si>
  <si>
    <t>Thank you Travis County, Texas!
#MakeAmericaGreatAgain https://t.co/ZBnYzNb0eo</t>
  </si>
  <si>
    <t>Will be participating in a Town Hall tonight on @SeanHannity at 10pmE from Austin, Texas. Enjoy! https://t.co/8ZBneb0pGk</t>
  </si>
  <si>
    <t>In Austin, Texas with some of our amazing Border Patrol Agents. I will not let them down! https://t.co/U28HNPtjm9 https://t.co/7ImVH69fNb</t>
  </si>
  <si>
    <t>Join me in Tampa, Florida- tomorrow at 1pmE! Tickets: https://t.co/iwEAiWKgtR https://t.co/lLyaW6nxsP</t>
  </si>
  <si>
    <t>President Obama should have gone to Louisiana days ago, instead of golfing. Too little, too late!</t>
  </si>
  <si>
    <t>Hillary Clinton strongly stated  that there was "absolutely no connection" between her private work and that of The State Department. LIE!</t>
  </si>
  <si>
    <t>It is being reported by virtually everyone, and is a fact,  that the media pile on against me is the worst in American political history!</t>
  </si>
  <si>
    <t>I am now in Texas doing a big fundraiser for the Republican Party and a @FoxNews Special on the BORDER and with victims of border crime!</t>
  </si>
  <si>
    <t>The @WashingtonPost quickly put together a hit job book on me- comprised of copies of some of their inaccurate stories. Don't buy, boring!</t>
  </si>
  <si>
    <t>.@AnnCoulter's new book, 'In Trump We Trust, comes out tomorrow. People are saying it's terrific - knowing Ann I am sure it is!</t>
  </si>
  <si>
    <t>Just leaving Akron, Ohio, after a packed rally. Amazing people! Going now to Texas.</t>
  </si>
  <si>
    <t>Great meeting with active &amp;amp; retired law enforcement officers- at the Fraternal Order of Police lodge in Akron, Ohio. https://t.co/EUWhDC644R</t>
  </si>
  <si>
    <t>Statement on Clinton Foundation:
https://t.co/2twuzrB9om</t>
  </si>
  <si>
    <t>Will be interviewed on @foxandfriends at 8:30 A.M. Eastern. ENJOY!</t>
  </si>
  <si>
    <t>Some day, when things calm down, I'll tell the real story of @JoeNBC and his very insecure long-time girlfriend, @morningmika. Two clowns!</t>
  </si>
  <si>
    <t>Tried watching low-rated @Morning_Joe this morning,  unwatchable! @morningmika is off the wall, a neurotic and not very bright mess!</t>
  </si>
  <si>
    <t>"@realbill2016: @realDonaldTrump @Brainykid2010 @shl Trump leading LA Times poll https://t.co/908uLXCIWz"</t>
  </si>
  <si>
    <t>"@Brainykid2010: @shl @realDonaldTrump The ad was actually very good!"</t>
  </si>
  <si>
    <t>"@55Lidsville:  #TeamTrump @KellyannePolls You need to show the crowds at the rallies use Periscope! Show HC's 139 YT viewers vs DT 38K"</t>
  </si>
  <si>
    <t>"@SinAbunz_TM: @realDonaldTrump TRUMP VICTORY IN NOVEMBER!  #MAGA #TrumpPence16"</t>
  </si>
  <si>
    <t>"@Jimbos2002:  @Morning_Joe Video: Hillary referring to blacks as super predators that need to be brought to heel. https://t.co/pMIHWayMRw"</t>
  </si>
  <si>
    <t>I heard that @Morning_Joe was very nice on Friday but that little Donny D, a big failure in TV (&amp;amp; someone I helped), was nasty. Irrelevant!</t>
  </si>
  <si>
    <t>Crooked Hillary is flooding the airwaves with false and misleading ads - all paid for by her bosses on Wall Street. Media is protecting her!</t>
  </si>
  <si>
    <t>I have been drawing very big and enthusiastic crowds, but the media refuses to show or discuss them. Something very big is happening!</t>
  </si>
  <si>
    <t>Together, we are going to MAKE AMERICA SAFE AND GREAT AGAIN!
https://t.co/pUtN4kFhDK</t>
  </si>
  <si>
    <t>"@EyeCandyTMGayle: @realDonaldTrump please oh please take the CHARLOTTE NC speech ACROSS the swing states .... sooo powerful"  Good!</t>
  </si>
  <si>
    <t>"@J58golf: @realDonaldTrump been a great week. More of the same will get you in the white house!"</t>
  </si>
  <si>
    <t>We will bring America together as ONE country again – united as Americans in common purpose and common dreams. #MAGA</t>
  </si>
  <si>
    <t>Will be back soon Virginia. We are going to MAKE AMERICA GREAT AGAIN! #TrumpPence16 https://t.co/IU4JPSi0rZ</t>
  </si>
  <si>
    <t>Will be interviewed on @JudgeJeanine at 9:00 P.M. Enjoy!</t>
  </si>
  <si>
    <t>Just leaving Virginia - really big crowd, great enthusiasm!</t>
  </si>
  <si>
    <t>Thank you @JerryJrFalwell- will see you soon. #TrumpPence16 
https://t.co/epfSJckcKq</t>
  </si>
  <si>
    <t>"@CatOnGlass: 200,000 new followers for @realDonaldTrump. From 10,800,000 to 11,000,000, All in the last ten days or so! #MAGA #AlwaysTrump</t>
  </si>
  <si>
    <t>.@Franklin_Graham @BillyNungesser @SamaritansPurse- so humbled by my time w/ you. You are in our thoughts &amp;amp; prayers. https://t.co/I6xGsEzlwv</t>
  </si>
  <si>
    <t>We are one nation. When one hurts, we all hurt. We must all work together-to lift each other up.
#StandWithLouisiana https://t.co/Ob7J2oBWhq</t>
  </si>
  <si>
    <t>#WheresHillary? Sleeping!!!!!</t>
  </si>
  <si>
    <t>Thank you Michigan. This is a MOVEMENT. We are going to MAKE AMERICA SAFE AND GREAT AGAIN! #TrumpPence16 https://t.co/vP3eqF3Zbb</t>
  </si>
  <si>
    <t>Great job by @EricTrump on interview with @BillHemmer on @FoxNews. #ImWithYou #TrumpTrain</t>
  </si>
  <si>
    <t>Thank you to everyone for all of the nice comments, by Twitter, pundits and otherwise for my speech last night.</t>
  </si>
  <si>
    <t>The reporting at the failing @nytimes gets worse and worse by the day. Fortunately, it is a dying newspaper.</t>
  </si>
  <si>
    <t>Thank you to NC for last evenings great reception. The speech was a great success. Heading now to Louisiana &amp;amp; another speech tonight in MI.</t>
  </si>
  <si>
    <t>We are one nation. When one state hurts, we all hurt. We must all work together - to lift each other up. https://t.co/XoDkW5X3Wy</t>
  </si>
  <si>
    <t>Thank you Charlotte, North Carolina!
#MakeAmericaGreatAgain 
https://t.co/Y19nUKkYTc</t>
  </si>
  <si>
    <t>Together, we will MAKE AMERICA GREAT AGAIN! https://t.co/aENuIvrUrS</t>
  </si>
  <si>
    <t>#CrookedHillary #ThrowbackThursday https://t.co/v8J0r64J7h</t>
  </si>
  <si>
    <t>They will soon be calling me MR. BREXIT!</t>
  </si>
  <si>
    <t>I will be doing a Town Hall tonight at 10:00 P.M. on @seanhannity - @FoxNews</t>
  </si>
  <si>
    <t>Will be participating in a town hall event- hosted by @SeanHannity tonight at 10pmE on @FoxNews. Enjoy! https://t.co/7nReqYM7FF</t>
  </si>
  <si>
    <t>We are going to make this a government of the people once again!
#MakeAmericaGreatAgain #ImWithYou
https://t.co/Fi7yEb2XQb</t>
  </si>
  <si>
    <t>We will repeal &amp;amp; replace #Obamacare, which has caused soaring double-digit premium increases. It is a disaster! https://t.co/NNMyTJo6i6</t>
  </si>
  <si>
    <t>A vote for Hillary Clinton is a vote for another generation of poverty, high crime, &amp;amp; lost opportunities. #ImWithYou
https://t.co/Eph6qy7zyB</t>
  </si>
  <si>
    <t>#MakeAmericaSafeAgain #ImWithYou
https://t.co/N9XNoGNcqc</t>
  </si>
  <si>
    <t>Thank you Governor @ScottWalker &amp;amp; @GOP Chairman @Reince Priebus. 
#MakeAmericaGreatAgain #ImWithYou
https://t.co/IdJBuaKMwK</t>
  </si>
  <si>
    <t>Join me in North Carolina - tomorrow at 7:30pm! #ImWithYou 
Tickets: https://t.co/vDag45zrDc</t>
  </si>
  <si>
    <t>#LawandOrder #ImWithYou
Video: https://t.co/AIa2Z9po2h https://t.co/qqSfOfgdap</t>
  </si>
  <si>
    <t>#LawandOrder #ImWithYou
Transcript: https://t.co/YlATGI2Ph6</t>
  </si>
  <si>
    <t>Will be on @SeanHannity tonight at 10pmE - delivering an important speech live from Wisconsin. #MakeAmericaGreatAgain</t>
  </si>
  <si>
    <t>Just as we won the Cold War, in part, by exposing the evils of communism and the virtues of free markets....
Cont: https://t.co/SXp7efXEZU</t>
  </si>
  <si>
    <t>This is my pledge to the American people: https://t.co/Jb21oyNfxt</t>
  </si>
  <si>
    <t>'It's just a 2-point race, Clinton 38%, Trump 36%' https://t.co/EzDzJ4EzIN</t>
  </si>
  <si>
    <t>Another health insurer is pulling back due to 'persistent financial losses on #Obamacare plans.' Only the beginning! https://t.co/YqfaEvg8c3</t>
  </si>
  <si>
    <t>#AmericasMerkel https://t.co/QFRs4bEUC1</t>
  </si>
  <si>
    <t>"CLINTON REFUGEE PLAN COULD BRING IN 620,000 REFUGEES IN FIRST TERM AT LIFETIME COST OF OVER $400 BILLION." https://t.co/COZQNt6KVs</t>
  </si>
  <si>
    <t>#MakeAmericaSafeAgain 
https://t.co/bgBGPaKaqI</t>
  </si>
  <si>
    <t>Certain Republicans who have lost to me would rather save face by fighting me than see the U.S.Supreme Court get proper appointments. Sad!</t>
  </si>
  <si>
    <t>"Stay on message" is the chant. I always do - trade, jobs, military, vets, 2nd A, repeal Ocare, borders, etc - but media misrepresents!</t>
  </si>
  <si>
    <t>I have always been the same person-remain true to self.The media wants me to change but it would be very dishonest to supporters to do so!</t>
  </si>
  <si>
    <t>It is not "freedom of the press" when newspapers and others are allowed to say and write whatever they want even if it is completely false!</t>
  </si>
  <si>
    <t>I am not only fighting Crooked Hillary, I am fighting the dishonest and corrupt media and her government protection process. People get it!</t>
  </si>
  <si>
    <t>Crooked Hillary Clinton is being protected by the media. She is not a talented person or politician. The dishonest media refuses to expose!</t>
  </si>
  <si>
    <t>My rallies are not covered properly by the media. They never discuss the real message and never show crowd size or enthusiasm.</t>
  </si>
  <si>
    <t>If the disgusting and corrupt media covered me honestly and didn't put false meaning into the words I say, I would be beating Hillary by 20%</t>
  </si>
  <si>
    <t>The failing @nytimes, which never spoke to me, keeps saying that I am saying to advisers that I will change. False, I am who I am-never said</t>
  </si>
  <si>
    <t>The failing @nytimes talks about anonymous sources and meetings that never happened. Their reporting is fiction. The media protects Hillary!</t>
  </si>
  <si>
    <t>"@zulu_out: You are a man for the people because you know what it is like to be among the people #MakeAmericaGreatAgain #USA Loves U" Thanks</t>
  </si>
  <si>
    <t>"@PaulaDuvall2: We're all enjoying you, as well, Mr. T.! You've inspired Hope and a Positive Spirit throughout America! God bless you!" Nice</t>
  </si>
  <si>
    <t>"@need2knowu:  @willspeakout yes you are my hero I admire you for laying down your glorious luxurious life to get beat up for America!!!"</t>
  </si>
  <si>
    <t>We now have confirmation as to one reason Crooked H wanted to be sure that nobody saw her e-mails - PAY-FOR-PLAY. How can she run for Pres.</t>
  </si>
  <si>
    <t>"@willspeakout: Thank you for all that you are doing for us! You campaign endlessly and have spent millions.We love you! #TrumpTrain" Thanks</t>
  </si>
  <si>
    <t>I am truly enjoying myself while running for president. The people of our country are amazing - great numbers on November 8th!</t>
  </si>
  <si>
    <t>The failing @nytimes has become a newspaper of fiction. Their stories about me always quote non-existent unnamed sources. Very dishonest!</t>
  </si>
  <si>
    <t>Will be on @seanhannity tonight at 10pm, hosted by @GovMikeHuckabee. Enjoy!</t>
  </si>
  <si>
    <t>Thank you Erie, Pennsylvania! Together we will #MakeAmericaGreatAgain! https://t.co/5hZp7PnRoT</t>
  </si>
  <si>
    <t>Unbelievable support in Florida last night - thank you! #MAGA https://t.co/WNDAagFRRS</t>
  </si>
  <si>
    <t>ISIS gained tremendous strength during Hillary Clinton's term as Secretary of State. When will the dishonest media report the facts!</t>
  </si>
  <si>
    <t>I love watching these poor, pathetic people (pundits) on television working so hard and so seriously to try and figure me out. They can't!</t>
  </si>
  <si>
    <t>A massive tax increase will be necessary to fund Crooked Hillary Clinton's agenda. What a terrible (and boring) rollout that was yesterday!</t>
  </si>
  <si>
    <t>"@laurencristmann: Thank you for coming to Pennsylvania today. I will be there with @C_Lynne_Ryan your 3rd CD delegate at 2 pm"</t>
  </si>
  <si>
    <t>Ratings challenged @CNN reports so seriously that I call President Obama (and Clinton) "the founder" of ISIS, &amp;amp; MVP. THEY DON'T GET SARCASM?</t>
  </si>
  <si>
    <t>"@EnemyWithinn: @realDonaldTrump @elsolarverde @nytimes People gotta stop believing media lies about Trump." That would indeed be nice!</t>
  </si>
  <si>
    <t>"@elsolarverde: THE CORRUPT MEDIA CREATS CONTROVERSY AGAINST @realDonaldTrump TO AVOID ISSUES ABOUT HillaryClinton https://t.co/RW5UcWLfA8"</t>
  </si>
  <si>
    <t>"@SheriffClarke: https://t.co/G9R9CGhf8q Everything coming from this administration is a lie. Only @realDonaldTrump will change it"</t>
  </si>
  <si>
    <t>Will be doing @oreillyfactor tonight at 8pm. Enjoy!</t>
  </si>
  <si>
    <t>This is no surprise. Constant phony reporting from failing @CNN turns everyone off. The American people get it! https://t.co/a1A6XMfYx1</t>
  </si>
  <si>
    <t>Thank you Fort Lauderdale, Florida. 
#MakeAmericaGreatAgain https://t.co/cjivzdRpU1</t>
  </si>
  <si>
    <t>Great job today by the NYPD in protecting the people and saving the climber.</t>
  </si>
  <si>
    <t>Reuters just announced that Secret Service never spoke to me or my campaign. Made up story by @CNN is a hoax. Totally dishonest.</t>
  </si>
  <si>
    <t>"@DSF2020: Really admire your determination: Working so hard for all Americans n daily having to defend yourself from a biased Media."</t>
  </si>
  <si>
    <t>#MakeAmericaGreatAgain! https://t.co/8rWz6p1Ged</t>
  </si>
  <si>
    <t>Thank you Abingdon, Virginia! 
#MakeAmericaGreatAgain 
https://t.co/g7ivluiyF2 https://t.co/RQUKD6sjno</t>
  </si>
  <si>
    <t>No such meeting or conversation ever happened - a made up story by "low ratings" @CNN.</t>
  </si>
  <si>
    <t>Great meeting w/ coal miners &amp;amp; leaders from the Virginia coal industry- thank you! #MAGA
https://t.co/wnpVlq6oe4 https://t.co/32gdX684ew</t>
  </si>
  <si>
    <t>I will be interviewed on @greta tonight at 7pm. Enjoy! https://t.co/9yicUxd87D</t>
  </si>
  <si>
    <t>My thoughts and prayers are with the two police officers shot in Sebastian County, Arkansas. #LESM</t>
  </si>
  <si>
    <t>Morning Joe's weakness is its low ratings. I don't watch anymore but I heard he went wild against Rudy Giuliani and #2A - sad &amp;amp; irrelevant!</t>
  </si>
  <si>
    <t>.@dbongino  You were fantastic in defending both the Second Amendment and me last night on @CNN. Don Lemon is a lightweight - dumb as a rock</t>
  </si>
  <si>
    <t>"@dbongino: ‘Now cut off my mic!’ Bongino refuses to be bullied by Don Lemon over Trump, 2nd Amendment – HEATED! https://t.co/UgtfaUXzcr"</t>
  </si>
  <si>
    <t>Media desperate to distract from Clinton's anti-2A stance. I said pro-2A citizens must organize and get out vote to save our Constitution!</t>
  </si>
  <si>
    <t>When is the media going to talk about Hillary's policies that have gotten people killed, like Libya, open borders, and maybe her emails?</t>
  </si>
  <si>
    <t>Thank you Senator @ChuckGrassley! #TrumpPence16
https://t.co/YmdH3fcaeW</t>
  </si>
  <si>
    <t>Thank you @SenatorFischer! #TrumpPence16
https://t.co/RMtU6aRZTQ</t>
  </si>
  <si>
    <t>Thank you Wilmington, North Carolina!
#MakeAmericaGreatAgain https://t.co/ZnnaSPF5or</t>
  </si>
  <si>
    <t>RT @NRA: But there IS something we will do on #ElectionDay: Show up and vote for the #2A! #DefendtheSecond #NeverHillary</t>
  </si>
  <si>
    <t>RT @NRA: .@RealDonaldTrump is right. If @HillaryClinton gets to pick her anti-#2A #SCOTUS judges, there’s nothing we can do. #NeverHillary</t>
  </si>
  <si>
    <t>RT @Carl_C_Icahn: 2/2  How many of our presidents, even our great presidents, would have handled the antics that went on in that auditorium…</t>
  </si>
  <si>
    <t>RT @Carl_C_Icahn: 1/2   Believe Trump gave a great speech.</t>
  </si>
  <si>
    <t>"@LinHen23:  @foxandfriends Loved Trump's answers to voters questions this morning! Trump's economic plan will help #MAGA #NeverHillary"</t>
  </si>
  <si>
    <t>"@sprts08: @realDonaldTrump @foxandfriends great interview.....all solid points on our economy TRUMP2016"</t>
  </si>
  <si>
    <t>I am running against the Washington insiders, just like I did in the Republican Primaries. These are the people that have made U.S. a mess!</t>
  </si>
  <si>
    <t>Will be interviewed on @foxandfriends now!</t>
  </si>
  <si>
    <t>Being in Detroit today was wonderful. Quick stop in Ohio to meet with some of our great supporters. Just got back home!</t>
  </si>
  <si>
    <t>'As Senator Clinton promised 200,000 jobs in Upstate New York - her efforts fell flat.' https://t.co/I2WqZb5N8P https://t.co/i5S3mtJWpe</t>
  </si>
  <si>
    <t>Many people are saying that the Iranians killed the scientist who helped the U.S. because of Hillary Clinton's hacked emails.</t>
  </si>
  <si>
    <t>Thank you Newt!  https://t.co/Acg0hMvrpr</t>
  </si>
  <si>
    <t>Thank you Congressman Steven Palazzo! https://t.co/R5Z4CGfjqJ https://t.co/XGSIJJQiGJ</t>
  </si>
  <si>
    <t>Thank you Senator David Perdue!
https://t.co/d0dCUZ20jf https://t.co/LmfiGByFPb</t>
  </si>
  <si>
    <t>Thank you @RepLouBarletta!
https://t.co/bre8u93vac https://t.co/eKtSXUw51R</t>
  </si>
  <si>
    <t>Thank you @NFIB- together we will #MakeAmericaGreatAgain!  https://t.co/wQQIHQKsdK</t>
  </si>
  <si>
    <t>Thank you!  https://t.co/4p0hzpkVWF</t>
  </si>
  <si>
    <t>Thank you Alex!  https://t.co/c2uIa7mndP</t>
  </si>
  <si>
    <t>RT @NFIB: .@NFIB encouraged by @realDonaldTrump’s #taxplan, says #smallbiz would benefit from lower tax rate: https://t.co/JCQCvXj9WC</t>
  </si>
  <si>
    <t>My economic policy speech will be carried live at 12:15 P.M. Enjoy!</t>
  </si>
  <si>
    <t>Join me in Fayetteville, North Carolina tomorrow evening at 6pm. Tickets now available at: https://t.co/Z80d4MYIg8</t>
  </si>
  <si>
    <t>#ICYMI: "Will Media Apologize to Trump?" https://t.co/ia7rKBmioA</t>
  </si>
  <si>
    <t>Michael Morell, the lightweight former Acting Director of C.I.A., and a man who has made serious bad calls, is a total Clinton flunky!</t>
  </si>
  <si>
    <t>The media is going crazy. They totally distort so many things on purpose. Crimea, nuclear, "the baby" and so much more. Very dishonest!</t>
  </si>
  <si>
    <t>RT @DRUDGE_REPORT: CLINTON EMAIL LED TO EXECUTION IN IRAN? https://t.co/4rY1faptL6</t>
  </si>
  <si>
    <t>I see where Mayor Stephanie Rawlings-Blake of Baltimore is pushing Crooked hard. Look at the job she has done in Baltimore. She is a joke!</t>
  </si>
  <si>
    <t>Thank you Windham, New Hampshire! #TrumpPence16 #MAGA https://t.co/ZL4Q01Q49s</t>
  </si>
  <si>
    <t>.@Larry_Kudlow - 'Donald Trump Is the middle-class growth candidate'
https://t.co/YbqkhWNm0g</t>
  </si>
  <si>
    <t>I am not just running against Crooked Hillary Clinton, I am running against the very dishonest and totally biased media - but I will win!</t>
  </si>
  <si>
    <t>#CrookedHillary is not fit to be our next president! #TrumpPence16 
https://t.co/I0zJO2sZKk</t>
  </si>
  <si>
    <t>Heading to New Hampshire - will be talking about Hillary saying her brain SHORT CIRCUITED, and other things!</t>
  </si>
  <si>
    <t>Anybody whose mind "SHORT CIRCUITS" is not fit to be our president! Look up the word "BRAINWASHED."</t>
  </si>
  <si>
    <t>Crooked Hillary said loudly, and for the world to see, that she "SHORT CIRCUITED" when answering a question on her e-mails. Very dangerous!</t>
  </si>
  <si>
    <t>Hillary Clinton is being badly criticized for her poor performance in answering questions. Let us all see what happens!</t>
  </si>
  <si>
    <t>Good luck #TeamUSA
#OpeningCeremony #Rio2016 https://t.co/mS8qsQpJPh</t>
  </si>
  <si>
    <t>'Trump is right about violent crime: It’s on the rise in major cities'
https://t.co/XbnZ5vktGk</t>
  </si>
  <si>
    <t>Thank you Green Bay, Wisconsin! Governor @Mike_Pence and I will be back soon. #TrumpPence16 #MAGA https://t.co/qsYbyrm3UR</t>
  </si>
  <si>
    <t>DON'T LET HILLARY CLINTON DO IT AGAIN!
#TrumpPence16
https://t.co/1mGkPNZPKF</t>
  </si>
  <si>
    <t>Thank you Des Moines, Iowa! Governor @Mike_Pence and I appreciate your support! #MAGA #TrumpTrain https://t.co/gr6tGqqmcm</t>
  </si>
  <si>
    <t>#MakeAmericaSafeAgain https://t.co/5yuLKyh8Q6</t>
  </si>
  <si>
    <t>RT @DRUDGE_REPORT: FORMER HOSTAGE SAYS PLANE WAITED UNTIL MONEY ARRIVED... https://t.co/Uo0MS6w9OQ</t>
  </si>
  <si>
    <t>RT @DRUDGE_REPORT: 'Win-lose deal that benefits Iran and hurts United States'... https://t.co/zqpeNCouXc</t>
  </si>
  <si>
    <t>Hillary Clinton has bad judgment and is unfit to serve as President.
https://t.co/3EzG620fpT</t>
  </si>
  <si>
    <t>The plane I saw on television was the hostage plane in Geneva, Switzerland, not the plane carrying $400 million in cash going to Iran!</t>
  </si>
  <si>
    <t>President Obama refuses to answer question about Iran terror funding.  I won't dodge questions as your President. https://t.co/jsAMGO3s4P</t>
  </si>
  <si>
    <t>Obama's disastrous judgment gave us ISIS, rise of Iran, and the worst economic numbers since the Great Depression!</t>
  </si>
  <si>
    <t>President Obama should ask the DNC about how they rigged the election against Bernie.</t>
  </si>
  <si>
    <t>See you tomorrow w/ Gov. @Mike_Pence, Iowa &amp;amp; Wisconsin! 
3pm- https://t.co/3Hcnzj0Slx
7pm- https://t.co/sEwLWkn1Sz https://t.co/UODSMp0oTo</t>
  </si>
  <si>
    <t>Thank you Portland, Maine! 
#MakeAmericaGreatAgain 
https://t.co/oVfF28rWL5 https://t.co/RhblAXkNPw</t>
  </si>
  <si>
    <t>Happy 226th Birthday to the United States Coast Guard. Thank you @USCG! #CoastGuardDay https://t.co/hr4O8Xgq2R</t>
  </si>
  <si>
    <t>Great meeting all of you. This group knocked on 50K doors &amp;amp; counting here in Maine, thank you! @MaineGOP  https://t.co/Iui1F2z9ca</t>
  </si>
  <si>
    <t>Looking forward to IA &amp;amp; WI with Gov. Pence, tomorrow. Join us! #MAGA
https://t.co/3Hcnzj0Slx
https://t.co/sEwLWkn1Sz https://t.co/0Ei3EdQdXB</t>
  </si>
  <si>
    <t>Thank you Jacksonville, Florida!
#MakeAmericaGreatAgain 
https://t.co/xrTQjt9WOC https://t.co/VSnBoQYoZs</t>
  </si>
  <si>
    <t>Thank you for your support of my candidacy! #MAGA #ImWithYou 
https://t.co/Al5bZlRFYk</t>
  </si>
  <si>
    <t>Thank you to the amazing law enforcement officers today- in Daytona Beach, Florida! #LESM #MAGA https://t.co/QoxJf4Xzbc</t>
  </si>
  <si>
    <t>THANK YOU Daytona Beach, Florida!
#MakeAmericaGreatAgain https://t.co/IAcLfXe463</t>
  </si>
  <si>
    <t>RT @mike_pence: Join me in Colorado, today! Look forward to seeing you!
Denver- 2pm
https://t.co/8VbvJYDa4F
Colorado Springs- 6pm
https:/…</t>
  </si>
  <si>
    <t>Our incompetent Secretary of State, Hillary Clinton, was the one who started talks to give 400 million dollars, in cash, to Iran. Scandal!</t>
  </si>
  <si>
    <t>There is great unity in my campaign, perhaps greater than ever before. I want to thank everyone for your tremendous support. Beat Crooked H!</t>
  </si>
  <si>
    <t>Great day in Virginia. Crowd was fantastic!</t>
  </si>
  <si>
    <t>My daughter @IvankaTrump will be on @Greta tonight at 7pm. Enjoy! https://t.co/QySC5PLFMy</t>
  </si>
  <si>
    <t>Report raises questions about ‘Clinton Cash’ from Russians during ‘reset' https://t.co/vVcAzY2zcp</t>
  </si>
  <si>
    <t>President Obama will go down as perhaps the worst president in the history of the United States!</t>
  </si>
  <si>
    <t>RT @gatewaypundit: Democrat Fire Marshal Turns THOUSANDS of Trump Supporters Away at Columbus Rally https://t.co/TO8oE5cv8Z via @gatewaypun…</t>
  </si>
  <si>
    <t>#ICYMI: John Podesta’s Brother Pocketed $180,000 from Putin’s Uranium Company: https://t.co/d0LfyiBlvX https://t.co/I5fF3didZs</t>
  </si>
  <si>
    <t>#CrookedHillary https://t.co/xe0I0EmxMa</t>
  </si>
  <si>
    <t>Join me in Florida tomorrow! 
#MakeAmericaGreatAgain 
Daytona | 3pm- 
https://t.co/jbOS2s4qGI
Jacksonville | 7pm- 
https://t.co/XSF1kp7R54</t>
  </si>
  <si>
    <t>STATEMENT IN RESPONSE TO PRESIDENT OBAMA'S FAILED LEADERSHIP: https://t.co/SPgFIFuSO7</t>
  </si>
  <si>
    <t>Thank you Virginia! #ImWithYou https://t.co/9inCh1BVwM</t>
  </si>
  <si>
    <t>The Washington Post calls out #CrookedHillary for what she REALLY is. A PATHOLOGICAL LIAR! Watch that nose grow! https://t.co/FsrUGByuuD</t>
  </si>
  <si>
    <t>Great afternoon in Ohio &amp;amp; a great evening in Pennsylvania - departing now. See you tomorrow Virginia! https://t.co/jQTQYBFpdb</t>
  </si>
  <si>
    <t>Just leaving Mechanicsburg, PA. Incredible crowd-- so enthusiastic! Will be back soon. #MAGA https://t.co/RbuXfDZ5w9</t>
  </si>
  <si>
    <t>RT @DanScavino: .@realDonaldTrump stops by overflow room in Mechanicsburg, Pennsylvania- prior to main rally. #TrumpMovement #MAGA🇺🇸 https:…</t>
  </si>
  <si>
    <t>Vast numbers of manufacturing jobs in Pennsylvania have moved to Mexico and other countries. That will end when I win!</t>
  </si>
  <si>
    <t>Thanks to @pnehlen for your kind words, very much appreciated.</t>
  </si>
  <si>
    <t>Join me in Florida on Wednesday! Daytona &amp;amp; Jacksonville:
Daytona | 3pm- https://t.co/rJjYUbwiLL
Jacksonville | 7pm- https://t.co/zfxeNbr1nq</t>
  </si>
  <si>
    <t>During the GOP convention, CNN cut away from the victims of illegal immigrant violence. They don’t want them heard. https://t.co/EHRiLkQDWD</t>
  </si>
  <si>
    <t>When will CNN do a segment on Hillary’s plan to increase Syrian refugees 550% and how much it will cost?</t>
  </si>
  <si>
    <t>Hillary Clinton raked in money from regimes that horribly oppress women and gays &amp;amp; refuses to speak out against Radical Islam.</t>
  </si>
  <si>
    <t>Hillary, whose decisions have led to the deaths of many, accepted $ from a business linked to ISIS. Silence at CNN. https://t.co/gJYSSXtpaz</t>
  </si>
  <si>
    <t>Crooked Hillary Clinton is 100% owned by her donors. #ImWithYou #MAGA https://t.co/iYM3CCWS2z</t>
  </si>
  <si>
    <t>Thank you Columbus, Ohio! I will be back soon. #ImWithYou #MAGA https://t.co/vMf1EPJp4r</t>
  </si>
  <si>
    <t>Thank you Oklahoma &amp;amp; Virginia! 
#MakeAmericaGreatAgain #ImWithYou https://t.co/WUdY7feRvV</t>
  </si>
  <si>
    <t>People believe CNN these days almost as little as they believe Hillary....that's really saying something!</t>
  </si>
  <si>
    <t>The people who support Hillary sit behind CNN anchor chairs, or headline fundraisers - those disconnected from real life.</t>
  </si>
  <si>
    <t>Will CNN send its cameras to the border to show the massive unreported crisis now unfolding -- or are they worried it will hurt Hillary?</t>
  </si>
  <si>
    <t>When will we see stories from CNN on Clinton Foundation corruption and Hillary's pay-for-play at State Department?</t>
  </si>
  <si>
    <t>CNN anchors are completely out of touch with everyday people worried about rising crime, failing schools and vanishing jobs.</t>
  </si>
  <si>
    <t>CNN will soon be the least trusted name in news if they continue to be the press shop for Hillary Clinton.</t>
  </si>
  <si>
    <t>Join Governor Mike Pence in Reno, Nevada- tonight at 7pm! Tickets available at: https://t.co/4nLjRGyFYw</t>
  </si>
  <si>
    <t>#CrookedHillary 
https://t.co/oHI6xrDJU0</t>
  </si>
  <si>
    <t>So with all of the Obama tough talk on Russia and the Ukraine, they have already taken Crimea and continue to push. That's what I said!</t>
  </si>
  <si>
    <t>When I said in an interview that Putin is "not going into Ukraine, you can mark it down," I am saying if I am President. Already in Crimea!</t>
  </si>
  <si>
    <t>This story is not about Mr. Khan, who is all over the place doing interviews, but rather RADICAL ISLAMIC TERRORISM and the U.S. Get smart!</t>
  </si>
  <si>
    <t>Mr. Khan, who does not know me, viciously attacked me from the stage of the DNC and is now all over T.V. doing the same - Nice!</t>
  </si>
  <si>
    <t>Wow, it is unbelievable how distorted, one-sided and biased the media is against us. The failing @nytimes is a joke. @CNN is laughable!</t>
  </si>
  <si>
    <t>"@RealJamesWoods:  Without absolutely OWNING the liberal media, HillaryClinton wouldn't stand a chance. #VoterFraud and #MSM her only hope."</t>
  </si>
  <si>
    <t>The dishonest media is fawning over the Democratic Convention. I wonder why, then, my speech had millions of more viewers than Crooked H?</t>
  </si>
  <si>
    <t>I was viciously attacked by Mr. Khan at the Democratic Convention. Am I not allowed to respond? Hillary voted for the Iraq war, not me!</t>
  </si>
  <si>
    <t>Captain Khan, killed 12 years ago, was a hero, but this is about RADICAL ISLAMIC TERROR and the weakness of our "leaders" to eradicate it!</t>
  </si>
  <si>
    <t>Nielson Media Research final numbers on ACCEPTANCE SPEECH: TRUMP  32.2 MILLION.  CLINTON 27.8 MILLION.  Thank you!</t>
  </si>
  <si>
    <t>Thank you to all of the television viewers that made my speech at the Republican National Convention #1 over Crooked Hillary and DEMS.</t>
  </si>
  <si>
    <t>Can you imagine if I had the small crowds that Hillary is drawing today in Pennsylvania. It would be a major media event! @CNN @FoxNews</t>
  </si>
  <si>
    <t>NATO commander agrees members should pay up via @dcexaminer:
https://t.co/VZLDFy707K</t>
  </si>
  <si>
    <t>Wow, NATO's top commander just announced that he agrees with me that alliance members must PAY THEIR BILLS. This is a general I will like!</t>
  </si>
  <si>
    <t>The "Rust Belt" was created by politicians like the Clintons who allowed our jobs to be stolen from us by other countries like Mexico. END!</t>
  </si>
  <si>
    <t>Crooked's stop in Johnstown, Pennsylvania, where jobs have been absolutely decimated by dumb politicians, drew less than 200 - with Bill, VP</t>
  </si>
  <si>
    <t>#CrookedHillary = Obama's third term, which would be terrible news for our economic growth - seen below. https://t.co/y9WJoUaaql</t>
  </si>
  <si>
    <t>Word is that Crooked Hillary has very small and unenthusiastic crowds in Pennsylvania. Perhaps it is because her husband signed NAFTA?</t>
  </si>
  <si>
    <t>I turned down a meeting with Charles and David Koch. Much better for them to meet with the puppets of politics, they will do much better!</t>
  </si>
  <si>
    <t>Why doesn't the media want to report that on the two "Big Thursdays" when Crooked Hillary and I made our speeches - Republican's won ratings</t>
  </si>
  <si>
    <t>#CrookedHillary https://t.co/xyoPFJmByp</t>
  </si>
  <si>
    <t>Crooked Hillary Clinton is soft on crime, supports open borders, and wants massive tax hikes. A formula for disaster!</t>
  </si>
  <si>
    <t>Violent crime is rising across the United States, yet the DNC convention ignored it. Crime reduction will be one of my top priorities.</t>
  </si>
  <si>
    <t>Just got back from Colorado. The love and enthusiasm at two rallies was incredible. Big crowds!</t>
  </si>
  <si>
    <t>While I am in OH &amp;amp; PA - you can also join @Mike_Pence in Nevada on Mon!
Carson City: https://t.co/28G3RVbFsn
Reno: https://t.co/4nLjRGyFYw</t>
  </si>
  <si>
    <t>Join me Monday in Columbus, Ohio &amp;amp; Harrisburg, Pennsylvania! #MAGA
3pm in OH: https://t.co/DDg0AUsqRq
7pm in PA: https://t.co/VmSLBvL43l</t>
  </si>
  <si>
    <t>American homeownership rate in Q2 2016 was 62.9% - lowest rate in 51yrs. WE will bring back the  'American Dream!' https://t.co/yI4Q8FHRjp</t>
  </si>
  <si>
    <t>We are suffering through the worst long-term unemployment in the last 70 years. I want change - Crooked Hillary Clinton does not.</t>
  </si>
  <si>
    <t>Hillary can never win over Bernie supporters. Her foreign wars, 
NAFTA/TPP support &amp;amp; Wall Street ties are driving away millions of votes.</t>
  </si>
  <si>
    <t>Colorado was amazing yesterday! So much support. Our tax, trade and energy reforms will bring great jobs to Colorado and the whole country.</t>
  </si>
  <si>
    <t>"@patrioticpepe: @realDonaldTrump ONLY TRUMP CAN UNITE AMERICA AND FIX OBAMA'S MISTAKES!!! #Trump2016 https://t.co/yB72Bm2muM"</t>
  </si>
  <si>
    <t>Thank you Denver, Colorado! 
#MakeAmericaGreatAgain! https://t.co/1KHrLdkOyW</t>
  </si>
  <si>
    <t>As usual, Hillary &amp;amp; the Dems are trying to rig the debates so 2 are up against major NFL games. Same as last time w/ Bernie. Unacceptable!</t>
  </si>
  <si>
    <t>#CrookedHillary Job Application https://t.co/CKXkAlGSiV</t>
  </si>
  <si>
    <t>Hillary Clinton should not be given national security briefings in that she is a lose cannon with extraordinarily bad judgement &amp;amp; insticts.</t>
  </si>
  <si>
    <t>Thank you to the amazing law enforcement officers in Colorado!
#MakeAmericaGreatAgain #LESM https://t.co/glxTQYAQiN</t>
  </si>
  <si>
    <t>Thank you Colorado Springs. Get out &amp;amp; VOTE #TrumpPence16 in November! https://t.co/wK02fWzJey</t>
  </si>
  <si>
    <t>"Only a Reagan or a Trump-like figure in the White House will achieve this goal." https://t.co/6a7Ef12giZ</t>
  </si>
  <si>
    <t>Even Bill is tired of the lies, SAD! https://t.co/LPk1OkwH9P</t>
  </si>
  <si>
    <t>Join me in Colorado Springs at 2pm- or in Denver tonight at 7pm!
Colorado Springs: https://t.co/HgFW7IRtz9
Denver: https://t.co/aE5P9jNcFC</t>
  </si>
  <si>
    <t>What Bernie Sanders really thinks of Crooked Hillary Clinton. https://t.co/VgMaAsZBep</t>
  </si>
  <si>
    <t>I am watching Crooked Hillary speak. Same old stuff, our country needs change!</t>
  </si>
  <si>
    <t>Wow, my campaign is hearing from more and more Bernie supporters that they will NEVER support Crooked Hillary. She sold them out, V.P. pick!</t>
  </si>
  <si>
    <t>In Hillary Clinton's America - things get worse. #TrumpPence16 https://t.co/WdHbnhhCbW</t>
  </si>
  <si>
    <t>The dishonest media didn't mention that Bernie Sanders was very angry looking during Crooked's speech. He wishes he didn't make that deal!</t>
  </si>
  <si>
    <t>Thank you! 
Facebook: https://t.co/nmlRJqzA7S
Instagram: https://t.co/5gDeluaBXG https://t.co/Pw7GS8R9Gg</t>
  </si>
  <si>
    <t>Crooked Hillary said that I "couldn't handle the rough and tumble of a political campaign." Really,I just beat 16 people and am beating her!</t>
  </si>
  <si>
    <t>If Michael Bloomberg ran again for Mayor of New York, he wouldn't get 10% of the vote - they would run him out of town!  #NeverHillary</t>
  </si>
  <si>
    <t>"Little" Michael Bloomberg, who never had the guts to run for president, knows nothing about me. His last term as Mayor was a disaster!</t>
  </si>
  <si>
    <t>General John Allen, who I never met but spoke against me last night, failed badly in his fight against ISIS. His record = BAD  #NeverHillary</t>
  </si>
  <si>
    <t>Crooked Hillary Clinton mentioned me 22 times in her very long and very boring speech. Many of her statements were lies and fabrications!</t>
  </si>
  <si>
    <t>Join @mike_pence at the University of Northwestern Ohio- tonight at 7pm. Tickets: https://t.co/DvP8p7ueNU</t>
  </si>
  <si>
    <t>"@AnnCoulter: "I believe in science" Dem code for "we're shutting down coal mines, steel plants and any other remaining manufacturing""</t>
  </si>
  <si>
    <t>CAMPAIGN STATEMENT: 
https://t.co/RNW3ED2ifR</t>
  </si>
  <si>
    <t>Two policemen just shot in San Diego, one dead. It is only getting worse. People want LAW AND ORDER!</t>
  </si>
  <si>
    <t>Crooked Hillary Clinton made up facts about me, and "forgot" to mention the many problems of our country, in her very average scream!</t>
  </si>
  <si>
    <t>The media coverage this morning of the very average Clinton speech and Convention is a joke. @CNN and the little watched @Morning_Joe = SAD!</t>
  </si>
  <si>
    <t>No one has worse judgement than Hillary Clinton - corruption and devastation follows her wherever she goes.</t>
  </si>
  <si>
    <t>Hillary's wars in the Middle East have unleashed destruction, terrorism and ISIS across the world.</t>
  </si>
  <si>
    <t>Hillary's vision is a borderless world where working people have no power, no jobs, no safety.</t>
  </si>
  <si>
    <t>Hillary will never reform Wall Street. She is owned by Wall Street!</t>
  </si>
  <si>
    <t>Our way of life is under threat by Radical Islam and Hillary Clinton cannot even bring herself to say the words.</t>
  </si>
  <si>
    <t>Hillary's refusal to mention Radical Islam, as she pushes a 550% increase in refugees, is more proof that she is unfit to lead the country.</t>
  </si>
  <si>
    <t>Departing now - thank you Cedar Rapids, Iowa. This is a MOVEMENT! https://t.co/ezrqVqPtta</t>
  </si>
  <si>
    <t>#CrookedHillary https://t.co/JeXFnO6e3s</t>
  </si>
  <si>
    <t>"Dems warn not to underestimate Trump's potential win"
https://t.co/X3xHtjhHpB</t>
  </si>
  <si>
    <t>Great to be back in Iowa! #TBT with @JerryJrFalwell joining me in Davenport- this past winter. #MAGA https://t.co/A5IF0QHnic</t>
  </si>
  <si>
    <t>Median household income is down for the middle class since Obama took office. It will only go further down under Clinton.</t>
  </si>
  <si>
    <t>A vote for Clinton-Kaine is a vote for TPP, NAFTA, high taxes, radical regulation, and massive influx of refugees.</t>
  </si>
  <si>
    <t>AMERICA'S FUTURE
https://t.co/xymiA0Az7x</t>
  </si>
  <si>
    <t>Bernie caved! https://t.co/xtcOnA8cw1</t>
  </si>
  <si>
    <t>"@LallyRay: Poll: Donald Trump Sees 17-Point Positive Swing in Two Weeks - Breitbart https://t.co/bVAj52fA3Y @realdonaldtrump"  Great!</t>
  </si>
  <si>
    <t>RT @mike_pence: Good morning! Join me in Lima, Ohio - tomorrow evening at 7pm. #MAGA
Tickets: https://t.co/sNfhyGeaAH</t>
  </si>
  <si>
    <t>RT @piersmorgan: Trump makes a funny, obvious joke about Russia going after Hillary's emails &amp;amp; U.S. media goes insane with fury.
He plays t…</t>
  </si>
  <si>
    <t>RT @DRUDGE_REPORT: Obama Refers to Himself 119 Times During Hillary Nominating Speech... https://t.co/TyJI2DuqEk</t>
  </si>
  <si>
    <t>President Obama spoke last night about a world that doesn’t exist. 70% of the people think our country is going in the wrong direction. #DNC</t>
  </si>
  <si>
    <t>"@trumplican2016: @realDonaldTrump @DavidWohl stay the course mr trump your message is resonating with the PEOPLE"</t>
  </si>
  <si>
    <t>"@DavidWohl: Barack is offended that @realDonaldTrump will demand that #NATO allies pay their fair share. #DemsInPhilly"</t>
  </si>
  <si>
    <t>Our country does not feel 'great already' to the millions of wonderful people living in poverty, violence and despair.</t>
  </si>
  <si>
    <t>Shooting deaths of police officers up 78% this year. We must restore law and order and protect our great law enforcement officers!</t>
  </si>
  <si>
    <t>Join me live in Toledo, Ohio!
#MakeAmericaGreatAgain
https://t.co/ruEvMGx4C9</t>
  </si>
  <si>
    <t>#CrookedHillary https://t.co/lwi9gqDEHE</t>
  </si>
  <si>
    <t>Thank you Pennsylvania!
#MakeAmericaGreatAgain 
https://t.co/bbv3EhGs5x https://t.co/bbroAGTdMw</t>
  </si>
  <si>
    <t>Thank you to our amazing law enforcement officers! #MAGA https://t.co/UEZorOQhTw</t>
  </si>
  <si>
    <t>"Trump right: Illegal families crossing border set to double, 51,152 so far"
https://t.co/1noCe9W6Ru</t>
  </si>
  <si>
    <t>Great new poll - thank you!
#MakeAmericaGreatAgain https://t.co/mXovx0TLPC</t>
  </si>
  <si>
    <t>If Russia or any other country or person has Hillary Clinton's 33,000 illegally deleted emails, perhaps they should share them with the FBI!</t>
  </si>
  <si>
    <t>Join our next Vice President, @Mike_Pence in Wisconsin tonight &amp;amp; Michigan Thursday!
MI: https://t.co/daR2xIhCEs
WI: https://t.co/LKc7e4VZkB</t>
  </si>
  <si>
    <t>Not one American flag on the massive stage at the Democratic National Convention until people started complaining-then a small one. Pathetic</t>
  </si>
  <si>
    <t>Our not very bright Vice President, Joe Biden, just stated that I wanted to "carpet bomb" the enemy. Sorry Joe, that was Ted Cruz!</t>
  </si>
  <si>
    <t>Crooked Hillary Clinton wants to flood our country with Syrian immigrants that we know little or nothing about. The danger is massive. NO!</t>
  </si>
  <si>
    <t>Hopefully the violent and vicious killing by ISIS of a beloved French priest is causing people to start thinking rationally. Get tough!</t>
  </si>
  <si>
    <t>The Democratic Convention has paid ZERO respect to the great police and law enforcement professionals of our country. No recognition - SAD!</t>
  </si>
  <si>
    <t>Funny how the failing @nytimes is pushing Dems narrative that Russia is working for me because Putin said "Trump is a genius." America 1st!</t>
  </si>
  <si>
    <t>As I have been saying, Crooked Hillary will approve the job killing TPP after the election, despite her statements to the contrary: top adv.</t>
  </si>
  <si>
    <t>Just like I have warned from the beginning, Crooked Hillary Clinton will betray you on the TPP. 
https://t.co/eoNTWK6I8y</t>
  </si>
  <si>
    <t>Many of Bernie's supporters have left the arena. Did Bernie go home and go to sleep?</t>
  </si>
  <si>
    <t>I hate to say it, but the Republican Convention was far more interesting (with a much more beautiful set) than the Democratic Convention!</t>
  </si>
  <si>
    <t>No matter what Bill Clinton says and no matter how well he says it, the phony media will exclaim it to be incredible. Highly overrated!</t>
  </si>
  <si>
    <t>You have no idea what my strategy on ISIS is, and neither does ISIS (a good thing). Please get your facts straight - thanks. @megynkelly</t>
  </si>
  <si>
    <t>For the record, I have ZERO investments in Russia.</t>
  </si>
  <si>
    <t>In order to try and deflect the horror and stupidity of the Wikileakes disaster, the Dems said maybe it is Russia dealing with Trump. Crazy!</t>
  </si>
  <si>
    <t>Dems don't want to talk ISIS b/c Hillary's foreign interventions unleashed ISIS &amp;amp; her refugee plans make it easier for them to come here.</t>
  </si>
  <si>
    <t>Bernie's exhausted, he just wants to shut down and go home to bed!</t>
  </si>
  <si>
    <t>The invention of email has proven to be a very bad thing for Crooked Hillary in that it has proven her to be both incompetent and a liar!</t>
  </si>
  <si>
    <t>Thank you New Hampshire! 
#MakeAmericaGreatAgain https://t.co/KRCdV77BQp</t>
  </si>
  <si>
    <t>Join us in Toledo, Ohio- tomorrow night at 8pm! #TrumpPence16 #MAGA
Tickets: https://t.co/ERNRrksikq https://t.co/zmGZauCnQF</t>
  </si>
  <si>
    <t>Join us tomorrow in Scranton, Pennsylvania at 3pm!
#TrumpPence16 #MAGA 
Tickets: https://t.co/4FTydj8s9U https://t.co/7zMKhhMmhp</t>
  </si>
  <si>
    <t>Pocahontas bombed last night! Sad to watch.</t>
  </si>
  <si>
    <t>Why aren't the Democrats speaking about ISIS, bad trade deals, broken borders, police and law and order. The Republican Convention was great</t>
  </si>
  <si>
    <t>Funny, if you listen to @FoxNews, the Democrats did not have a good day. If you listen to the other two, they are fawning. What a difference</t>
  </si>
  <si>
    <t>Bernie Sanders totally sold out to Crooked Hillary Clinton. All of that work, energy and money, and nothing to show for it! Waste of time.</t>
  </si>
  <si>
    <t>Elizabeth Warren, often referred to as Pocahontas, just misrepresented me and spoke glowingly about Crooked Hillary, who she always hated!</t>
  </si>
  <si>
    <t>Sad to watch Bernie Sanders abandon his revolution. We welcome all voters who want to fix our rigged system and bring back our jobs.</t>
  </si>
  <si>
    <t>If Cory Booker is the future of the Democratic Party, they have no future! I know more about Cory than he knows about himself.</t>
  </si>
  <si>
    <t>I was at @FoxNews and met Juan Williams in passing.  He asked if he could have pictures taken with me. I said fine. He then trashes on air!</t>
  </si>
  <si>
    <t>Hard to believe that Bernie Sanders has done such a complete fold. He got NOTHING for all of the time, energy and money. The V.P. a joke!</t>
  </si>
  <si>
    <t>While Bernie has totally given up on his fight for the people, we welcome all voters who want a better future for our workers.</t>
  </si>
  <si>
    <t>Clinton betrayed Bernie voters. Kaine supports TPP, is in pocket of Wall Street, and backed Iraq War.</t>
  </si>
  <si>
    <t>Thank you OHIO! #TrumpPence16
https://t.co/NOF9Td9BHs https://t.co/WPMBkYjuIm</t>
  </si>
  <si>
    <t>Thank you Roanoke, Virginia- be back soon! #TrumpPence16
https://t.co/rwxXhfFsn1 https://t.co/HwqI2iGPDu</t>
  </si>
  <si>
    <t>MAKE AMERICA SAFE AND GREAT AGAIN! #TrumpPence16
https://t.co/4O4yjh7X4O https://t.co/cptBaZbV1v</t>
  </si>
  <si>
    <t>#MakeAmericaGreatAgain 
https://t.co/EXsoUOsEP4 https://t.co/3ji7a14GSw</t>
  </si>
  <si>
    <t>Great POLL numbers are coming out all over. People don't want another four years of Obama, and Crooked Hillary would be even worse. #MAGA</t>
  </si>
  <si>
    <t>The State of Florida is so embarrassed by the antics of Crooked Hillary Clinton and Debbie Wasserman Schultz that they will vote for CHANGE!</t>
  </si>
  <si>
    <t>Wow, the Republican Convention went so smoothly compared to the Dems total mess. But fear not, the dishonest media will find a good spinnnn!</t>
  </si>
  <si>
    <t>Here we go again with another Clinton scandal, and e-mails yet (can you believe). Crooked Hillary knew the fix was in, B never had a chance!</t>
  </si>
  <si>
    <t>Crooked Hillary Clinton knew everything that her "servant" was doing at the DNC - they just got caught, that's all! They laughed at Bernie.</t>
  </si>
  <si>
    <t>If Bernie Sanders, after seeing the just released e-mails, continues to look exhausted and done, then his legacy will never be the same.</t>
  </si>
  <si>
    <t>Thank you! #MakeAmericaGreatAgain https://t.co/Pzs9uwgzam</t>
  </si>
  <si>
    <t>Hillary was involved in the e-mail scandal because she is the only one with judgement so bad that such a thing could have happened!</t>
  </si>
  <si>
    <t>How much BAD JUDGEMENT was on display by the people in DNC in writing those really dumb e-mails, using even religion, against Bernie!</t>
  </si>
  <si>
    <t>The new joke in town is that Russia leaked the disastrous DNC e-mails, which should never have been written (stupid), because Putin likes me</t>
  </si>
  <si>
    <t>Watched Crooked Hillary Clinton and Tim Kaine on 60 Minutes. No way they are going to fix America's problems. ISIS &amp;amp; all others laughing!</t>
  </si>
  <si>
    <t>The ratings for the Republican National Convention were very good, but for the final night, my speech, great. Thank you!</t>
  </si>
  <si>
    <t>The highly neurotic Debbie Wasserman Schultz is angry that, after stealing and cheating her way to a Crooked Hillary victory, she's out!</t>
  </si>
  <si>
    <t>The Democrats are in a total meltdown but the biased media will say how great they are doing! E-mails say the rigged system is alive &amp;amp; well!</t>
  </si>
  <si>
    <t>Even though Bernie Sanders has lost his energy and his strength, I don't believe that his supporters will let Crooked Hillary off the hook!</t>
  </si>
  <si>
    <t>Crooked Hillary Clinton was not at all loyal to the person in her rigged system that pushed her over the top, DWS. Too bad Bernie flamed out</t>
  </si>
  <si>
    <t>If the Republican Convention had blown up with e-mails, resignation of boss and the beat down of a big player. (Bernie), media would go wild</t>
  </si>
  <si>
    <t>The @CNN panels are so one sided, almost all against Trump. @FoxNews is so much better and the ratings are much higher. Don't watch CNN!</t>
  </si>
  <si>
    <t>I always said that Debbie Wasserman Schultz was overrated. The Dems Convention is cracking up and Bernie is exhausted, no energy left!</t>
  </si>
  <si>
    <t>Today proves what I have always known, that @Reince Priebus is the tough one and the smart one, not Debbie Wasserman Shultz (@DWStweets.)</t>
  </si>
  <si>
    <t>Sorry folks, but Bernie Sanders is exhausted, just can't go on any longer. He is trying to dismiss the new e-mails and DNC disrespect. SAD!</t>
  </si>
  <si>
    <t>There is no longer a Bernie Sanders "political revolution." He is turning out to be a weak and somewhat pathetic figure,wants it all to end!</t>
  </si>
  <si>
    <t>An analysis showed that Bernie Sanders would have won the Democratic nomination if it were not for the Super Delegates.</t>
  </si>
  <si>
    <t>Looks like the Bernie people will fight. If not, their BLOOD, SWEAT AND TEARS was a total waste of time. Kaine stands for opposite!</t>
  </si>
  <si>
    <t>Wow, President Obama's brother, Malik, just announced that he is voting for me. Was probably treated badly by president-like everybody else!</t>
  </si>
  <si>
    <t>Bernie Sanders started off strong, but with the selection of Kaine for V.P., is ending really weak. So much for a movement! TOTAL DISRESPECT</t>
  </si>
  <si>
    <t>The Crooked Hillary V.P. choice is VERY disrespectful to Bernie Sanders and all of his supporters. Just another case of BAD JUDGEMENT by H!</t>
  </si>
  <si>
    <t>#MakeAmericaGreatAgain
#TrumpPence16 https://t.co/gCzHX1nyxD</t>
  </si>
  <si>
    <t>"@NancyNielsenn: @realDonaldTrump Dinesh D'Sousa Hillary's America. see it"</t>
  </si>
  <si>
    <t>"@OliMauritania: @realDonaldTrump Kaine supported the stupidest deal in the history of deals https://t.co/0FFeKTsuJn #HillaryKaine2016"</t>
  </si>
  <si>
    <t>Thank you to everyone for the wonderful reviews of my speech on Thursday night. From the heart!</t>
  </si>
  <si>
    <t>The Wikileaks e-mail release today was so bad to Sanders that it will make it impossible for him to support her, unless he is a fraud!</t>
  </si>
  <si>
    <t>Just saw Crooked Hillary and Tim Kaine together. ISIS and our other enemies are drooling. They don't look presidential to me!</t>
  </si>
  <si>
    <t>I will bring jobs back and get wages up. People haven't had a real wage increase in almost twenty years. Clinton killed jobs!</t>
  </si>
  <si>
    <t>Tim Kaine has been praising the Trans Pacific Partnership and has been pushing hard to get it approved. Job killer!</t>
  </si>
  <si>
    <t>Funny that the Democrats would have their convention in Pennsylvania where her husband and her killed so many jobs. I will bring jobs back!</t>
  </si>
  <si>
    <t>Crooked Hillary Clinton has destroyed jobs and manufacturing in Pennsylvania. Against steelworkers and miners. Husband signed NAFTA.</t>
  </si>
  <si>
    <t>Leaked e-mails of DNC show plans to destroy Bernie Sanders. Mock his heritage and much more. On-line from Wikileakes, really vicious. RIGGED</t>
  </si>
  <si>
    <t>Pocahontas wanted V.P. slot so badly but wasn't chosen because she has done nothing in the Senate. Also, Crooked Hillary hates her!</t>
  </si>
  <si>
    <t>Tim Kaine is, and always has been, owned by the banks. Bernie supporters are outraged, was their last choice. Bernie fought for nothing!</t>
  </si>
  <si>
    <t>The Bernie Sanders supporters are furious with the choice of Tim Kaine, who represents the opposite of what Bernie stands for. Philly fight?</t>
  </si>
  <si>
    <t>"@Theresa_Cali: @realDonaldTrump General Michael Flynn will make a great Secretary of Defense when you become POTUS! #MakeAmericaSafeAgain"</t>
  </si>
  <si>
    <t>I highly recommend the just out book - THE FIELD OF FIGHT - by General Michael Flynn. How to defeat radical Islam.</t>
  </si>
  <si>
    <t>Is it the same Kaine that took hundreds of thousands of dollars in gifts while Governor of Virginia and didn't get indicted while Bob M did?</t>
  </si>
  <si>
    <t>Another attack, this time in Germany. Many killed. God bless the people of Munich.</t>
  </si>
  <si>
    <t>One of the best produced, including the incredible stage &amp;amp; set, in the history of conventions. Great unity! Big T.V. ratings! @KarlRove</t>
  </si>
  <si>
    <t>Thank you Cleveland. We love you and will be back many times!</t>
  </si>
  <si>
    <t>What a great four days in Cleveland. So proud of the great job done by the RNC and all. The police and Secret Service were fantastic!</t>
  </si>
  <si>
    <t>MAKE AMERICA SAFE AND GREAT AGAIN! #RNCinCLE
https://t.co/KH2ZFHUHGP</t>
  </si>
  <si>
    <t>FORMAL ACCEPTANCE OF THE NOMINATION! #TrumpPence16 https://t.co/E6ZtVjSQZa</t>
  </si>
  <si>
    <t>You can watch 360 video live from the podium! https://t.co/yqcIsBUdAi #RNCinCLE #TrumpIsWithYou #MakeAmericaGreatAgain</t>
  </si>
  <si>
    <t>This is a MOVEMENT! #RNCinCLE https://t.co/bdox6JcrAp</t>
  </si>
  <si>
    <t>Thank you @DonaldJTrumpJr. Proud of you! #RNCinCLE #TrumpPence2016 https://t.co/gobSNWughP</t>
  </si>
  <si>
    <t>Great job @IvankaTrump! #RNCinCLE
https://t.co/swsAKE11F0</t>
  </si>
  <si>
    <t>Other than a small group of people who have suffered massive and embarrassing losses, the party is VERY united. Great love in the arena!</t>
  </si>
  <si>
    <t>Ted Cruz talks about the Constitution but doesn't say that if the Dems win the Presidency, the new JUSTICES appointed will destroy us all!</t>
  </si>
  <si>
    <t>I am soooo proud of my children, Don, Eric and Tiffany - their speeches, under enormous pressure, were incredible. Ivanka intros me tonight!</t>
  </si>
  <si>
    <t>Great job @EricTrump! Proud of you!
#AmericaFirst #RNCinCLE https://t.co/S7IHXDrmsJ</t>
  </si>
  <si>
    <t>MAKE AMERICA GREAT AGAIN! https://t.co/qL9rjb7OsD</t>
  </si>
  <si>
    <t>Arena was packed, totally electric!</t>
  </si>
  <si>
    <t>.@mike_pence was fantastic tonight. Will be a great V.P.</t>
  </si>
  <si>
    <t>Our next Vice President of the United States of America, Gov. @Mike_Pence!
#GOPinCLE #GOPConvention
#AmericaFirst https://t.co/TZT3XcKp1c</t>
  </si>
  <si>
    <t>Wow, Ted Cruz got booed off the stage, didn't honor the pledge! I saw his speech two hours early but let him speak anyway. No big deal!</t>
  </si>
  <si>
    <t>Great job @EricTrump! Proud of you! 
#AmericaFirst #RNCinCLE
https://t.co/EE7C6XKDkt https://t.co/946U6bgREQ</t>
  </si>
  <si>
    <t>Thank you @ScottWalker! #AmericaFirst 
#RNCinCLE https://t.co/k2Poy3gGvQ</t>
  </si>
  <si>
    <t>Thank you to Governor @ScottWalker for such warm support. Great speech!</t>
  </si>
  <si>
    <t>Thank you @IngrahamAngle! #AmericaFirst https://t.co/cv3I3xRSOK</t>
  </si>
  <si>
    <t>#AmericaFirst #RNCinCLE 
https://t.co/PvdTA8HTCC</t>
  </si>
  <si>
    <t>Watching the #GOPConvention
#AmericaFirst #RNCinCLE</t>
  </si>
  <si>
    <t>John Kasich was never asked by me to be V.P. Just arrived in Cleveland - will be a great two days!</t>
  </si>
  <si>
    <t>STATEMENT ON MELANIA SPEECH
https://t.co/uzBOm21Pug</t>
  </si>
  <si>
    <t>The media is spending more time doing a forensic analysis of Melania's speech than the FBI spent on Hillary's emails.</t>
  </si>
  <si>
    <t>Good news is Melania's speech got more publicity than any in the history of politics especially if you believe that all press is good press!</t>
  </si>
  <si>
    <t>In November, I think the people of Ohio will remember that the Republicans picked Cleveland instead of going to another state. Jobs!</t>
  </si>
  <si>
    <t>Bill Hemmer of @FoxNews was very nice in explaining the excitement and energy in the arena. More than in past years.</t>
  </si>
  <si>
    <t>Congratulations to my children, Don and Tiffany, on having done a fantastic job last night. I am very proud of you!</t>
  </si>
  <si>
    <t>Such a great honor to be the Republican Nominee for President of the United States. I will work hard and never let you down! AMERICA FIRST!</t>
  </si>
  <si>
    <t>The ROLL CALL is beginning at the Republican National Convention. Very exciting!</t>
  </si>
  <si>
    <t>#MakeAmericaWorkAgain 
#TrumpPence16 #RNCinCLE 
https://t.co/bsUp4MSysD https://t.co/mYBjp03XYf</t>
  </si>
  <si>
    <t>#MakeAmericaWorkAgain
#TrumpPence16 #RNCinCLE 
https://t.co/xlB2C1cpKp https://t.co/5Kv03luMZW</t>
  </si>
  <si>
    <t>"@RoxaneTancredi:  Democrats are coming to TRUMP. I used to be proud of the dem party. No more It is crooked and not for the people."</t>
  </si>
  <si>
    <t>It was truly an honor to introduce my wife, Melania. Her speech and demeanor were absolutely incredible. Very proud! #GOPConvention</t>
  </si>
  <si>
    <t>Will be on @OreillyFactor tonight at 8:30pm @FoxNews- prior to Melania's speech at the #GOPConvention. Tune in- she will do great! #RNCinCLE</t>
  </si>
  <si>
    <t>#MakeAmericaSafeAgain!
#GOPConvention #RNCinCLE 
https://t.co/QniZIsGrG8 https://t.co/Kvq6r6WkQ1</t>
  </si>
  <si>
    <t>Networks other than low ratings @CNN have been very fair and exciting!</t>
  </si>
  <si>
    <t>.@CNN is the worst.They go to their dumb, one-sided panels when a podium speaker is for Trump! VAST MAJORITY want: Make America Great Again!</t>
  </si>
  <si>
    <t>Looking forward to being at the convention tonight to watch all of the wonderful speakers including my wife, Melania. Place looks beautiful!</t>
  </si>
  <si>
    <t>Thank you Mahoning County, Ohio! See you soon! #MakeAmericaSafeAgain 
https://t.co/TNJMUKImpK https://t.co/iFdqRvaL3q</t>
  </si>
  <si>
    <t>RT @foxandfriends: STILL AHEAD: @realDonaldTrump joins us at 7am/et! #RNCinCLE https://t.co/TzGbDs88b3</t>
  </si>
  <si>
    <t>President Obama just had a news conference, but he doesn't have a clue. Our country is a divided crime scene, and it will only get worse!</t>
  </si>
  <si>
    <t>Our country is totally divided and our enemies are watching. We are not looking good, we are not looking smart, we are not looking tough!</t>
  </si>
  <si>
    <t>"@60Minutes: DonaldTrump and his running mate @Mike_Pence to appear on #60Minutes in first joint interview. CBS https://t.co/lZH7qw9qmu"</t>
  </si>
  <si>
    <t>I will be on @60Minutes tonight at 7:00 P.M. with Mike Pence talking about LAW AND ORDER and many other subjects! Bad times for divided USA!</t>
  </si>
  <si>
    <t>We are TRYING to fight ISIS, and now our own people are killing our police. Our country is divided and out of control. The world is watching</t>
  </si>
  <si>
    <t>We grieve for the officers killed in Baton Rouge today. How many law enforcement and people have to...
https://t.co/pPNrzG8kEa</t>
  </si>
  <si>
    <t>The ratings at @FoxNews blow away the ratings of @CNN - not even close. That's because CNN is the Clinton News Network and people don't like</t>
  </si>
  <si>
    <t>.@FoxNews is much better, and far more truthful, than @CNN, which is all negative. Guests are stacked for Crooked Hillary! I don't watch.</t>
  </si>
  <si>
    <t>If Goofy Elizabeth Warren, a very weak Senator, didn't lie about her heritage (being Native American) she would be nothing today. Pick her H</t>
  </si>
  <si>
    <t>I hope that Crooked Hillary picks Goofy Elizabeth Warren, sometimes referred to as Pocahontas, as her V.P. Then we can litigate her fraud!</t>
  </si>
  <si>
    <t>It doesn't matter that Crooked Hillary has experience, look at all of the bad decisions she has made. Bernie said she has bad judgement!</t>
  </si>
  <si>
    <t>As the days and weeks go by,  we see what a total mess our country (and world) is in - Crooked Hillary Clinton led Obama into bad decisions!</t>
  </si>
  <si>
    <t>We are going to have a great time in Cleveland. Will lead to special results for our country. We will Make America Great Again!</t>
  </si>
  <si>
    <t>Goofy Elizabeth Warren, who may be the least productive Senator in the U.S. Senate, must prove she is not a fraud. Without the con it's over</t>
  </si>
  <si>
    <t>Thank you to Jack Morgan, Tamara Neo, Cheryl Ann Kraft and all of my friends and supporters in Virginia. GREAT JOB!</t>
  </si>
  <si>
    <t>"@TrumpDoonbeg: Great news! We've been nominated for Ireland's Best Golf Hotel 2016.We would appreciate your vote! https://t.co/5uEBphqdG9"</t>
  </si>
  <si>
    <t>Thank you to Chris Cox and Bikers for Trump - Your support has been amazing. I will never forget. MAKE AMERICA GREAT AGAIN!</t>
  </si>
  <si>
    <t>Thank you! #TrumpPence16 https://t.co/RHprMCsGT6</t>
  </si>
  <si>
    <t>Crooked Hillary Clinton is bought and paid for by Wall Street, lobbyists and special interests. She will sell our country down the tubes!</t>
  </si>
  <si>
    <t>Very sad that a person who has made so many mistakes, Crooked Hillary Clinton, can put out such false and vicious ads with her phony money!</t>
  </si>
  <si>
    <t>Crooked Hillary, who embarrassed herself and the country with her e-mail lies, has been a DISASTER on foreign policy. Look what's happening!</t>
  </si>
  <si>
    <t>Crooked Hillary is spending big Wall Street money on ads saying I don't have foreign policy experience, yet look what her policies have done</t>
  </si>
  <si>
    <t>Look forward to introducing Governor Mike Pence (who has done a spectacular job in the great State of Indiana). My first choice from start!</t>
  </si>
  <si>
    <t>Look forward to Governor Mike Pence V.P. introduction tomorrow in New York City.</t>
  </si>
  <si>
    <t>I am pleased to announce that I have chosen Governor Mike Pence as my Vice Presidential running mate. News conference tomorrow at 11:00 A.M.</t>
  </si>
  <si>
    <t>Four more years of weakness with a Crooked Hillary Administration is not acceptable. Look what has happened to the world with O &amp;amp; Hillary!</t>
  </si>
  <si>
    <t>#NeverTrump is never more. They were crushed last night in Cleveland at Rules Committee by a vote of 87-12. MAKE AMERICA GREAT AGAIN!</t>
  </si>
  <si>
    <t>My prayers and condolences to the victims and families of the terrible tragedy in Nice, France. We are with you in every way!</t>
  </si>
  <si>
    <t>In light of the horrible attack in Nice, France, I have postponed tomorrow's news conference concerning my Vice Presidential announcement.</t>
  </si>
  <si>
    <t>Another horrific attack, this time in Nice, France. Many dead and injured. When will we learn? It is only getting worse.</t>
  </si>
  <si>
    <t>I employ many people in the State of Virginia - JOBS, JOBS, JOBS! Crooked Hillary will sell us out, just like her husband did with NAFTA.</t>
  </si>
  <si>
    <t>Another new poll. Thank you for your support! Join the MOVEMENT today! 
#ImWithYou https://t.co/3KWOl2ibaW https://t.co/miT4atHxQz</t>
  </si>
  <si>
    <t>Great new poll- thank you America!
#Trump2016 #ImWithYou https://t.co/aVH9c5QRwc</t>
  </si>
  <si>
    <t>I will be making the announcement of my Vice Presidential pick on Friday at 11am in Manhattan. Details to follow.</t>
  </si>
  <si>
    <t>If I win the Presidency, we will swamp Justice Ginsburg with real judges and real legal opinions!</t>
  </si>
  <si>
    <t>Even the @NYTimes and @WashingtonPost Editorial Boards condemned Justice Ginsburg for her ethical and legal breach. What was she thinking?</t>
  </si>
  <si>
    <t>Is Supreme Court Justice Ruth Bader Ginsburg going to apologize to me for her misconduct? Big mistake by an incompetent judge!</t>
  </si>
  <si>
    <t>On my way to San Diego to raise money for the Republican Party. I am spending a lot myself and also helping others.</t>
  </si>
  <si>
    <t>Voters understand that Crooked Hillary's negative ads are not true- just like her email lies and her other fraudulent activity.</t>
  </si>
  <si>
    <t>Despite spending $500k a day on TV ads alone #CrookedHillary falls flat in nationwide @QuinnipiacPoll. Having ZERO impact. Sad!!</t>
  </si>
  <si>
    <t>Lyin' Crooked Hillary's email stories all have one thing in common. https://t.co/teoVCYXKOR</t>
  </si>
  <si>
    <t>Is President Obama trying to destroy Israel with all his bad moves? Think about it and let me know!</t>
  </si>
  <si>
    <t>The Republican platform is most 
pro-Israel of all time!</t>
  </si>
  <si>
    <t>New GOP platform now includes language that supports the border wall. We will build the wall and MAKE AMERICA SAFE AGAIN!</t>
  </si>
  <si>
    <t>#CrookedHillary is outspending me by a combined 31 to 1 in Florida, Ohio, &amp;amp; Pennsylvania. I haven't started yet! https://t.co/BcoPrwqFMe</t>
  </si>
  <si>
    <t>Thank you Florida, Ohio, and Pennsylvania! #CrookedHillary is not qualified. #ImWithYou https://t.co/M1yzgyeEdY</t>
  </si>
  <si>
    <t>Thank you! #ImWithYou https://t.co/6XkUQ0W4QS</t>
  </si>
  <si>
    <t>Justice Ginsburg of the U.S. Supreme Court has embarrassed all by making very dumb political statements about me. Her mind is shot - resign!</t>
  </si>
  <si>
    <t>THANK YOU INDIANA! #Trump2016 https://t.co/Jmkah9wGaA</t>
  </si>
  <si>
    <t>Thank you Iowa- see you soon!
#Trump2016 #ImWithYou 
https://t.co/gva0MbgnuO https://t.co/PE1jdqZysc</t>
  </si>
  <si>
    <t>I will be interviewed by @oreillyfactor tonight on @FoxNews at 8pm. Enjoy!</t>
  </si>
  <si>
    <t>The American people agree. No free pass for #CrookedHillary! https://t.co/lTjLVKkzh1</t>
  </si>
  <si>
    <t>To all the Bernie voters who want to stop bad trade deals &amp;amp; global special interests, we welcome you with open arms. People first.</t>
  </si>
  <si>
    <t>Bernie sanders has abandoned his supporters by endorsing pro-war pro-TPP pro-Wall Street Crooked Hillary Clinton.</t>
  </si>
  <si>
    <t>Bernie Sanders endorsing Crooked Hillary Clinton is like Occupy Wall Street endorsing Goldman Sachs.</t>
  </si>
  <si>
    <t>#CrookedHillary is not qualified!
https://t.co/6qi7KTW43O</t>
  </si>
  <si>
    <t>I am somewhat surprised that Bernie Sanders was not true to himself and his supporters. They are not happy that he is selling out!</t>
  </si>
  <si>
    <t>Bernie Sanders, who has lost most of his leverage, has totally sold out to Crooked Hillary Clinton. He will endorse her today - fans angry!</t>
  </si>
  <si>
    <t>This election is a choice between law, order &amp;amp; safety - or chaos, crime &amp;amp; violence. I will make America safe again for everyone. #ImWithYou</t>
  </si>
  <si>
    <t>For too many years, our inner cities have been left behind. I am going to deliver jobs, safety and protection for those in need.</t>
  </si>
  <si>
    <t>Crime is out of control, and rapidly getting worse. Look what is going on in Chicago and our inner cities. Not good!</t>
  </si>
  <si>
    <t>#MakeAmericaGreatAgain #ImWithYou
https://t.co/lb5ViCDH0g https://t.co/roVn7pAVfy</t>
  </si>
  <si>
    <t>Senior United States District Judge Robert E. Payne today ruled in favor of Trump campaign delegates who had argued..https://t.co/qVwfjgCHU7</t>
  </si>
  <si>
    <t>Speech on Veterans' Reform:
https://t.co/XB7RMwesMK</t>
  </si>
  <si>
    <t>Great poll- Florida! Thank you! https://t.co/4FuPpL5WOM</t>
  </si>
  <si>
    <t>Thoughts and prayers with the victims, and their families- along with everyone at the Berrien County Courthouse in St. Joseph, Michigan.</t>
  </si>
  <si>
    <t>Join me in Westfield, Indiana- tomorrow night at 7:30pm! #Trump2016 
Tickets: https://t.co/Jj9TmSEoOd https://t.co/Rq6YRHlpib</t>
  </si>
  <si>
    <t>I heard that the underachieving John King of @CNN on Inside Politics was one hour of lies. Happily, few people are watching - dead network!</t>
  </si>
  <si>
    <t>The media is so dishonest. If I make a statement, they twist it and turn it to make it sound bad or foolish.They think the public is stupid!</t>
  </si>
  <si>
    <t>President Obama thinks the nation is not as divided as people think. He is living in a world of the make believe!</t>
  </si>
  <si>
    <t>Look what is happening to our country under the WEAK leadership of Obama and people like Crooked Hillary Clinton. We are a divided nation!</t>
  </si>
  <si>
    <t>New poll - thank you! #Trump2016
https://t.co/Mi87Vmw06H https://t.co/WmqvcYG4r3</t>
  </si>
  <si>
    <t>Way to go @serenawilliams  - you are a true champion. Proud of you!</t>
  </si>
  <si>
    <t>MAKE AMERICA SAFE AGAIN!
https://t.co/m0AJWlV8nm https://t.co/P0GleHEmJy</t>
  </si>
  <si>
    <t>Isn't it sad that on a day of national tragedy Hillary Clinton is answering softball questions about her email lies on @CNN?</t>
  </si>
  <si>
    <t>Due to the horrific events taking place in our country, I have decided to postpone my speech on economic opportunity- today in Miami.</t>
  </si>
  <si>
    <t>Last night's horrific execution-style shootings of 12 Dallas law enforcement officers...https://t.co/mwzYU98yTt</t>
  </si>
  <si>
    <t>Prayers and condolences to all of the families who are so thoroughly devastated by the horrors we are all watching take place in our country</t>
  </si>
  <si>
    <t>After today, Crooked Hillary can officially be called Lyin' Crooked Hillary.</t>
  </si>
  <si>
    <t>Thank you Speaker @PRyan!
#AmericaFirst #Trump2016  https://t.co/PPsyxGPdFc</t>
  </si>
  <si>
    <t>#MakeAmericaGreatAgain  https://t.co/fxlVgfAA1l</t>
  </si>
  <si>
    <t>Thank you Rep. Collins! #Trump2016 https://t.co/zkmPywMDxg</t>
  </si>
  <si>
    <t>Just leaving D.C. Had great meetings with Republicans in the House and Senate. Very interesting day! These are people who love our country!</t>
  </si>
  <si>
    <t>Great being in Cincinnati, Ohio last night- thank you! Off to Washington D.C. now. #Trump2016 #AmericaFirst https://t.co/sryJgRyd56</t>
  </si>
  <si>
    <t>Where is the outrage for this Disney book? Is this the 'Star of David' also? 
Dishonest media! #Frozen https://t.co/4LJBpSm8xa</t>
  </si>
  <si>
    <t>To all of my twitter followers, please contribute whatever you can to the campaign. We must beat Crooked Hillary. https://t.co/Xv8Q1GuWiH</t>
  </si>
  <si>
    <t>Convention speaker schedule to be released tomorrow. Let today be devoted to Crooked Hillary and the rigged system under which we live.</t>
  </si>
  <si>
    <t>I have over seven million hits on social media re Crooked Hillary Clinton. Check it out Sleepy Eyes, @MarkHalperin @NBCPolitics</t>
  </si>
  <si>
    <t>Sleepy eyes Chuck Todd, a man with so little touch for politics, is at it again.He could not have watched my standing ovation speech in N.C.</t>
  </si>
  <si>
    <t>Even the once great Caesars is bankrupt in A.C. Others to follow. Ask the Democrat City Council what happened to Atlantic City.</t>
  </si>
  <si>
    <t>Hillary Clinton should ask why the Democrat pols in Atlantic City made all the wrong moves - Convention Center, Airport - and destroyed City</t>
  </si>
  <si>
    <t>I made a lot of money in Atlantic City and left 7 years ago, great timing (as all know). Pols made big mistakes, now many bankruptcies.</t>
  </si>
  <si>
    <t>Crooked Hillary Clinton lied to the FBI and to the people of our country. She is sooooo guilty. But watch, her time will come!</t>
  </si>
  <si>
    <t>The rigged system may have helped Hillary Clinton escape criminal charges, but...https://t.co/KO64IAMDgj https://t.co/8CBSfNpl2l</t>
  </si>
  <si>
    <t>Crooked Hillary has once again been proven to be a person who is dishonest, incompetent and of very bad judgement.</t>
  </si>
  <si>
    <t>Crooked Hillary Clinton and her team "were extremely careless in their handling of very sensitive, highly classified information." Not fit!</t>
  </si>
  <si>
    <t>Crooked Hillary Clinton is unfit to serve as President of the U.S. Her temperament is weak and her opponents are strong. BAD JUDGEMENT!</t>
  </si>
  <si>
    <t>I don't think the voters will forget the rigged system that allowed Crooked Hillary to get away with "murder." Come November 8, she's out!</t>
  </si>
  <si>
    <t>Raised a lot of money for the Republican Party. There will be a big gasp when the figures are announced in the morning. Lots of support! Win</t>
  </si>
  <si>
    <t>I will be interviewed by @oreillyfactor tonight on @FoxNews at 11pm. Enjoy!</t>
  </si>
  <si>
    <t>My son, @EricTrump will be interviewed by @SeanHannity tonight at 10pm on @FoxNews. Enjoy!</t>
  </si>
  <si>
    <t>Looking forward to meeting with @SenBobCorker in a little while. We will be traveling to North Carolina together today.</t>
  </si>
  <si>
    <t>FBI director said Crooked Hillary compromised our national security. No charges. Wow! #RiggedSystem</t>
  </si>
  <si>
    <t>The system is rigged. General Petraeus got in trouble for far less. Very very unfair! As usual, bad judgment.</t>
  </si>
  <si>
    <t>It was great spending time with @joniernst yesterday. She has done a fantastic job for the people of Iowa and U.S. Will see her again!</t>
  </si>
  <si>
    <t>Taxpayers are paying a fortune for the use of Air Force One on the campaign trail by President Obama and Crooked Hillary. A total disgrace!</t>
  </si>
  <si>
    <t>On @FoxNews at 7:00 P.M. "Special: Meet the Trumps" Hope you enjoy!</t>
  </si>
  <si>
    <t>Why is President Obama allowed to use Air Force One on the campaign trail with Crooked Hillary? She is flying with him tomorrow. Who pays?</t>
  </si>
  <si>
    <t>With Hillary and Obama, the terrorist attacks will only get worse. Politically correct fools, won't even call it what it is - RADICAL ISLAM!</t>
  </si>
  <si>
    <t>Crooked Hillary Clinton is "guilty as hell" but the system is totally rigged and corrupt! Where are the 33,000 missing e-mails?</t>
  </si>
  <si>
    <t>The only people who are not interested in being the V.P. pick are the people who have not been asked!</t>
  </si>
  <si>
    <t>I look forward to meeting @joniernst today in New Jersey. She has done a great job as Senator of Iowa!</t>
  </si>
  <si>
    <t>Spent time with Indiana Governor Mike Pence and family yesterday. Very impressed, great people!</t>
  </si>
  <si>
    <t>Senator Tom Cotton was great on Meet the Press yesterday. Despite a totally one-sided interview by Chuck Todd, the end result was solid!</t>
  </si>
  <si>
    <t>Dishonest media is trying their absolute best to depict a star in a tweet as the Star of David rather than a Sheriff's Star, or plain star!</t>
  </si>
  <si>
    <t>Happy 4th of July! #Trump2016 #AmericaFirst https://t.co/Ndb3AQrLtY https://t.co/YhHyQjwJW6</t>
  </si>
  <si>
    <t>Crooked Hillary will NEVER be able to handle the complexities and danger of ISIS - it will just go on forever. We need change!</t>
  </si>
  <si>
    <t>The third mass attack (slaughter) in days by ISIS. 200 dead in Baghdad, worst in many years. We do not have leadership that can stop this!</t>
  </si>
  <si>
    <t>In Bangladesh, hostages were immediately killed by ISIS terrorists if they were unable to cite a verse from the Koran. 20 were killed!</t>
  </si>
  <si>
    <t>I believe that Crooked Hillary sent Bill to have the meeting with the U.S.A.G. So Bill is not in trouble with H except that he got caught!</t>
  </si>
  <si>
    <t>The SECRET meeting between Bill Clinton and the U.S.A.G. in back of closed plane was heightened with FBI shouting "go away, no pictures."</t>
  </si>
  <si>
    <t>Does anybody really believe that Bill Clinton and the U.S.A.G. talked only about "grandkids" and golf for 37 minutes in plane on tarmac?</t>
  </si>
  <si>
    <t>"THE SYSTEM IS RIGGED!"</t>
  </si>
  <si>
    <t>On Saturday a great man, Elie Wiesel, passed away.The world is a better place because of him and his belief that good can triumph over evil!</t>
  </si>
  <si>
    <t>Crooked Hillary Clinton knew that her husband wanted to meet with the U.S.A.G. to work out a deal. The system is totally rigged &amp;amp; corrupt!</t>
  </si>
  <si>
    <t>Only a fool would believe that the meeting between Bill Clinton and the U.S.A.G. was not arranged or that Crooked Hillary did not know.</t>
  </si>
  <si>
    <t>Just watched @meetthepress and how totally biased against me Chuck Todd, and the entire show, is against me.The good news-the people get it!</t>
  </si>
  <si>
    <t>It was just announced-by sources-that no charges will be brought against Crooked Hillary Clinton. Like I said, the system is totally rigged!</t>
  </si>
  <si>
    <t>It is impossible for the FBI not to recommend criminal charges against Hillary Clinton. What she did was wrong! What Bill did was stupid!</t>
  </si>
  <si>
    <t>Thank you @greta. #ImWithYou https://t.co/SLdqNhD4Tm</t>
  </si>
  <si>
    <t>Thank you for your support!
#AmericaFirst #LeadRight2016  https://t.co/a6f6xZNrym</t>
  </si>
  <si>
    <t>RT @GOP: Reminder: last year, Clinton pledged she had turned over all work-related email under penalty of perjury ⬇️ https://t.co/X4R7LnsSoy</t>
  </si>
  <si>
    <t>Thank you! #AmericaFirst https://t.co/MYG45LxGmH</t>
  </si>
  <si>
    <t>If I become the next POTUS- they will not be ignoring! #AmericaFirst 
https://t.co/97R0cQdnGI</t>
  </si>
  <si>
    <t>Crooked Hillary -- Makes History! 
#ImWithYou #AmericaFirst https://t.co/PKQhYhMmIX</t>
  </si>
  <si>
    <t>The #2A to our Constitution is clear. The right of the people to keep &amp;amp; bear Arms shall not be infringed upon. https://t.co/sqe12D0MBJ</t>
  </si>
  <si>
    <t>#AmericaFirst #ImWithYou https://t.co/iEcnnlJ728</t>
  </si>
  <si>
    <t>The speakers slots at the Republican Convention are totally filled, with a long waiting list of those that want to speak - Wednesday release</t>
  </si>
  <si>
    <t>Just read in the failing @nytimes that I was not aware "the event had to be held in Cleveland" - a total lie. These people are sick!</t>
  </si>
  <si>
    <t>When you can't say it - or see it -- you can't fix it. We will MAKE AMERICA SAFE AGAIN! #ImWithYou #AmericaFirst https://t.co/Vd2A747L29</t>
  </si>
  <si>
    <t>Just returned from Colorado. Amazing crowd!</t>
  </si>
  <si>
    <t>Thank you for inviting me to the Western Conservative Summit in Colorado! #ImWithYou #WCS16 
https://t.co/lK3UW4fY2q https://t.co/QDQhRRuBbG</t>
  </si>
  <si>
    <t>Thank you for your support! We will MAKE AMERICA SAFE AND GREAT AGAIN! #ImWithYou #AmericaFirst https://t.co/ravfFT5UBE</t>
  </si>
  <si>
    <t>These crimes won't be happening if I'm elected POTUS. Killer should have never been here. #AmericaFirst 
https://t.co/XDGKaj0ico</t>
  </si>
  <si>
    <t>Yet another terrorist attack today in Israel -- a father, shot at by a Palestinian terrorist, was killed while:
https://t.co/Cv1HzKVbiT</t>
  </si>
  <si>
    <t>Horrible killing of a 13 year old American girl at her home in Israel by a Palestinian terrorist. We must get tough. https://t.co/zauQ6kb9Hj</t>
  </si>
  <si>
    <t>.@TraceAdkins great job on FOX this morning. Keep up the good work!</t>
  </si>
  <si>
    <t>Take a look at what happened w/ Bill Clinton. The system is totally rigged. Does anybody really believe that meeting was just a coincidence?</t>
  </si>
  <si>
    <t>Bill Clinton's meeting was a total secret. Nobody was to know about it but he was caught by a local reporter.</t>
  </si>
  <si>
    <t>As Bernie Sanders said, Hillary Clinton has bad judgement. Bill's meeting was probably initiated and demanded by Hillary!</t>
  </si>
  <si>
    <t>#ThrowbackThursday #Trump2016
https://t.co/gFtspBViXe</t>
  </si>
  <si>
    <t>I will be interviewed by @SeanHannity tonight at 10pm on FOX! Enjoy!</t>
  </si>
  <si>
    <t>The reason I put up approximately $50 million for my successful primary campaign is very simple, I want to MAKE AMERICA GREAT AGAIN!</t>
  </si>
  <si>
    <t>I have self funded my winning primary campaign with an approx. $50 million loan. I have totally terminated the loan!</t>
  </si>
  <si>
    <t>The very dishonest @NBCNews refuses to accept the fact that I have forgiven my $50 million loan to my campaign. Done deal!</t>
  </si>
  <si>
    <t>One of the reasons Hillary hid her emails was so the public wouldn't see how she got rich- selling out America. 
https://t.co/mO9QrmYXRD</t>
  </si>
  <si>
    <t>Why would college graduates want Crooked Hillary as their President? She will destroy them! 
https://t.co/S80xxdeHfG</t>
  </si>
  <si>
    <t>New book by @ericbolling is absolutely terrific and a must read! #WakeUpAmerica</t>
  </si>
  <si>
    <t>The story with Hillary will never change. https://t.co/h0Av3TAIiM</t>
  </si>
  <si>
    <t>RT @DRUDGE_REPORT: 43-39 https://t.co/TkQYb6V2do</t>
  </si>
  <si>
    <t>For reasons only they can explain, the @USChamber wants to continue our bad trade deals rather than renegotiating and making them better.</t>
  </si>
  <si>
    <t>Tremendous day in Massachusetts and Maine. Thank you to everyone for making it so special!</t>
  </si>
  <si>
    <t>"@Gengm7: @jakeda @realDonaldTrump As of April this year, Hillary had spent $264,000,000 on her campaign Mr.Trump $55,000,000. self funding"</t>
  </si>
  <si>
    <t>I will be on @oreillyfactor at 8:00 P.M. Enjoy!</t>
  </si>
  <si>
    <t>ISIS exploded on Hillary Clinton's watch- she's done nothing about it and never will. Not capable!</t>
  </si>
  <si>
    <t>Will be in Bangor, Maine today! Join me- 4pmE at the Cross Insurance Center! https://t.co/y4n4nERPFr https://t.co/7LAPewxE05</t>
  </si>
  <si>
    <t>New Q poll out- we are going to win the whole deal- and MAKE AMERICA GREAT AGAIN! #Trump2016 https://t.co/dL5ahNcwZb</t>
  </si>
  <si>
    <t>Just watched Senator John Barrasso on @FoxNews - He was great! Thank you John.</t>
  </si>
  <si>
    <t>Why would the USChamber be upset by the fact that I want to negotiate better and stronger trade deals or that I want penalties for cheaters?</t>
  </si>
  <si>
    <t>The @USCHAMBER must fight harder for the American worker. China, and many others, are taking advantage of U.S. with our terrible trade pacts</t>
  </si>
  <si>
    <t>Iron Mike Tyson was not asked to speak at the Convention though I'm sure he would do a good job if he was. The media makes everything up!</t>
  </si>
  <si>
    <t>"@jtsbk:  @AllenWest thanks for sharing Eric we need @realDonaldTrump now as this administration is incapable of keeping our country safe"</t>
  </si>
  <si>
    <t>We must do everything possible to keep this horrible terrorism outside the United States.</t>
  </si>
  <si>
    <t>Yet another terrorist attack, this time in Turkey. Will
the world ever realize what is going on? So sad.</t>
  </si>
  <si>
    <t>Hillary Clinton’s Presidency would be catastrophic for
the future of our country. She is ill-fit with bad judgment.</t>
  </si>
  <si>
    <t>Benghazi is just another Hillary Clinton failure. It just
never seems to work the way it's supposed to with Clinton.</t>
  </si>
  <si>
    <t>Check it out - 2nd video on Lying Crooked Hillary is now online! Watch it here: 
https://t.co/5mtwkOvQnd 
#CrookedHillary #Trump2016</t>
  </si>
  <si>
    <t>"@kridan1: Canceled cable - sick of their bad coverage of you and the fawning over Clinton ... Listened to your great speech on YouTube"</t>
  </si>
  <si>
    <t>"@bluedogdemky: @CWAUnion @iowa_trump @RichardTrumka @AFLCIO This is why I would think the unions would support @realDonaldTrump for #POTUS"</t>
  </si>
  <si>
    <t>"@arnold_ziffel: @AnnCoulter also can't help but notice the stock market's reaction as @realDonaldTrump was speaking. #UPUPUP"</t>
  </si>
  <si>
    <t>"@Patricia_Graf:  @GovBrewer @cvpayne let's get Trump supporters out in massive numbers and make America Great Again - create jobs"</t>
  </si>
  <si>
    <t>"@vegas_sports: Good for @realDonaldTrump he's smart on business. Maybe If corporations weren't overtaxed they would stay. Voting for #Trump</t>
  </si>
  <si>
    <t>"@GovBrewer: I'll be a guest today on Making Money with @cvpayne on @ Fox Business 6 PM ET / 3 PM PT Discussing @realDonaldTrump. Tune in!"</t>
  </si>
  <si>
    <t>.@CNN is all negative when it comes to me. I don't watch it anymore.</t>
  </si>
  <si>
    <t>The media is unrelenting. They will only go with and report a story in a negative light. I called Brexit (Hillary was wrong), watch November</t>
  </si>
  <si>
    <t>Crooked Hillary is wheeling out one of the least productive senators in the U.S. Senate, goofy Elizabeth Warren, who lied on heritage.</t>
  </si>
  <si>
    <t>"@LindaSuhler: Trump voters don't scare or back down. Our numbers are growing &amp;amp; we're taking our country BACK. #Trump2016🇺🇸 #MAGA</t>
  </si>
  <si>
    <t>"@w4djt: "Under a Trump presidency, America will make brilliant new trade deals!" —Donald Trump #dtmag https://t.co/NpYI9i4iSG"</t>
  </si>
  <si>
    <t>"@brazosboys: Hillary read "sigh" off the Teleprompter, She's so fake she has to be told how to feel: https://t.co/ENXliW2m77 @FoxNews</t>
  </si>
  <si>
    <t>"@JimVitari:  @ABC @washingtonpost we know they're fake just like poles during primary. I'm sure u will crush #CrookedHillary in general"</t>
  </si>
  <si>
    <t>The "dirty" poll done by @ABC @washingtonpost is a disgrace. Even they admit that many more Democrats were polled. Other polls were good.</t>
  </si>
  <si>
    <t>Crooked Hillary Attacks Foreign Government Donations - While Ignoring Her Own: https://t.co/pr3BSHJSxL</t>
  </si>
  <si>
    <t>Crooked Hillary Clinton got Brexit wrong. I said LEAVE will win. She has no sense of markets and such bad judgement. Only a question of time</t>
  </si>
  <si>
    <t>Hillary Clinton is not a change agent, just the same old status quo! She is spending a fortune, I am spending very little. Close in polls!</t>
  </si>
  <si>
    <t>People in our country want borders, and without them the old line pols like Crooked Hillary will not win. It is time for CHANGE -- and JOBS!</t>
  </si>
  <si>
    <t>Top 50 Facts About Crooked Hillary Clinton From Trump 'Stakes Of The Election' Address: https://t.co/lfUdXYnsgJ</t>
  </si>
  <si>
    <t>The @ABC poll sample is heavy on Democrats.  Very dishonest - why would they do that? Other polls good!</t>
  </si>
  <si>
    <t>Crooked Hillary just took a major ad of me playing golf at Turnberry. Shows me hitting shot, but I never did = lie! Was there to support son</t>
  </si>
  <si>
    <t>Clinton is trying to wash away her bad judgement call on BREXIT with big dollar ads. Disgraceful!</t>
  </si>
  <si>
    <t>Crooked Hillary Clinton, who called BREXIT 100% wrong (along with Obama), is now spending Wall Street money on an ad on my correct call.</t>
  </si>
  <si>
    <t>George Will, one of the most overrated political pundits (who lost his way long ago), has left the Republican Party.He's made many bad calls</t>
  </si>
  <si>
    <t>Just landed in New York - a one night stay in Scotland. Turnberry came out magnificently. My son, Eric, did a great job - under budget!</t>
  </si>
  <si>
    <t>Obama has blocked ICE officers and BP from doing their jobs. That ends when I am President!</t>
  </si>
  <si>
    <t>I have never liked the media term 'mass deportation' -- but we must enforce the laws of the land!</t>
  </si>
  <si>
    <t>We only want to admit those who love our people and support our values. #AmericaFirst</t>
  </si>
  <si>
    <t>We must suspend immigration from regions linked with terrorism until a proven vetting method is in place.</t>
  </si>
  <si>
    <t>Thank you to everyone who came out &amp;amp; joined us @TrumpTurnberry yesterday! @EricTrump @IvankaTrump @DonaldJTrumpJr https://t.co/hQ1JTMrUtG</t>
  </si>
  <si>
    <t>On the 13th tee box @TrumpScotland with my grand daughter, Kai! @DonaldJTrumpJr https://t.co/7ii4KUfsab</t>
  </si>
  <si>
    <t>Arriving @TrumpScotland with @DonaldJTrumpJr &amp;amp; @EricTrump. Back to New York tonight. 
Video: https://t.co/2GUKqOTHS5</t>
  </si>
  <si>
    <t>So funny, Crooked Hillary called BREXIT so incorrectly, and now she says that she is the one to deal with the U.K. All talk, no action!</t>
  </si>
  <si>
    <t>Thoughts and prayers are with everyone in West Virginia- dealing with the devastating floods. #ImWithYou</t>
  </si>
  <si>
    <t>"@Jolena3: @realDonaldTrump And we will get it back once we have President Trump! Can't wait!"</t>
  </si>
  <si>
    <t>"@DarrenWaggener: @realDonaldTrump What has happened in the UK in the last 12 hours is exactly what will happen in November..vote TRUMP 2016</t>
  </si>
  <si>
    <t>Many people are equating BREXIT, and what is going on in Great Britain, with what is happening in the U.S. People want their country back!</t>
  </si>
  <si>
    <t>The opening of Trump Turnberry in Scotland was a big success. Good timing, I was here for BREXIT. Very exciting news conference today!</t>
  </si>
  <si>
    <t>Crooked Hillary called it totally wrong on BREXIT - she went with Obama - and now she is saying we need her to lead. She would be a disaster</t>
  </si>
  <si>
    <t>I want all Americans to succeed together. President Obama's illegal executive amnesty undermines job prospects for...https://t.co/dpIDejXzJw</t>
  </si>
  <si>
    <t>New Government data by the Center for Immigration Studies shows more than 3M new legal &amp;amp; illegal immigrants settled..https://t.co/hMFyZc1kAM</t>
  </si>
  <si>
    <t>America is proud to stand shoulder-to-shoulder w/a free &amp;amp; ind UK. We stand together as friends, as allies, &amp;amp; as a people w/a shared history.</t>
  </si>
  <si>
    <t>Self-determination is the sacred right of all free people's, and the people of the UK have exercised that right for all the world to see.</t>
  </si>
  <si>
    <t>Getting ready to open the magnificent Turnberry in Scotland. What a great day, especially when added to the brave &amp;amp; brilliant vote.</t>
  </si>
  <si>
    <t>Statement Regarding British Referendum on E.U. Membership
https://t.co/GwWRxT3BVp</t>
  </si>
  <si>
    <t>Just arrived in Scotland. Place is going wild over the vote. They took their country back, just like we will take America back. No games!</t>
  </si>
  <si>
    <t>Congratulations to my son, Eric, on the fantastic job he has done in rebuilding Turnberry, and its great Ailsa Course. Always support kids!</t>
  </si>
  <si>
    <t>Leaving now for a one night trip to Scotland in order to be at the Grand Opening of my great Turnberry Resort. Will be back on Sat. night!</t>
  </si>
  <si>
    <t>Meet the amazing mother whose letter I read during my speech. She lost her son to policies supported by Clinton. https://t.co/NdGQI6Dnji</t>
  </si>
  <si>
    <t>Read my full statement here on the Supreme Court's executive amnesty decision #imwithyou 
https://t.co/sb1Ag1Eb27</t>
  </si>
  <si>
    <t>Here is another CNN lie. The Clinton News Network is losing all credibility. I’m not watching it much anymore.  https://t.co/pNSgSjD5gW</t>
  </si>
  <si>
    <t>CNN, which is totally biased in favor of Clinton, should apologize. They knew they were wrong.  https://t.co/KR7OnS8h6s</t>
  </si>
  <si>
    <t>RT @ScottAdamsSays: Trump's speech today is the best persuasion I have ever seen. Game over. Now running unopposed:  https://t.co/P7fHEMP6U…</t>
  </si>
  <si>
    <t>Our inner cities have been left behind. We will never have the resources to support our people if we have an open border.</t>
  </si>
  <si>
    <t>On immigration, I’m consulting with our immigration officers
&amp;amp; our wage-earners. Hillary Clinton is consulting with Wall Street.</t>
  </si>
  <si>
    <t>Obama &amp;amp; Clinton should stop meeting with special interests, &amp;amp; start meeting with the victims of illegal immigration.</t>
  </si>
  <si>
    <t>Hillary Clinton’s open borders are tearing American families apart. I am going to make our country Safe Again for all Americans. #Imwithyou</t>
  </si>
  <si>
    <t>SC has kept us safe from exec amnesty--for now. But Hillary has pledged to expand it, taking jobs from Hispanic &amp;amp; African-American workers.</t>
  </si>
  <si>
    <t>RT @FoxBusiness: .@JerryJrFalwell: "I was so impressed by [@realDonaldTrump's] speech yesterday. He was the best I've ever seen him." https…</t>
  </si>
  <si>
    <t>Hillary Lies to Benghazi Families
#CrookedHillary 
https://t.co/YWd5lk5skG</t>
  </si>
  <si>
    <t>ISIS threatens us today because of the decisions Hillary Clinton has made along with President Obama."  --  Donald J. Trump</t>
  </si>
  <si>
    <t>"Hillary Clinton may be the most corrupt person ever to seek the presidency."  --   Donald J. Trump</t>
  </si>
  <si>
    <t>Thank you to Donald Rumsfeld for the endorsement. Very much appreciated. Clinton's conduct has been "disqualifying."</t>
  </si>
  <si>
    <t>"@AllegrettiVicki: You have great children, future presidents...and we all see were raised right and out there for their father." Thank you.</t>
  </si>
  <si>
    <t>"@1lion: brilliant 3 word response to Hillary's 'I'm With You'  slogan https://t.co/dJL71jwK0g @realDonaldTrump https://t.co/Audi8h85qu"</t>
  </si>
  <si>
    <t>"@justininglv: @realDonaldTrump great speech today!! It's all about America and that's why you will become president!!!!"  Thank you.</t>
  </si>
  <si>
    <t>#Imwithyou https://t.co/tan8BmAuR8 https://t.co/5EZ7X1ZZKh</t>
  </si>
  <si>
    <t>#Imwithyou https://t.co/iY4K7Wcw3C</t>
  </si>
  <si>
    <t>Hillary says things can't change. I say they have to change. It's a choice between Americanism and her corrupt globalism. #Imwithyou</t>
  </si>
  <si>
    <t>"@chrisboydbrew: @LouDobbs @realDonaldTrump @FoxBusiness.. Saw your interview.You are the best! Great questions, great answers" Lou is great</t>
  </si>
  <si>
    <t>Crooked Hillary refuses to say that she will be raising taxes beyond belief! She will be a disaster for jobs and the economy!</t>
  </si>
  <si>
    <t>I will be interviewed by @LouDobbs tonight on @FoxBusiness 7pm ET</t>
  </si>
  <si>
    <t>Hillary defrauded America as Secy of State. She used it as a personal hedge fund to get herself rich! Corrupt, dangerous, dishonest.</t>
  </si>
  <si>
    <t>If you want to know about Hillary Clinton's honesty &amp;amp; judgment, ask the family of Ambassador Stevens.</t>
  </si>
  <si>
    <t>Hillary took money and did favors for regimes that enslave women and murder gays.</t>
  </si>
  <si>
    <t>I am "the king of debt."That has been great for me as a businessman, but is bad for the country. I made a fortune off of debt, will fix U.S.</t>
  </si>
  <si>
    <t>Obama-Clinton inherited $10T in debt and turned it into nearly $20T.  They have bankrupted… https://t.co/1COtt0RPY7</t>
  </si>
  <si>
    <t>Hillary Clinton's open borders immigration policies will drive down wages for all Americans - and make everyone less safe.</t>
  </si>
  <si>
    <t>How can Hillary run the economy when she can't even send emails without putting entire nation at risk?</t>
  </si>
  <si>
    <t>Hillary Clinton surged the trade deficit with China 40% as
Secretary of State, costing Americans millions of jobs.</t>
  </si>
  <si>
    <t>Hillary says this election is about judgment.  She's right.  Her judgement has killed thousands, unleashed ISIS and wrecked the economy.</t>
  </si>
  <si>
    <t>I will be making a big speech tomorrow to discuss the failed policies and bad judgment of Crooked Hillary Clinton.</t>
  </si>
  <si>
    <t>Crooked Hillary Clinton is totally unfit to be our president-really bad judgement and a temperament, according to new book, which is a mess!</t>
  </si>
  <si>
    <t>When I said that if, within the Orlando club, you had some people with guns, I was obviously talking about additional guards or employees</t>
  </si>
  <si>
    <t>.@DJohnsonPGA We are so proud of you Dustin. Your reaction under pressure was amazing. First of many Majors. You are a true CHAMPION!</t>
  </si>
  <si>
    <t>"@bfraser747: Watch out HillaryClinton 👿 Support @realDonaldTrump 🇺🇸 🇺🇸 #MakeAmericaGreatAgain 🇺🇸 https://t.co/UTYOLo7wGF"</t>
  </si>
  <si>
    <t>Yesterday's failing @NYTimes fraudulently shows an empty room prior to my speech, when in fact, it was packed! https://t.co/iFuf8MdTEH</t>
  </si>
  <si>
    <t>How can the NY Times show an empty room hours before my speech even started when they knew it was going to be packed? So totally dishonest!</t>
  </si>
  <si>
    <t>Donald Trump's Speech Is a Game Changer. #Trump2016
https://t.co/VXjtSivvuU https://t.co/dIK3IyrYGC</t>
  </si>
  <si>
    <t>See you soon Arizona! #Trump2016 https://t.co/W4z2eW5ay4</t>
  </si>
  <si>
    <t>I love you Arizona! Thank you!
#Trump2016 #AmericaFirst https://t.co/QuTsSmeVdO</t>
  </si>
  <si>
    <t>MAKE AMERICA GREAT AGAIN! MAKE AMERICA SAFE AGAIN!
#Trump2016 #AmericaFirst https://t.co/vN4K8FvQNT</t>
  </si>
  <si>
    <t>Thank you Las Vegas, Nevada!
#Trump2016 #AmericaFirst 
https://t.co/vhGwmhGCVR https://t.co/m1EIra7YMU</t>
  </si>
  <si>
    <t>In Las Vegas, getting ready to speak!</t>
  </si>
  <si>
    <t>Join me in Phoenix, Arizona today at 4pm! #Trump2016 #AmericaFirst https://t.co/PVB6QX7VpK https://t.co/hSaIurAfvD</t>
  </si>
  <si>
    <t>Thank you Houston, Texas! 
#AmericaFirst #Trump2016 
https://t.co/593p8uRPhq</t>
  </si>
  <si>
    <t>Thank you! #AmericaFirst  https://t.co/TZf8uwQO4L</t>
  </si>
  <si>
    <t>The convention in Cleveland will be amazing!  https://t.co/NlF2Gcr915</t>
  </si>
  <si>
    <t>Thank you- on my way!  https://t.co/uTCXPbWpve</t>
  </si>
  <si>
    <t>Thank you @DallasPD!  https://t.co/ORJyN4FsNI</t>
  </si>
  <si>
    <t>Join me in Phoenix, Arizona tomorrow at 4pm! #Trump2016 #AmericaFirst
https://t.co/PVB6QX7VpK https://t.co/B51r30Mazd</t>
  </si>
  <si>
    <t>THANK YOU! #AmericaFirst https://t.co/qp07UfnnjM</t>
  </si>
  <si>
    <t>RT @robertjeffress: Honored to pray for my friend, @realDonaldTrump, at tonight's Dallas rally. #TrumpDallas c: @DanScavino https://t.co/Bc…</t>
  </si>
  <si>
    <t>MAKE AMERICA GREAT AGAIN! MAKE AMERICA SAFE AGAIN!</t>
  </si>
  <si>
    <t>People very unhappy with Crooked Hillary and Obama on JOBS and SAFETY! Biggest trade deficit in many years! More attacks will follow Orlando</t>
  </si>
  <si>
    <t>Amazing crowd last night in Dallas - more spirit and passion than ever before. Today, all over the great State of Texas!</t>
  </si>
  <si>
    <t>"@VoteTrumpMAGA: The media attack on @realDonaldTrump is relentless. They are desperate. But, they keep #Trump in the news - a good thing.</t>
  </si>
  <si>
    <t>Thank you Dallas, Texas! 
https://t.co/ui9tSfMcS8 https://t.co/2iYArmM7oN</t>
  </si>
  <si>
    <t>Houston, TX:
https://t.co/nvHRnfi2N7
Las Vegas, NV
https://t.co/ksU8AGrFBS
Phoenix, AZ:
https://t.co/PVB6QX7VpK https://t.co/2ToWwthEeF</t>
  </si>
  <si>
    <t>Join me in Houston, Texas tomorrow night at 7pm! Tickets: https://t.co/nvHRnfzEbH https://t.co/Yd3f8xLpPl</t>
  </si>
  <si>
    <t>RT @Reince: Flying to Dallas now with @realDonaldTrump...Reports of discord are pure fiction. Great events lined up all over Texas.  Rs wil…</t>
  </si>
  <si>
    <t>"Donald Trumps Speech Is a Game Changer." https://t.co/VXjtSivvuU https://t.co/J777QHdYa3</t>
  </si>
  <si>
    <t>The trade deficit rose to a 7yr high thanks to horrible trade policies Clinton supports. I will fix it fast- JOBS! https://t.co/jaGeN4u50U</t>
  </si>
  <si>
    <t>McAllen, Texas- 8 miles from 
U.S. - Mexico border. #Trump2016 
Video: https://t.co/pQ4nSTnVrK https://t.co/dKBTP1QjH3</t>
  </si>
  <si>
    <t>"@realericjallen: @realDonaldTrump is a Common Sense Conservative! President Trump=Competence, Safety, Unity, &amp;amp; US JOBS, JOBS, JOB.</t>
  </si>
  <si>
    <t>RT @AnnCoulter: Trump's speech today was Churchillian, only better.  You can tell by the spluttering hysteria on TV about @realDonaldTrump.</t>
  </si>
  <si>
    <t>I will be interviewed on @greta at 7:00 P.M.  @FoxNews</t>
  </si>
  <si>
    <t>Finally an accurate story from the Washington Post!
https://t.co/0nNKEBSd73</t>
  </si>
  <si>
    <t>Join me in Dallas, Texas on Thursday!
#AmericaFirst #Trump2016 
https://t.co/fX0kXZUNqz https://t.co/c7sCbHDAQh</t>
  </si>
  <si>
    <t>Thank you Atlanta, Georgia! Will be back soon! #AmericaFirst https://t.co/cVJvfcoGOt</t>
  </si>
  <si>
    <t>I will be meeting with the NRA, who has endorsed me, about not allowing people on the terrorist watch list, or the no fly list, to buy guns.</t>
  </si>
  <si>
    <t>The press is so totally biased that we have no choice but to take our tough but fair and smart message directly to the people!</t>
  </si>
  <si>
    <t>An: Media fell all over themselves criticizing what DonaldTrump "may have insinuated about @POTUS." But he's right: https://t.co/bIIdYtvZYw</t>
  </si>
  <si>
    <t>Thank you Greensboro, North Carolina! Will be back soon! #AmericaFirst https://t.co/R29WMGNLGG</t>
  </si>
  <si>
    <t>TONIGHT! NORTH CAROLINA:
https://t.co/UolRS3aT6W
WEDNESDAY! GEORGIA:
https://t.co/1JJ2Kn0ani
SATURDAY! NEVADA:
https://t.co/x3w1PHtLXP</t>
  </si>
  <si>
    <t>RT @realDonaldTrump: HAPPY 241st BIRTHDAY to the @USArmy! THANK YOU! https://t.co/mXsxkfcstC</t>
  </si>
  <si>
    <t>HAPPY 241st BIRTHDAY to the @USArmy! THANK YOU! https://t.co/mXsxkfcstC</t>
  </si>
  <si>
    <t>Thank you to the LGBT community! I will fight for you while Hillary brings in more people that will threaten your freedoms and beliefs.</t>
  </si>
  <si>
    <t>AMERICA FIRST!</t>
  </si>
  <si>
    <t>American must now get very tough, very smart and very vigilant. We cannot admit people into our country without extraordinary screening.</t>
  </si>
  <si>
    <t>Join me in Atlanta on Wednesday- at noon! #Trump2016
Tickets: https://t.co/1JJ2Kn0ani https://t.co/cyARlHSEFU</t>
  </si>
  <si>
    <t>Crooked Hillary says we must call on Saudi Arabia and other countries to stop funding hate. I am calling on- cont'd: https://t.co/T1fVcu3mEC</t>
  </si>
  <si>
    <t>Saudi Arabia and many of the countries that gave vast amounts of money to the Clinton Foundation- cont'd: https://t.co/t31ReRSzzy</t>
  </si>
  <si>
    <t>I thought people weren’t celebrating? They were cheering all over, even this savage from Orlando. I was right. https://t.co/DrVa65X9rI</t>
  </si>
  <si>
    <t>In my speech on protecting America I spoke about a temporary ban, which includes suspending immigration from nations tied to Islamic terror.</t>
  </si>
  <si>
    <t>Based on the incredibly inaccurate coverage and reporting of the record setting Trump campaign, we are hereby:  https://t.co/THKJwjNkaz</t>
  </si>
  <si>
    <t>I am no fan of President Obama, but to show you how dishonest the phony Washington Post is: https://t.co/cITm8BPixD</t>
  </si>
  <si>
    <t>RT @AnnCoulter: Anyone who plans to talk about Trump ever again has to see this speech.  Your opinion is irrelevant unless you listened to…</t>
  </si>
  <si>
    <t>TERRORISM, IMMIGRATION, AND NATIONAL SECURITY SPEECH- TRANSCRIPT: https://t.co/WD1LGFKx3M https://t.co/T7yHSdCeU8</t>
  </si>
  <si>
    <t>Congratulations to the 2016 #StanleyCup Champions, Pittsburgh @Penguins!</t>
  </si>
  <si>
    <t>I am watching @FoxNews and how fairly they are treating me and my words, and @CNN, and the total distortion of my words and what I am saying</t>
  </si>
  <si>
    <t>I will be going to New Hampshire today, home of my first primary victory, to discuss terror and the horrible events of yesterday. 2:30 P.M.</t>
  </si>
  <si>
    <t>I have been hitting Obama and Crooked Hillary hard on not using the term Radical Islamic Terror. Hillary just broke-said she would now use!</t>
  </si>
  <si>
    <t>What has happened in Orlando is just the beginning. Our leadership is weak and ineffective. I called it and asked for the ban. Must be tough</t>
  </si>
  <si>
    <t>"@WandaWalls20: @realDonaldTrump Please make us safe. We cannot have Hillary as president. We will be in so much trouble.</t>
  </si>
  <si>
    <t>Reporting that Orlando killer shouted "Allah hu Akbar!" as he slaughtered clubgoers. 2nd man arrested in LA with rifles near Gay parade.</t>
  </si>
  <si>
    <t>Is President Obama going to finally mention the words radical Islamic terrorism? If he doesn't he should immediately resign in disgrace!</t>
  </si>
  <si>
    <t>Appreciate the congrats for being right on radical Islamic terrorism, I don't want congrats, I want toughness &amp;amp; vigilance. We must be smart!</t>
  </si>
  <si>
    <t>Horrific incident in FL. Praying for all the victims &amp;amp; their families. When will this stop? When will we get tough, smart &amp;amp; vigilant?</t>
  </si>
  <si>
    <t>Clinton made a false ad about me where I was imitating a reporter GROVELING after he changed his story. I would NEVER mock disabled. Shame!</t>
  </si>
  <si>
    <t>Really bad shooting in Orlando. Police investigating possible terrorism. Many people dead and wounded.</t>
  </si>
  <si>
    <t>Goofy Elizabeth Warren, sometimes referred to as Pocahontas, pretended to be a Native American in order to advance her career. Very racist!</t>
  </si>
  <si>
    <t>Riley Rone was a great young man. We will miss him dearly. https://t.co/R0tm44nMao</t>
  </si>
  <si>
    <t>Join me on Tuesday- in Greensboro, North Carolina! #Trump2016 #AmericaFirst https://t.co/iaL5IGTfV3</t>
  </si>
  <si>
    <t>Thank you Pittsburgh, Pennsylvania! Will be back soon! #AmericaFirst https://t.co/ttLMgInkdA</t>
  </si>
  <si>
    <t>Thank you to our amazing law enforcement officers! #AmericaFirst https://t.co/qWaTT9jsQD</t>
  </si>
  <si>
    <t>Thank you Tampa, Florida!
#AmericaFirst #TrumpTrain https://t.co/fY4QVoSSfj</t>
  </si>
  <si>
    <t>Sad case- @USATODAY did article saying I don't pay bills- false, only don't pay when work is shoddy, bad, or not done! They should do same!</t>
  </si>
  <si>
    <t>In Tampa, Florida- thank you to all of our outstanding volunteers who want to #MakeAmericaGreatAgain! https://t.co/04qqpGylT7</t>
  </si>
  <si>
    <t>Don King, and so many other African Americans who know me well and endorsed me, would not have done so if they thought I was a racist!</t>
  </si>
  <si>
    <t>Mitt Romney had his chance to beat a failed president but he choked like a dog. Now he calls me racist-but I am least racist person there is</t>
  </si>
  <si>
    <t>Thank you Richmond, Virginia! 
#Trump2016 https://t.co/SxU4yzCLQf</t>
  </si>
  <si>
    <t>Thank you @FaithandFreedom Coalition! An honor joining you today- to discuss our shared values.
#RTM2016 #Trump2016 https://t.co/Ye6IhOW6ZM</t>
  </si>
  <si>
    <t>Heading to Richmond, Virginia now. Join me tonight! #Trump2016
Tickets: https://t.co/I2CJSqiKGN</t>
  </si>
  <si>
    <t>#FlashbackFriday #CrookedHillary https://t.co/pvrBb7v4NG</t>
  </si>
  <si>
    <t>I rarely agree with President Obama- however he is 100% correct about Crooked Hillary Clinton. Great ad!
https://t.co/aOvVsZfAW3</t>
  </si>
  <si>
    <t>2004 VIDEO:
Pocahontas describing Crooked Hillary Clinton as a Corporate Donor Puppet. Time for change! #Trump2016 
https://t.co/rZ1MqUzpKU</t>
  </si>
  <si>
    <t>Heading to D.C. to speak at Faith and Freedom Coalition and visit OPO.</t>
  </si>
  <si>
    <t>"Donald Trump Plans To Continue GOP
Legacy Of Leading On Women’s, Civil Rights Against Racist, Sexist Democrats" 
https://t.co/nEPqAYw1G5</t>
  </si>
  <si>
    <t>The great boxing promoter, Don King, just endorsed me. Nice!</t>
  </si>
  <si>
    <t>Join me! 
6/10: Richmond, VA - 8pm
6/11: Tampa, FL - 11am
6/11: Pittsburgh, PA - 3pm
6/13: Portsmouth, NH - 2:30pm
https://t.co/kv624y9UOm</t>
  </si>
  <si>
    <t>"@Ausbiz:  RECORD 14 million primary votes/beat 16 opponents/financed own campaign. You will be a great POTUS &amp;amp; #MakeAmericaGreatAgain"</t>
  </si>
  <si>
    <t>"@FoxNews: .@JamesRosenFNC: "Never before has a president endorsed someone under investigation by @TheJusticeDept." https://t.co/fX5bs8fzac</t>
  </si>
  <si>
    <t>Pocahontas is at it again! Goofy Elizabeth Warren, one of the least productive U.S. Senators, has a nasty mouth. Hope she is V.P. choice.</t>
  </si>
  <si>
    <t>"@FreemarketSara: Trump's Historic 13 Million Primary Votes - A Record ... Congratulations @realDonaldTrump https://t.co/zdOEle8wOL"</t>
  </si>
  <si>
    <t>Join me! #Trump2016
6/10: Richmond
https://t.co/I2CJSqAlyl
6/11: Tampa
https://t.co/6jk33orxXG
6/11: Pittsburgh
https://t.co/bwgL1ZXtC7</t>
  </si>
  <si>
    <t>Thank you Roseanne, very much appreciated. https://t.co/COXEJ1In8D</t>
  </si>
  <si>
    <t>How long did it take your staff of 823 people to think that up--and where are your 33,000 emails that you deleted? https://t.co/gECLNtQizQ</t>
  </si>
  <si>
    <t>A message of condolences and support regarding the terrorist attacks in Tel Aviv: 
https://t.co/iulXLEANei</t>
  </si>
  <si>
    <t>Obama just endorsed Crooked Hillary. He wants four more years of Obama—but nobody else does!</t>
  </si>
  <si>
    <t>Crooked Hillary Clinton will be a disaster on jobs, the economy, trade, healthcare, the military, guns and just about all else. Obama plus!</t>
  </si>
  <si>
    <t>As expected, the media is very much against me. Their dishonesty is amazing but, just like our big wins in the primaries, we will win!</t>
  </si>
  <si>
    <t>"@KathyCeurter: @realDonaldTrump please Mr.Trump make @SenatorJeffSessions your VP. He is a perfect running mate."  He is a great guy!</t>
  </si>
  <si>
    <t>Bernie Sanders must really dislike Crooked Hillary after the way she played him. Many of his supporters, because of trade, will come to me.</t>
  </si>
  <si>
    <t>"@mabynshingleton: JohnKasich, the VOTERS have spoken.We want @realDonaldTrump. You AGREED to support NOMINEE. Get on board or leave @GOP"</t>
  </si>
  <si>
    <t>"@Dale_Dangler: @realDonaldTrump You will be the greatest president the world has ever seen"  Thanks.</t>
  </si>
  <si>
    <t>I would have had many millions of votes more than Crooked Hillary Clinton except for the fact that I had 16 opponents, she had one!</t>
  </si>
  <si>
    <t>"@nauthizjane: @realDonaldTrump Congratulations Mr. Trump."  Thank you!</t>
  </si>
  <si>
    <t>"@setfire2flames: Senator Sanders spent more than @realDonaldTrump yet lost."</t>
  </si>
  <si>
    <t>RT @seanhannity: Graph: @RealDonaldTrump's Historic 13 Million Primary Votes Compared To Every GOP Nominee Since 1908 https://t.co/vNpfaSZ8…</t>
  </si>
  <si>
    <t>MAKE AMERICA GREAT AGAIN!
#AmericaFirst #Trump2016 
https://t.co/42OpVsjXjp</t>
  </si>
  <si>
    <t>"@lovusa4: @RichardWeaving Why @foxandfriends @NewDay WHERE IS THE REPORTING @realDonaldTrump &amp;lt;MOST VOTES FOR PRESIDENT IN HISTORY OF USA"</t>
  </si>
  <si>
    <t>"@mariadaq:  HISTORIC!! what's historic is OUR national debt, record unemployment, &amp;amp;pocketbook crisis!THE PEOPLE NEED TRUMP2 make USA RICH!"</t>
  </si>
  <si>
    <t>"@sara_wejesa: @realDonaldTrump Great speach!!!!!!!"  Thanks!</t>
  </si>
  <si>
    <t>"@jimhewitt: . @FrankCaliendo doing @realDonaldTrump on @MikeAndMike is awesome. "Number one presidency of all time"</t>
  </si>
  <si>
    <t>"@JoeDeFranco: Top RINO hack for MSNBC Joey Scarborough on the air and calling the next President Trump a racist and bigot. Shame on you"</t>
  </si>
  <si>
    <t>Nobody is watching @Morning_Joe anymore. Gone off the deep end - bad ratings. You won't believe what I am watching now!</t>
  </si>
  <si>
    <t>"@southpaw816: @SenSanders fans, greatest way to get even with her Highness - vote for @realDonaldTrump, at least you'll have a job.</t>
  </si>
  <si>
    <t>Thank you to all for your wonderful comments on my speech. I could feel the electricity in thr air. Great reviews - most votes ever recieved</t>
  </si>
  <si>
    <t>"@WolfStopper: Gee ... Does this make @realDonaldTrump right one more time? https://t.co/zjWKGMDgzi"</t>
  </si>
  <si>
    <t>"@DjD_Thunder: Standing by @realDonaldTrump all the way to the White House! https://t.co/z4X1o5xHBh"</t>
  </si>
  <si>
    <t>Thank you California! #Trump2016 
https://t.co/GusL2UPrX2 https://t.co/H6D25S1TR5</t>
  </si>
  <si>
    <t>Thank you New Mexico! #Trump2016
https://t.co/wNOY8Pc2kM https://t.co/osWzVxNkJx</t>
  </si>
  <si>
    <t>Thank you South Dakota! #Trump2016 
https://t.co/GbRTQdxIj4 https://t.co/pNqwOrY0ZB</t>
  </si>
  <si>
    <t>Thank you New Jersey! #Trump2016
https://t.co/PgIYkHLGtI https://t.co/MyJMOKdpJ9</t>
  </si>
  <si>
    <t>Thank you Montana! #Trump2016
https://t.co/rOvTapLnWG https://t.co/PyHiy7vjO6</t>
  </si>
  <si>
    <t>I will be speaking about our great journey to the Republican nomination at 9:00 P.M. The movement toward a country that WINS again continues</t>
  </si>
  <si>
    <t>I will be interviewed tonight on @seanhannity - Enjoy!  10:00 P.M.</t>
  </si>
  <si>
    <t>Thank you! Together we will #MakeAmericaGreatAgain! https://t.co/7Jk6voyzue</t>
  </si>
  <si>
    <t>In just out book, Secret Service Agent Gary Byrne doesn't believe that Crooked Hillary has the temperament or integrity to be the president!</t>
  </si>
  <si>
    <t>A former Secret Service Agent for President Clinton excoriates Crooked Hillary describing her as ERRATIC &amp;amp; VIOLENT. Bad temperament for pres</t>
  </si>
  <si>
    <t>See, when I said NATO was obsolete because of no terrorism protection, they made the change without giving me credit.https://t.co/sRCF1H3rjg</t>
  </si>
  <si>
    <t>RT @IvankaTrump: My next project is pretty amazing…!
xx, Ivanka https://t.co/Ucq3dz20sQ https://t.co/f60biSURQ7</t>
  </si>
  <si>
    <t>Thank you Diamond and Silk! https://t.co/qdsLUy2hqD</t>
  </si>
  <si>
    <t>Remembering the fallen heroes on #DDay - June 6, 1944. https://t.co/od7vsDMlHY</t>
  </si>
  <si>
    <t>I am getting bad marks from certain pundits because I have a small campaign staff. But small is good, flexible, save money and number one!</t>
  </si>
  <si>
    <t>A massive blow to Obama's message - only 38,000 new jobs for month in just issued jobs report. That's REALLY bad!</t>
  </si>
  <si>
    <t>Crooked Hillary is being badly criticized (for a Wall Street paid for ad) by PolitiFact for a false ad on me on women. She is a total fraud!</t>
  </si>
  <si>
    <t>Crooked Hillary Clinton has not held a news conference in more than 7 months. Her record is so bad she is unable to answer tough questions!</t>
  </si>
  <si>
    <t>Just like I have been able to spend far less money than  others on the campaign and finish #1, so too should our country. We can be great!</t>
  </si>
  <si>
    <t>People like @KatyTurNBC report on my campaign, but have zero access. They say what they want without any knowledge.True of so much of media!</t>
  </si>
  <si>
    <t>Hillary Clinton is unfit to be president. She has bad judgement, poor leadership skills and a very bad and destructive track record. Change!</t>
  </si>
  <si>
    <t>I am watching @CNN very little lately because they are so biased against me. Shows are predictable garbage! CNN and MSM is one big lie!</t>
  </si>
  <si>
    <t>The Clinton News Network, sometimes referred to as @CNN, is getting more and more biased.They act so indignant-hear them behind closed doors</t>
  </si>
  <si>
    <t>"@sareed59:  Our ineffective #POTUS has to make a speech in #Elkhart to make everything look great. Mr. Trump #MakeAmericaGreatAgain"</t>
  </si>
  <si>
    <t>Thank you Attorney General Gonzales, so many people feel this way. 
https://t.co/fMR8YYiiMz</t>
  </si>
  <si>
    <t>We just had the worst jobs report since 2010.</t>
  </si>
  <si>
    <t>The Mayor of San Jose did a terrible job of ordering the  protection of innocent people. The thugs were lucky supporters remained peaceful!</t>
  </si>
  <si>
    <t>Many of the thugs that attacked the peaceful Trump supporters in San Jose were illegals. They burned the American flag and laughed at police</t>
  </si>
  <si>
    <t>"@Don_Vito_08: Thank You Mr. Trump for Standing up for Our Country! #VoteTrump2016 JOIN ME ON THE #TrumpTrain🚂 https://t.co/zgopGvSEen"</t>
  </si>
  <si>
    <t>"@rapidcraft: Here’s The HILLARY UNIVERSITY Scandal No One In The Media Is Talking About https://t.co/suHERIUHo4 @realDonaldTrump"</t>
  </si>
  <si>
    <t>Muhammad Ali is dead at 74! A truly great champion and a wonderful guy. He will be missed by all!</t>
  </si>
  <si>
    <t>RT @CBSNews: WATCH NOW: The @realDonaldTrump supporters you'd never expect https://t.co/jKeVJX5u73 https://t.co/pbft0Eq3Y1</t>
  </si>
  <si>
    <t>Thank you Redding, California!
#MakeAmericaGreatAgain #CAPrimary https://t.co/nFiydpTpPn</t>
  </si>
  <si>
    <t>Great evening in San Jose other than the thugs. My supporters are far tougher if they want to be, but fortunately they are not hostile.</t>
  </si>
  <si>
    <t>So much interest in my visit to Scotland! I greatly look forward to attending the opening event @TrumpTurnberry- taking place on June 24th.</t>
  </si>
  <si>
    <t>"I'm a former chief of police in a border town. I'm Hispanic, I'm proud to be Hispanic and I'm 100% behind Trump."
https://t.co/8YtBU7j17m</t>
  </si>
  <si>
    <t>In Crooked Hillary's telepromter speech yesterday, she made up things that I said or believe but have no basis in fact. Not honest!</t>
  </si>
  <si>
    <t>I don't watch or do @Morning_Joe anymore. Small audience, low ratings! I hear Mika has gone wild with hate. Joe is Joe. They lost their way!</t>
  </si>
  <si>
    <t>Rally last night in San Jose was great. Tremendous love and enthusiasm in the hall. Big crowd. Outside, small group of thugs burned Am flag!</t>
  </si>
  <si>
    <t>Terrible jobs report just reported. Only 38,000 jobs added. Bombshell!</t>
  </si>
  <si>
    <t>"@fivestarr6028: Yes! Hubby and I voted 4 @realDonaldTrump already! https://t.co/h1iHiJNUjm" Thank you.</t>
  </si>
  <si>
    <t>"@LiliannyLeebou: I think the first female president of the USA will be @IvankaTrump a beautiful intelligent young genuine successful lady!"</t>
  </si>
  <si>
    <t>"@LunsfordWhitney: This is rich coming from her. She tweeted you will be president! #Women4Ttump #Trump2016 https://t.co/2GSGfLS1yT"</t>
  </si>
  <si>
    <t>"@angeloftruth11: Clinton says Trump is dangerous. Who's the one who killed 4 Americans in Benghazi?  https://t.co/ZV5ehm6NKR"</t>
  </si>
  <si>
    <t>"@Crz4basball: @JudgeJeanine  @realDonaldTrump Looks like several legal Hispanics supporting Trump! They know he will be good for them too."</t>
  </si>
  <si>
    <t>Then, on June 25th- back to the USA to MAKE AMERICA GREAT AGAIN!</t>
  </si>
  <si>
    <t>After @TrumpScotland, I will visit @TrumpDoonbeg in Ireland, the magnificent resort fronting on the Atlantic Ocean.</t>
  </si>
  <si>
    <t>After @TrumpTurnberry I will be visiting Aberdeen, the oil capital of Europe, to see my great club, @TrumpScotland.</t>
  </si>
  <si>
    <t>On June 22- I will be going to Scotland to celebrate the opening of the newly renovated @TrumpTurnberry Resort, the worlds best.</t>
  </si>
  <si>
    <t>Join me in Redding, California- tomorrow at 1:00pm. #Trump2016
Tickets: https://t.co/tyllhxJHC7</t>
  </si>
  <si>
    <t>.@Natalie_Gulbis- Thank you for the nice piece in @SInow / @Golf_com.
Keep up the great work! https://t.co/JCZPCFx10X</t>
  </si>
  <si>
    <t>RT @IvankaTrump: Beautiful article about @realDonaldTrump written by my friend, the incredibly talented golfer Natalie Gulbis:
https://t.co…</t>
  </si>
  <si>
    <t>"@RobertMordica: @realDonaldTrump Only Trump can save America. Right leader at the right time." THANK YOU!</t>
  </si>
  <si>
    <t>"@Valenti317: @realDonaldTrump she's a criminal and you're the only person that can stop her."</t>
  </si>
  <si>
    <t>"@TaylorEdwards99: THIS IS @POTUS'S LEGACY! AN ABSOLUTE DISASTER!!! WE NEED @realDonaldTrump NOW!! #MAGA #TRUMP2016 https://t.co/lBgZJg0zd1</t>
  </si>
  <si>
    <t>"@free_SA_BD: @realDonaldTrump A vote for Trump is a vote to restore our great country."</t>
  </si>
  <si>
    <t>A 60% increase in Texas Blue Cross/Blue Shield through ObamaCare. I told you so, there is panic and anger as healthcare costs explode!</t>
  </si>
  <si>
    <t>So great to have the endorsement and support of Paul Ryan. We will both be working very hard to Make America Great Again!</t>
  </si>
  <si>
    <t>Bad performance by Crooked Hillary Clinton! Reading poorly from the telepromter! She doesn't even look presidential!</t>
  </si>
  <si>
    <t>Crooked Hillary no longer has credibility - too much failure in office. People will not allow another four years of incompetence!</t>
  </si>
  <si>
    <t>Crooked Hillary Clinton, who I would love to call Lyin' Hillary, is getting ready to totally misrepresent my foreign policy positions.</t>
  </si>
  <si>
    <t>After the litigation is disposed of and the case won, I have instructed my execs to open Trump U(?), so much interest in it! I will be pres.</t>
  </si>
  <si>
    <t>Even though I have a very biased and unfair judge in the Trump U civil case in San Diego, I have thousands of great reviews &amp;amp; will win case!</t>
  </si>
  <si>
    <t>With all of the Crooked Hillary Clinton's foreign policy experience, she has made so many mistakes - and I mean real monsters! No more HRC.</t>
  </si>
  <si>
    <t>Join me in San Jose, California- tonight!
#MakeAmericaGreatAgain #Trump2016
Tickets: https://t.co/jLQukR550J https://t.co/OrEhKJZ5Rd</t>
  </si>
  <si>
    <t>Wow, USA Today did todays cover story on my record in lawsuits. Verdict: 450 wins, 38 losses. Isn't that what you want for your president?</t>
  </si>
  <si>
    <t>Do you ever notice that @CNN gives me very little proper representation on my policies. Just watched-nobody knew anything about my foreign P</t>
  </si>
  <si>
    <t>Bernie Sanders was right when he said that Crooked Hillary Clinton was not qualified to be president because she suffers from BAD judgement!</t>
  </si>
  <si>
    <t>Crooked Hillary Clinton has zero natural talent - she should not be president. Her temperament is bad and her decision making ability-zilch!</t>
  </si>
  <si>
    <t>"@HaloDad22: @realDonaldTrump I already voted for you! My wife did as well! I represent #Teachers4Trump! We represent #CA4Trump! #NeverDems</t>
  </si>
  <si>
    <t>"@SCPioneer: @stockdaleism @JamesRosenFNC @FoxNews @realDonaldTrump Not for slackers! Happy w/courses I took." Thanks.</t>
  </si>
  <si>
    <t>Thank you Sacramento, California! #MakeAmericaGreatAgain https://t.co/t75Zxn9L6f</t>
  </si>
  <si>
    <t>Same failing @nytimes "reporter" who wrote discredited women's story last week wrote another terrible story on me today- will never learn!</t>
  </si>
  <si>
    <t>Crooked Hillary Clinton is a fraud who has put the public and country at risk by her illegal and very stupid use of e-mails. Many missing!</t>
  </si>
  <si>
    <t>Join me in San Jose, California- tomorrow evening at 7pm! 
#MakeAmericaGreatAgain #Trump2016
https://t.co/jLQukR550J https://t.co/Uds8OdH3A4</t>
  </si>
  <si>
    <t>So I raised/gave $5,600,000 for the veterans and the media makes me look bad! They do anything to belittle - totally biased.</t>
  </si>
  <si>
    <t>Congratulations to @seanhannity on his tremendous increase in television ratings. Speaking of ratings- I will be on his show tonight @ 10pE.</t>
  </si>
  <si>
    <t>I am getting great credit for my press conference today. Crooked Hillary should be admonished for not having a press conference in 179 days.</t>
  </si>
  <si>
    <t>Katie Couric, the third rate reporter, who has been largely forgotten, should be ashamed of herself for the fraudulent editing of her doc.</t>
  </si>
  <si>
    <t>I will be interviewed on @seanhannity tonight at 10pmE on @FoxNews. Enjoy!</t>
  </si>
  <si>
    <t>Join me in Sacramento, California-tomorrow evening @ 7pm! #Trump2016
https://t.co/W7xy7eXcii https://t.co/km0rRYSDnO</t>
  </si>
  <si>
    <t>So many veterans groups are beyond happy with all of the money I raised/gave! It was my great honor - they do an amazing job.</t>
  </si>
  <si>
    <t>Just finished a press conference in Trump Tower wherein I gave information on which VETERANS groups got the $5,600,000 that I raised/gave!</t>
  </si>
  <si>
    <t>I have raised/given a tremendous amount of money to our great VETERANS, and have got nothing but bad publicity for doing so. Watch!</t>
  </si>
  <si>
    <t>So many great things happening - new poll numbers looking good! News conference at 11:00 A.M. today, Trump Tower!</t>
  </si>
  <si>
    <t>I should have easily won the Trump University case on summary judgement but have a judge, Gonzalo Curiel, who is totally biased against me.</t>
  </si>
  <si>
    <t>I have a judge in the Trump University civil case, Gonzalo Curiel (San Diego), who is very unfair. An Obama pick. Totally biased-hates Trump</t>
  </si>
  <si>
    <t>I hope everyone had a great Memorial Day!</t>
  </si>
  <si>
    <t>I would have had millions of votes more in the primaries (than Crooked Hillary) if I only had one opponent, instead of sixteen. Broke record</t>
  </si>
  <si>
    <t>Have a great Memorial Day and remember that we will soon MAKE AMERICA GREAT AGAIN!</t>
  </si>
  <si>
    <t>"@NBCDFW: Trump rallies veterans at annual Rolling Thunder Gathering https://t.co/b08FcMlgkr https://t.co/RCDeLvHQqD"</t>
  </si>
  <si>
    <t>"@FrankyLamouche: how many of donald's rolling thunder brigade will sign up and go to war for him in the middle east."</t>
  </si>
  <si>
    <t>"@MariaErnandez3b: Trump Supports Rolling Thunder Rally #TRUMP STRONG https://t.co/pfVXQ8NdZu" So true, and remember the M.I.A.'s!</t>
  </si>
  <si>
    <t>"@ScottWRasmussen: Donald Trump and Bikers Share Affection at Rolling Thunder Rally https://t.co/ZZl2sc29dn" A great day in D.C.!</t>
  </si>
  <si>
    <t>"@TeaPartyNevada: #Trump2016 "Illegals are taken care of better than our veterans."  https://t.co/KKIgM4rNma https://t.co/1cEZ8wG7Cy"</t>
  </si>
  <si>
    <t>The endorsement of me by the 16,500 Border Patrol Agents was the first time that they ever endorsed a presidential candidate. Nice!</t>
  </si>
  <si>
    <t>In getting the endorsement of the 16,500 Border Patrol Agents (thank you), the statement was made that the WALL was very necessary!</t>
  </si>
  <si>
    <t>Obama says a WALL at our southern border won't enhance our security (wrong) and yet he now wants to build a much bigger wall (fence) at W.H.</t>
  </si>
  <si>
    <t>If dummy Bill Kristol actually does get a spoiler to run as an Independent, say good bye to the Supreme Court!</t>
  </si>
  <si>
    <t>The Republican Party has to be smart &amp;amp; strong if it wants to win in November. Can't allow lightweights to set up a spoiler Indie candidate!</t>
  </si>
  <si>
    <t>Bill Kristol has been wrong for 2yrs-an embarrassed loser, but if the GOP can't control their own, then they are not a party. Be tough, R's!</t>
  </si>
  <si>
    <t>Good news is that my campaign has perhaps more cash than any campaign in the history of politics- b/c I stand 100% behind everything we do.</t>
  </si>
  <si>
    <t>Heading to D.C. to see and hear ROLLING THUNDER. Amazing people that LOVE OUR COUNTRY. Great spirit!</t>
  </si>
  <si>
    <t>Honor Memorial Day by thinking of and respecting all of the great men and women that gave their lives for us and our country! We love them.</t>
  </si>
  <si>
    <t>Does President Obama ever discuss the sneak attack on Pearl Harbor while he's in Japan? Thousands of American lives lost. #MDW</t>
  </si>
  <si>
    <t>Don't believe the biased and phony media quoting people who work for my campaign. The only quote that matters is a quote from me!</t>
  </si>
  <si>
    <t>I am always on the front page of the failing @nytimes, but when I won the GOP nomination, I'm in the back of the paper. Very dishonest!</t>
  </si>
  <si>
    <t>The media is on a new phony kick about my management style. I spend much less money &amp;amp; get much better results! What we need as Prez!</t>
  </si>
  <si>
    <t>The failing @nytimes wrote a story about my management style &amp;amp; that I don't have many people. I have 73, Hillary has 800- &amp;amp; I'm beating her.</t>
  </si>
  <si>
    <t>I (we) broke the all-time record for most votes gotten in a Republican Primary - by a lot - and with many states left to go! Thank you.</t>
  </si>
  <si>
    <t>The U.S. has 69 treaties with other countries where we would have to defend them and their borders. How nice, but what do we get? NOT ENOUGH</t>
  </si>
  <si>
    <t>Great rally in Fresno, California- great crowd! Thank you! #Trump2016 https://t.co/TVSPvxOmve</t>
  </si>
  <si>
    <t>Obama administration fails to screen Syrian refugees' social media accounts:
https://t.co/MMa07nwa44</t>
  </si>
  <si>
    <t>.@SanDiegoPD- Fantastic job on handling the thugs who tried to disrupt our very peaceful and well attended rally. Greatly appreciated!</t>
  </si>
  <si>
    <t>Thank you @BillyJoel- many friends just told me you gave a very kind shoutout at MSG. Appreciate it- love your music!</t>
  </si>
  <si>
    <t>Wow- 25,000 in San Diego, California!
Thank you!! #Trump2016 https://t.co/1NRj3zCuui</t>
  </si>
  <si>
    <t>I am on @oreillyfactor tonight, a big special. @FoxNews  at 8:00 P.M. ENJOY!</t>
  </si>
  <si>
    <t>Bill O'Reilly doing a major special on @OreillyFactor tonight- @FoxNews at 8pmE. Watch it, should be good! #Trump2016</t>
  </si>
  <si>
    <t>AN AMERICA FIRST ENERGY PLAN
#MakeAmericaGreatAgain #Trump2016
https://t.co/kTi6e1zyNI https://t.co/WjI8Rx11no</t>
  </si>
  <si>
    <t>Poll data shows that @marcorubio does by far the best in holding onto his Senate seat in Florida. Important to keep the MAJORITY. Run Marco!</t>
  </si>
  <si>
    <t>Today we, together, won the Republican Nomination for President! https://t.co/82l6TjA2lk</t>
  </si>
  <si>
    <t>My wife @MELANIATRUMP, and my children will be featured on @FoxNews with @Greta- 7pmE. Enjoy!
#MeetTheTrumps #Trump2016</t>
  </si>
  <si>
    <t>Celebrating 1237! #Trump2016 
https://t.co/hPQJc7eor0</t>
  </si>
  <si>
    <t>Thank you! #Trump2016
https://t.co/SPJfMFyPjU</t>
  </si>
  <si>
    <t>I find it offensive that Goofy Elizabeth Warren, sometimes referred to as Pocahontas, pretended to be Native American to get in Harvard.</t>
  </si>
  <si>
    <t>Thank you Mr. &amp;amp; Mrs. @TomBarrackJr for the wonderful and magical evening last night. It will not be forgotten. #Trump2016</t>
  </si>
  <si>
    <t>.@kimguilfoyle- just watched you on @OutnumberedFNC- thank you!</t>
  </si>
  <si>
    <t>The Inspector General's report on Crooked Hillary Clinton is a disaster. Such bad judgement and temperament cannot be allowed in the W.H.</t>
  </si>
  <si>
    <t>Thank you Anaheim, California!
#Trump2016 https://t.co/AEShamhNVS</t>
  </si>
  <si>
    <t>Thank you Washington! Honored to say, on behalf of our great movement, we have broken the all time record for votes in GOP primary history.</t>
  </si>
  <si>
    <t>The protesters in New Mexico were thugs who were flying the Mexican flag. The rally inside was big and beautiful, but outside, criminals!</t>
  </si>
  <si>
    <t>Crooked Hillary Clinton just can't close the deal with Bernie. I had to knock out 16 very good and smart candidates. Hillary doesn't have it</t>
  </si>
  <si>
    <t>Goofy Senator Elizabeth Warren @elizabethforma has done less in the U.S. Senate than practically any other senator. All talk, no action!</t>
  </si>
  <si>
    <t>@elizabethforma  Goofy Elizabeth Warren, sometimes known as Pocahontas, bought foreclosed housing and made a quick killing. Total hypocrite!</t>
  </si>
  <si>
    <t>"@gordonsr1052:  Washington, BIG Thank You for supporting Trump! We are all going to help Trump Make America Great Again! Trump2016!"</t>
  </si>
  <si>
    <t>"@buiIdthewall: @realDonaldTrump high energy!"</t>
  </si>
  <si>
    <t>"@PiperSul: Great speech tonight Mr.Trump! Good Luck in California! Thank you.</t>
  </si>
  <si>
    <t>"@DeepakS76435750: @realDonaldTrump congratulations from India"</t>
  </si>
  <si>
    <t>"@oasisupernova: @realDonaldTrump UP TO 8.4 MILLION FOLLOWERS. CAN'T STOP THE #TrumpTrain 🚂 #MakeAmericaGreatAgain"</t>
  </si>
  <si>
    <t>"@jknatter: @realDonaldTrump #TrumpTrain"</t>
  </si>
  <si>
    <t>"@tcloer11: @realDonaldTrump Great job! Make America Great Again!"</t>
  </si>
  <si>
    <t>@elizabethforma Goofy Elizabeth Warren, sometimes referred to as Pocahontas because she faked the fact she is native American, is a lowlife!</t>
  </si>
  <si>
    <t>Great rally in New Mexico, amazing crowd! Now in L.A. Big rally in Anaheim.</t>
  </si>
  <si>
    <t>Thank you Washington! #Trump2016
#MakeAmericaGreatAgain https://t.co/v9glTwj6gy</t>
  </si>
  <si>
    <t>Great honor to receive today's endorsement of @RickSantorum. Really nice! #Trump2016</t>
  </si>
  <si>
    <t>After raising, w/ no obligation, almost $6M for Vets, I couldn't believe protesters formed @ Trump Tower. JUST OUT- SENT BY CROOKED HILLARY!</t>
  </si>
  <si>
    <t>Thank you @DailyMail- for setting the failing @NYTimes story straight. This is what the NYT's should have written! 
https://t.co/Feb6dhctQo</t>
  </si>
  <si>
    <t>A suggestion for the dishonest media- https://t.co/zKyRwEaLmz</t>
  </si>
  <si>
    <t>A wonderfully written article concerning Israel by @JasonDovEsq https://t.co/LZ9qWRYzdj</t>
  </si>
  <si>
    <t>A great new book has been written about Crooked Hillary. Read it &amp;amp; you will never be able to vote for her. @Ed_Klein https://t.co/ujDwSSFhbx</t>
  </si>
  <si>
    <t>Crooked Hillary Clinton overregulates, overtaxes and doesn't care about jobs. Most importantly, she suffers from plain old bad judgement!</t>
  </si>
  <si>
    <t>I just released my financial disclosure forms, the largest numbers in the history of the F.E.C. Even the dishonest media thinks great!</t>
  </si>
  <si>
    <t>Amazingly, with all of the money I have raised for the vets, I have got nothing but bad publicity from the dishonest and disgusting media.</t>
  </si>
  <si>
    <t>Much of the money I have raised for our veterans has already been distributed, with the rest to go shortly to various other veteran groups.</t>
  </si>
  <si>
    <t>While under no obligation to do so, I have raised between 5 &amp;amp; 6 million dollars, including 1million dollars from me, for our VETERANS. Nice!</t>
  </si>
  <si>
    <t>Join me in California or Montana!
5/25/16: Anaheim, California
https://t.co/mmPck1HYrC
5/26/16: Billings, Montana
https://t.co/atvrCgjFDe</t>
  </si>
  <si>
    <t>I will be interviewed on @oreillyfactor at 8:00 P.M. Enjoy!</t>
  </si>
  <si>
    <t>Obama’s VA Secretary just said we shouldn't measure
wait times. Hillary says VA problems are not ‘widespread.’ I will take care of
our vets!</t>
  </si>
  <si>
    <t>Is Hillary really protecting women? https://t.co/8ZtEIWNqz4</t>
  </si>
  <si>
    <t>In trade, military and EVERYTHING else, it will be AMERICA FIRST! This will quickly lead to our ultimate goal: MAKE AMERICA GREAT AGAIN!</t>
  </si>
  <si>
    <t>Thank you America! #Trump2016 https://t.co/xfINxdRNiQ</t>
  </si>
  <si>
    <t>The American people are sick and tired of not being able to lead normal lives and to constantly be on the lookout for terror and terrorists!</t>
  </si>
  <si>
    <t>Bernie Sanders is continuing his quest because he believes that Crooked Hillary Clinton will be forced out of the race - e-mail scandal!</t>
  </si>
  <si>
    <t>Join me on Wednesday, May 25th at the Anaheim Convention Center!
#Trump2016 #MAGA 
Tickets: https://t.co/mmPck1HYrC https://t.co/xGkVbxTamz</t>
  </si>
  <si>
    <t>Crooked Hillary wants a radical 500% increase in Syrian refugees. We can’t allow this. Time to get smart and protect America!</t>
  </si>
  <si>
    <t>How can Crooked Hillary say she cares about women when she is silent on radical Islam, which horribly oppresses women?</t>
  </si>
  <si>
    <t>RT @gatewaypundit: BREAKING POLL: Trump Gains 11 Points on Clinton Since March=&amp;gt; Now Leads Crooked Hillary 46-44 https://t.co/y3BGy15Erb vi…</t>
  </si>
  <si>
    <t>Why do the networks continue to put dopey @BillKristol on panels when he has called every single shot about me wrong for 2 yrs?</t>
  </si>
  <si>
    <t>Hillary Clinton is not qualified to be president because her judgement has been proven to be so bad! Would be four more years of stupidity!</t>
  </si>
  <si>
    <t>Crooked Hillary said that I  want guns brought into the school classroom. Wrong!</t>
  </si>
  <si>
    <t>"@dubilujane: I trust @realDonaldTrump more anyone ever to protect America.He WILL do the right thing for the U.S.A, without a  doubt.</t>
  </si>
  <si>
    <t>Thank you to all of the men and women who have served our country. You are our true heroes! #ArmedForcesDay https://t.co/A3Wus0cRIO</t>
  </si>
  <si>
    <t>Crooked Hillary Clintons foreign interventions unleashed ISIS in Syria, Iraq and Libya. She is reckless and dangerous!</t>
  </si>
  <si>
    <t>MAKE AMERICA GREAT AGAIN! https://t.co/MAZK5bdZuD</t>
  </si>
  <si>
    <t>.@CNN is so negative, getting even worse as I get closer. Just had two anti-Trump losers with zero rebuttal from my team. Turning off!</t>
  </si>
  <si>
    <t>"@RBacliff: Hillary wants to rip the guns out of America's hands. No guns = no protection. Get on #TrumpTrain &amp;amp; join @NRA to stop her."</t>
  </si>
  <si>
    <t>Crooked Hillary wants to get rid of all guns and yet she is surrounded by bodyguards who are fully armed. No more guns to protect Hillary!</t>
  </si>
  <si>
    <t>While our wonderful president was out playing golf all day, the TSA is falling apart, just like our government! Airports a total disaster!</t>
  </si>
  <si>
    <t>Crooked Hillary is spending tremendous amounts of Wall Street money on false ads against me. She is a very dishonest person!</t>
  </si>
  <si>
    <t>Crooked Hillary Clinton wants to essentially abolish the 2nd Amendment. No gun owner can ever vote for Clinton!</t>
  </si>
  <si>
    <t>Thank you @TheTodaysGolfer for the wonderful statement that "the new par 3 9th hole @Trump Turnberry could be the most dramatic in Britain."</t>
  </si>
  <si>
    <t>@montgomeriefdn  Colin, great to have you at Trump Turnberry. So proud of you and your GREAT playing! You made winning MAJORS look easy!</t>
  </si>
  <si>
    <t>"@montgomeriefdn: @TrumpTurnberry Best Links Course in Britain. Ailsa Course opens June '16 Can't wait to play it https://t.co/HnQbj3ipuS"</t>
  </si>
  <si>
    <t>Thank you for your wonderful endorsement today @TGowdySC. It means a great deal to me. We will not disappoint! #Trump2016</t>
  </si>
  <si>
    <t>Great day in Kentucky with Wayne LaPierre, Chris Cox &amp;amp; the @NRA! 
#MakeAmericaGreatAgain #Trump2016 https://t.co/aJ7s0aqqj0</t>
  </si>
  <si>
    <t>Thank you! An honor to be the first candidate ever endorsed by the @NRA- prior to @GOPconvention! #Trump2016 #2A  https://t.co/ygLUAl7gzx</t>
  </si>
  <si>
    <t>Failing @NYTimes will always take a good story about me and make it bad. Every article is unfair and biased. Very sad!</t>
  </si>
  <si>
    <t>Thanks @piersmorgan! 
"Trump is the most unpredictable, extraordinary, entertaining&amp;amp;massively popular candidate this country has ever seen."</t>
  </si>
  <si>
    <t>Crooked Hillary Clinton- discussing the #SecondAmendment at a private event. #2A cc: @NRA https://t.co/vV31Pbpkmn</t>
  </si>
  <si>
    <t>I am on my way! See you all soon! https://t.co/Arw19Antpj</t>
  </si>
  <si>
    <t>"A Call for Unity" by Jason Greenblatt @JasonDovEsq https://t.co/dQi3Cydckp</t>
  </si>
  <si>
    <t>Crooked Hillary can't even close the deal with Bernie - and the Dems have it rigged in favor of Hillary. Four more years of this? No way!</t>
  </si>
  <si>
    <t>Crooked Hillary Clinton looks presidential? I don't think so! Four more years of Obama and our country will never come back. ISIS LAUGHS!</t>
  </si>
  <si>
    <t>Look where the world is today, a total mess, and ISIS is still running around wild. I can fix it fast, Hillary has no chance!</t>
  </si>
  <si>
    <t>Crooked Hillary has zero imagination and even less stamina. ISIS, China, Russia and all would love for her to be president. 4 more years!</t>
  </si>
  <si>
    <t>I said that Crooked Hillary Clinton is "not qualified" to be president because she has "very bad judgement" - Bernie said the same thing!</t>
  </si>
  <si>
    <t>Thank you @LtStevenLRogers. We will respond to terrorism with strength in 2017!
https://t.co/Mk4YuuRf4s</t>
  </si>
  <si>
    <t>How quality a woman is Rowanne Brewer Lane to have exposed the @nytimes as a disgusting fraud?  Thank you Rowanne.</t>
  </si>
  <si>
    <t>Looks like yet another terrorist attack. Airplane departed from Paris. When will we get tough, smart and vigilant? Great hate and sickness!</t>
  </si>
  <si>
    <t>My list of potential U.S. Supreme Court Justices was very well recieved. During the next number of weeks I may be adding to the list!</t>
  </si>
  <si>
    <t>Some low-life journalist claims that I "made a pass" at her 29 years ago. Never happened! Like the @nytimes story which has become a joke!</t>
  </si>
  <si>
    <t>#MakeAmericaGreatAgain #Trump2016
https://t.co/kXhc2j94YF https://t.co/YZAdAndKXv</t>
  </si>
  <si>
    <t>Thank you Louisiana! #Trump2016 https://t.co/u8hhrRRFMp</t>
  </si>
  <si>
    <t>Thank you Arizona! See you soon!
#MakeAmericaGreatAgain https://t.co/IC3pe5lRAS</t>
  </si>
  <si>
    <t>Why did Clinton supporter @AlisonForKY declare Crooked Hillary winner in KY when AP hasn't even called the race?</t>
  </si>
  <si>
    <t>Bernie Sanders is being treated very badly by the Democrats - the system is rigged against him. Many of his disenfranchised fans are for me!</t>
  </si>
  <si>
    <t>Paul Begala, the dopey @CNN flunky and head of the Pro-Hillary Clinton Super PAC, has knowingly committed fraud in his first ad against me.</t>
  </si>
  <si>
    <t>"@ShoneeP: @realDonaldTrump Trump for President! Bernie is a joke, knows nothing - and Hillary is yesterday's and today's nightmare"</t>
  </si>
  <si>
    <t>"@MagicMetalNinja:  The Trump movement will not be stopped. We support Trump because he is a true American looking out for #AmericaFIRST."</t>
  </si>
  <si>
    <t>Congratulations to THE MOVEMENT, we have just won THE GREAT STATE OF OREGON. The vote percentage is even higher than anticipated! Thank you.</t>
  </si>
  <si>
    <t>Thank you Oregon! #Trump2016 
#MakeAmericaGreatAgain https://t.co/hK1yqlp9ca</t>
  </si>
  <si>
    <t>"@LouDobbs: Hillary Just Handed @realDonaldTrump a Huge Gift: Promising to Put Bubba in Charge of the Economy! #MakeAmericaGreatAgain!</t>
  </si>
  <si>
    <t>"@sandrajeanne48: No way I believe Trump at 70% disapproval with women. Went to 3 rallies. At least 1/2 women. MSM LIES @TheFive"</t>
  </si>
  <si>
    <t>Michael Barbaro, the author of the now discredited @nytimes hit piece on me with women, has in past tweeted badly about me. He should resign</t>
  </si>
  <si>
    <t>"@michael_favreau: @JIS3 @realDonaldTrump He will destroy Hillary but why give CNN record breaking ratings CNN can go to hell. Trump 2016"</t>
  </si>
  <si>
    <t>I look so forward to debating Crooked Hillary Clinton! Democrat Primaries are rigged, e-mail investigation is rigged - so time to get it on!</t>
  </si>
  <si>
    <t>I can't believe that @CNN would allow the very nice Jeffrey Lord to be savaged by a panel of seven Trump haters. 7 to 1 - Don't watch CNN!</t>
  </si>
  <si>
    <t>"@COWBOYSFORTRUMP: @ChristiChat @Rockprincess818 @realDonaldTrump That man is a pillar of strength and will be perfect as our next president</t>
  </si>
  <si>
    <t>Well, that is it. Well done Megyn --- and they all lived happily ever after! Now let us all see how "THE MOVEMENT" does in Oregon tonight!</t>
  </si>
  <si>
    <t>Will go back on for a final question now!</t>
  </si>
  <si>
    <t>"@jrector34: @realDonaldTrump Amazing job"</t>
  </si>
  <si>
    <t>"@mai_Ttag:  Great interview! Happy you had a chance to show the other side of you. Never change, never forget you are our messenger!"</t>
  </si>
  <si>
    <t>I like Michael Douglas!</t>
  </si>
  <si>
    <t>"@thydanielflores: .@megynkelly @realDonaldTrump Best interview that I have ever seen.</t>
  </si>
  <si>
    <t>"@CostaKenneth: @megynkelly @realDonaldTrump Great interview Megyn"</t>
  </si>
  <si>
    <t>"@svhlevi: @DiamondandSilk @realJeffreyLord @realDonaldTrump @CNN and we love you Diamond and Silk"  I do also!</t>
  </si>
  <si>
    <t>"@johnjohnlacca: Donald u have done a terrific job so far on the interview. Cannot wait until u r president #MegynKellyPresents</t>
  </si>
  <si>
    <t>"@markgruber1960: @megynkelly @realDonaldTrump That's why he is so successful. He is driven to succeed"  True!</t>
  </si>
  <si>
    <t>"@ladytsbrug: Lovely interview, Mr. Trump! @realDonaldTrump" Thanks.</t>
  </si>
  <si>
    <t>"@Janik1968: @realDonaldTrump @SpeakerRyan Watched the Megan Kelly special and I must say..it was very well done on both their parts"</t>
  </si>
  <si>
    <t>"@KaceyIlliot1669: @realDonaldTrump We actually really do love you!" Great!</t>
  </si>
  <si>
    <t>"@johnkirtley:  @megynkelly @realDonaldTrump #MakeAmericaGreatAgain Thank you for this discourse. Wounds have been healed. Great job!"</t>
  </si>
  <si>
    <t>"@jlund04: @megynkelly @realDonaldTrump it was refreshing to see you both in a different light. Well done."</t>
  </si>
  <si>
    <t>"@FrankDallasAgg: @megynkelly @realDonaldTrump Trump is a great man and is FIGHTING for We The People!"</t>
  </si>
  <si>
    <t>"@LADYJOANNE: @megynkelly @realDonaldTrump we need Trump more then ever Megyn. Thanks.</t>
  </si>
  <si>
    <t>"@LADYJOANNE: @megynkelly @realDonaldTrump we need Trump more then ever Megan Please don't lose it for America for us!"</t>
  </si>
  <si>
    <t>"@curtandkaren: Kudos to @megynkelly and @realDonaldTrump for rising above the drama and coming together. Very respectful and classy 👍"</t>
  </si>
  <si>
    <t>"@gerriweth: @megynkelly @realDonaldTrump Made me feel good to hear you both so gracious. Great job"</t>
  </si>
  <si>
    <t>"@SandraR67758219: @realDonaldTrump You are a fighter and we LOVE that about you! Don't listen to these people who want you to change!"</t>
  </si>
  <si>
    <t>"@longbyfive: @realDonaldTrump great interview with @megynkelly !" Thanks.</t>
  </si>
  <si>
    <t>"@HFFoundation4: @realDonaldTrump One thing we know for sure @BernieSanders supporters will turn to #Trump - absolutely not @HillaryClinton"</t>
  </si>
  <si>
    <t>"@wesleyfelixpsi: @realDonaldTrump speaks from the heart 4 all of America.His intention is for a positive future 4 all. @FoxNews @megynkelly</t>
  </si>
  <si>
    <t>"@manakoa:DonaldTrump, you are fearless! This interview shows you are the Leader we need. @megynkelly is a tough interview! Respect to both"</t>
  </si>
  <si>
    <t>"@ragdollive: @megynkelly @realDonaldTrump what's with the soft wimpy questions?!? It's not a therapy session ..!!" Not really soft at all!</t>
  </si>
  <si>
    <t>"@xGodfatherxzx: @realDonaldTrump amazing on Megan Kelly" Thanks.</t>
  </si>
  <si>
    <t>"@TrumpTrainRider: .@realDonaldTrump Watching you on Fox with @megynkelly now. Can't wait to hear what you two talked about."</t>
  </si>
  <si>
    <t>I will be live tweeting @megynkelly Show in 10 minutes. Should be interesting. Will be on Fox Network! ENJOY!</t>
  </si>
  <si>
    <t>Wall Street paid for ad is a fraud, just like Crooked Hillary! Their main line had nothing to do with women, and they knew it. Apologize?</t>
  </si>
  <si>
    <t>Do you think Crooked Hillary will finally close the deal? If she can't win Kentucky, she should drop out of race. System rigged!</t>
  </si>
  <si>
    <t>I will be live tweeting my interview with @megynkelly on the Fox Network tonight at 8! Enjoy! https://t.co/nlJssZeIWm</t>
  </si>
  <si>
    <t>I look forward to watching @megynkelly tonight, 8 PM ET. It will be interesting to see how she treats me—I think she will be very fair.</t>
  </si>
  <si>
    <t>How can Crooked Hillary put her husband in charge of the economy when he was responsible for NAFTA, the worst economic deal in U.S. history?</t>
  </si>
  <si>
    <t>Crooked Hillary said her husband is going to be in charge of the economy.If so, he should run,not her.Will he bring the "energizer" to D.C.?</t>
  </si>
  <si>
    <t>#VoteTrump at clerk's offices &amp;amp; 185 ballot drop boxes in #ORPrimary!
Closes at 8pm! https://t.co/ESGg1Qu68S
https://t.co/TqcNAWjP5l</t>
  </si>
  <si>
    <t>Crooked Hillary can't close the deal with Bernie Sanders. Will be another bad day for her!</t>
  </si>
  <si>
    <t>Amazing that Crooked Hillary can do a hit ad on me concerning women when her husband was the WORST abuser of woman in U.S. political history</t>
  </si>
  <si>
    <t>Oregon is voting today. Keep the big numbers going - VOTE TRUMP! MAKE AMERICA GREAT AGAIN!</t>
  </si>
  <si>
    <t>Crooked Hillary Clinton put out an ad where I am misquoted on women. Can't believe she would misrepresent the facts! My hit was on China</t>
  </si>
  <si>
    <t>The pathetic new hit ad against me misrepresents the final line. "You can tell them to go BLANK themselves" - was about China, NOT WOMEN!</t>
  </si>
  <si>
    <t>Wow, 30,000 e-mails were deleted by Crooked Hillary Clinton. She said they had to do with a wedding reception. Liar! How can she run?</t>
  </si>
  <si>
    <t>"@AprilLaJune: OREGON votes today! Go vote for @realDonaldTrump and kick it BIG TIME! https://t.co/SLYwyM8w1D"</t>
  </si>
  <si>
    <t>What Barbara Res does not say is that she would call my company endlessly, and for years, trying to come back. I said no.</t>
  </si>
  <si>
    <t>I gave a woman named Barbara Res a top N.Y. construction job, when that was unheard of, and now she is nasty. So much for a nice thank you!</t>
  </si>
  <si>
    <t>"In politics, and in life, ignorance is not a virtue." This is a primary reason that President Obama is the worst president in U.S. history!</t>
  </si>
  <si>
    <t>The writer of the now proven false story in the @nytimes, Michael Barbaro, who was interviewed on CBS this morning, was unable to respond.</t>
  </si>
  <si>
    <t>Over 50 women were interviewed by the @nytimes yet they only wrote about 6. That’s because there were so many positive statements.</t>
  </si>
  <si>
    <t>No wonder the @nytimes is failing—who can believe what they write after the false, malicious &amp;amp; libelous story they did on me.</t>
  </si>
  <si>
    <t>The failing @nytimes is greatly embarrassed by the totally dishonest story they did on my relationship with women.</t>
  </si>
  <si>
    <t>Rowanne Brewer, the most prominently depicted woman in the failing @nytimes story yesterday joined @foxandfriends. 
https://t.co/qkK3LJPoQQ</t>
  </si>
  <si>
    <t>Thank you, Anthony @Scaramucci @WSJ "The Entrepreneur's Case for Trump"  https://t.co/xm45Ia1GTu</t>
  </si>
  <si>
    <t>With the coming forward today of the woman central to the failing @nytimes hit piece on me, we have exposed the article as a fraud!</t>
  </si>
  <si>
    <t>A political commentator for @cnn, which I no longer watch, said "Trump showed some weakness in the Repub Primaries." I set all-time record!</t>
  </si>
  <si>
    <t>Wow, Rowanne Brewer, the most prominently depicted woman in the failing @nytimes story yesterday, was on @foxandfriends saying Times lied</t>
  </si>
  <si>
    <t>The @nytimes is so dishonest. Their hit piece cover story on me yesterday was just blown up by Rowanne Brewer, who said it was a lie!</t>
  </si>
  <si>
    <t>That was an amazing interview on @foxandfriends - I hope the rest of the media picks it up to show how totally dishonest the @nytimes is!</t>
  </si>
  <si>
    <t>Bernie Sanders is being treated very badly by the Dems. The system is rigged against him. He should run as an independent! Run Bernie, run.</t>
  </si>
  <si>
    <t>Great new poll- thank you!
#MakeAmericaGreatAgain #Trump2016 https://t.co/SZyZ8GkF23</t>
  </si>
  <si>
    <t>The @washingtonpost report on potential VP candidates is wrong. Marco Rubio and most others mentioned are NOT under consideration.</t>
  </si>
  <si>
    <t>Thank you Georgia! See you soon!
#Trump2016 https://t.co/8yFd6qA4rD</t>
  </si>
  <si>
    <t>The media is really on a witch-hunt against me. False reporting, and plenty of it - but we will prevail!</t>
  </si>
  <si>
    <t>Why did the failing @nytimes refuse to use any of the names given to them that I was so proud to have helped with their careers. DISHONEST!</t>
  </si>
  <si>
    <t>Wow, I have had so many calls from high ranking people laughing at the stupidity of the failing @nytimes piece. Massive front page for that!</t>
  </si>
  <si>
    <t>Why doesn't the failing @nytimes write the real story on the Clintons and women? The media is TOTALLY dishonest!</t>
  </si>
  <si>
    <t>"@TakingIt_Back:  @nytimes keep shining....the ppl will not let the media dim your light...we no longer believe them! #Trump2016" Thanks.</t>
  </si>
  <si>
    <t>"@tzard000: @realDonaldTrump @nytimes Everyone continues to pile onto Donald, but they can NEVER take away our votes!"  Thank you!</t>
  </si>
  <si>
    <t>Everyone is laughing at the @nytimes for the lame hit piece they did on me and women.I gave them many names of women I helped-refused to use</t>
  </si>
  <si>
    <t>"@DistlerJoyce: @realDonaldTrump @nytimes OHIO WOMEN FOR TRUMP https://t.co/wpxojJnjbb"</t>
  </si>
  <si>
    <t>"@MrTohNey: Leicester &amp;amp; DonaldTrump seem to have the same trajectory, both were written off, but they keep scaling the heights. History?</t>
  </si>
  <si>
    <t>"@QueenCharlotteO: @realDonaldTrump @nytimes I'm a women &amp;amp; I 100% support @realDonaldTrump &amp;amp; I have since the beginning. Thank you!</t>
  </si>
  <si>
    <t>The failing @nytimes wrote yet another hit piece on me. All are impressed with how nicely I have treated women, they found nothing. A joke!</t>
  </si>
  <si>
    <t>Thank you for the nice words this morning @KellyRiddell. Well delivered and totally logical! @CNN   @FoxNews</t>
  </si>
  <si>
    <t>"@stranahan: Sheldon Adelson Pledges $100 Million to Elect Trump President - Breitbart https://t.co/aRXPHAlCLC"</t>
  </si>
  <si>
    <t>Wow, @CNN is really working hard to make me look as bad  as possible. Very unprofessional. Hurting in ratings - bad television!</t>
  </si>
  <si>
    <t>Great new poll- thank you! https://t.co/ytzesbCZas</t>
  </si>
  <si>
    <t>If Crooked Hillary Clinton can't close the deal on Crazy Bernie, how is she going to take on China, Russia, ISIS and all of the others?</t>
  </si>
  <si>
    <t>An incredible honor to receive the endorsement of a person I
have such tremendous respect for. Thank you, Sheldon! https://t.co/nW0N3OO4mw</t>
  </si>
  <si>
    <t>.@thehill  Your story about me &amp;amp; the carbon tax is absolutely incorrect—it is just the opposite. I will not support or endorse a carbon tax!</t>
  </si>
  <si>
    <t>Senator Lindsey Graham called me yesterday, very much to my surprise, and we had a very interesting talk about national security, and more!</t>
  </si>
  <si>
    <t>Great meeting with @SenateMajLdr Mitch McConnell and Republican leaders in D.C. #Trump2016 https://t.co/R0NuOrZISX</t>
  </si>
  <si>
    <t>Great day in D.C. with @SpeakerRyan and Republican leadership. Things working out really well! #Trump2016 https://t.co/hfHY9MdAc7</t>
  </si>
  <si>
    <t>If it were up to goofy Elizabeth Warren, we’d have no jobs in America—she doesn’t have a clue.</t>
  </si>
  <si>
    <t>In interview I told @AP that my taxes are under routine audit and I would release my tax returns when audit is complete, not after election!</t>
  </si>
  <si>
    <t>Isn’t it funny when a failed Senator like goofy Elizabeth Warren can spend a whole day tweeting about Trump &amp;amp; gets nothing done in Senate?</t>
  </si>
  <si>
    <t>Goofy Elizabeth Warren lied when she says I want to abolish the Federal Minimum Wage. See media—asking for increase!</t>
  </si>
  <si>
    <t>Our Native American Senator, goofy Elizabeth Warren, couldn’t care less about the American worker…does nothing to help!</t>
  </si>
  <si>
    <t>Goofy Elizabeth Warren is now using the woman’s card like her friend crooked Hillary. See her dumb tweet “when a woman stands up to you…”</t>
  </si>
  <si>
    <t>If the people of Massachusetts found out what an ineffective Senator goofy Elizabeth Warren has been, she would lose!</t>
  </si>
  <si>
    <t>Thanks Piers. https://t.co/hiDDT9hV0j</t>
  </si>
  <si>
    <t>#MakeAmericaGreatAgain #Trump2016 https://t.co/CLhqgybbYR</t>
  </si>
  <si>
    <t>Goofy Elizabeth Warren didn’t have the guts to run for POTUS. Her phony Native American heritage stops that and VP cold.</t>
  </si>
  <si>
    <t>Goofy Elizabeth Warren has been one of the least effective Senators in the entire U.S. Senate. She has done nothing!</t>
  </si>
  <si>
    <t>I don't want to hit Crazy Bernie Sanders too hard yet because I love watching what he is doing to Crooked Hillary. His time will come!</t>
  </si>
  <si>
    <t>Big wins in West Virginia and Nebraska. Get ready for November - Crooked Hillary, who is looking very bad against Crazy Bernie, will lose!</t>
  </si>
  <si>
    <t>Thank you Nebraska!
#MakeAmericaGreatAgain #Trump2016 https://t.co/RRma61oisz</t>
  </si>
  <si>
    <t>Thank you West Virginia!
#MakeAmericaGreatAgain #Trump2016 https://t.co/iCGcF21fWY</t>
  </si>
  <si>
    <t>RT @DanScavino: LOUISIANA GENERAL ELECTION
Donald Trump vs. Hillary Clinton
#MakeAmericaGreatAgain #Trump2016 https://t.co/74vYOx7dKz</t>
  </si>
  <si>
    <t>RT @DanScavino: OHIO GENERAL ELECTION
Donald Trump vs. Hillary Clinton
#MakeAmericaGreatAgain #Trump2016 https://t.co/0yXQ4SFSLO</t>
  </si>
  <si>
    <t>The Clintons spend millions on negative ads on me &amp;amp; I can’t tell the truth about her husband? Don’t feel sorry for crooked Hillary!</t>
  </si>
  <si>
    <t>Hillary has bad judgment! https://t.co/LhcIU6kmxs</t>
  </si>
  <si>
    <t>It was so great being in Nebraska last week. Today is the big day--get out and vote!</t>
  </si>
  <si>
    <t>I look very much forward to meeting w/Paul Ryan &amp;amp; the GOP Party Leadership on Thurs in DC. Together, we will beat the Dems at all levels!</t>
  </si>
  <si>
    <t>Via @JTAnews and Jason Greenblatt  "Donald Trump is a Visionary With Talents Our Country Needs" @JasonDovEsq   https://t.co/lEGJyAinUh</t>
  </si>
  <si>
    <t>WEST VIRGINIA #VoteTrump TODAY!
#MakeAmericaGreatAgain #Trump2016
https://t.co/pndaZjsruy</t>
  </si>
  <si>
    <t>NEBRASKA #VoteTrump TODAY!
#MakeAmericaGreatAgain #Trump2016
https://t.co/hGbesTbQci</t>
  </si>
  <si>
    <t>It is only the people that were never asked to be VP that tell the press that they will not take the position.</t>
  </si>
  <si>
    <t>It was Rosie O'Donnell who ate the cake in the vicious Hillary commercial about me, not Crooked Hillary! @marthamaccallum</t>
  </si>
  <si>
    <t>Why does the media, with a strong push from Crooked Hillary, keep pushing the false narrative that I want to raise taxes. Exactly opposite!</t>
  </si>
  <si>
    <t>. #RepMikeKelly  Great job on @foxandfriends this morning. Thank you for the nice words!</t>
  </si>
  <si>
    <t>Get out and vote Nebraska, we will MAKE AMERICA GREAT AGAIN!</t>
  </si>
  <si>
    <t>Get out and vote West Virginia, we will MAKE AMERICA GREAT AGAIN!</t>
  </si>
  <si>
    <t>"@RedRising11: 🇺🇸I am a woman &amp;amp; I JUST VOTED FOR @realDonaldTrump #NebraskaPrimary #Trump2016 #TrumpForPresident https://t.co/zgzwxQ92wZ"</t>
  </si>
  <si>
    <t>Thank you Jason Greenblatt @JasonDovEsq "For Our Children: Let's Elect Donald Trump"  https://t.co/3diVyaiw2Q</t>
  </si>
  <si>
    <t>RT @greta: interesting poll results so far (and go vote on https://t.co/0Zv2YvEdRX) https://t.co/BnsRf9GSxC</t>
  </si>
  <si>
    <t>I am lowering taxes far more than any other candidate. Any negotiated increase by Congress to my proposal would still be lower than current!</t>
  </si>
  <si>
    <t>I will have set the all time record in primary votes in the Republican party --despite having to compete against 17 other people!</t>
  </si>
  <si>
    <t>If I only had 1 person running against me in the primaries like Hillary Clinton, I would have gotten 10 million more votes than she did!</t>
  </si>
  <si>
    <t>Crooked Hillary Clinton says that she got more primary votes than Donald Trump. But I had 17 people to beat—she had one!</t>
  </si>
  <si>
    <t>#NEPrimary #VoteTrump #Trump2016
https://t.co/ygD2z6EnhY
https://t.co/Z2yVlmHl8o</t>
  </si>
  <si>
    <t>#WVPrimary #VoteTrump #Trump2016
https://t.co/ihDWRMdy98
https://t.co/VSStoanoDb</t>
  </si>
  <si>
    <t>"@Valdosta_Monkey: @ChrisCuomo @realDonaldTrump  Is Chris serious, lying or misinformed? Bill Clinton signed NAFTA https://t.co/dFDvYQrN1v"</t>
  </si>
  <si>
    <t>"@daybastrop @foxandfriends @BretBaier The liars that signed the pledge and now won't support @realDonaldTrump IS the reason they are losers</t>
  </si>
  <si>
    <t>"@NathanDWilsonFL: @MariaBartiromo you had a great interview with Donald today! I started watching your show due to Donald Trump.</t>
  </si>
  <si>
    <t>Will be interviewed by @MariaBartiromo on @FoxBizAlert  at 7:30 A.M. Enjoy!</t>
  </si>
  <si>
    <t>"@RichBooth6: @realDonaldTrump @CNN good interview Mr. Trump. You set the facts straight." Thank you.</t>
  </si>
  <si>
    <t>Wow, I hear @Morning_Joe has gone really hostile ever since I said I won't do or watch the show anymore.They misrepresent my positions!</t>
  </si>
  <si>
    <t>I will be interviewed on @CNN at 7:00 A.M.</t>
  </si>
  <si>
    <t>.@drmoore  Russell Moore is truly a terrible representative of Evangelicals and all of the good they stand for. A nasty guy with no heart!</t>
  </si>
  <si>
    <t>"@mathewjmari: On @FaceTheNation #MattSchlapp was on the ball &amp;amp; #jenniferrubin is in a time warped stupor. @realDonaldTrump will EXPAND #GOP</t>
  </si>
  <si>
    <t>I will be interviewed on @NewDay @CNN at 7:00 A.M.</t>
  </si>
  <si>
    <t>I will win the election against Crooked Hillary despite the people in the Republican Party that are currently and selfishly opposed to me!</t>
  </si>
  <si>
    <t>On @seanhannity show @FoxNews now. ENJOY!</t>
  </si>
  <si>
    <t>Crooked Hillary just can't close the deal with Bernie. It will be the same way with ISIS, and China on trade, and Mexico at the border. Bad!</t>
  </si>
  <si>
    <t>.@KellyannePolls  Kellyanne, you were fantastic on @meetthepress today. Keep going - I will win for the people. MAKE AMERICA GREAT AGAIN!</t>
  </si>
  <si>
    <t>I will be interviewed on @meetthepress this morning. Enjoy!</t>
  </si>
  <si>
    <t>I will be interviewed on This Week with George S this morning. Enjoy!</t>
  </si>
  <si>
    <t>#HappyMothersDay! 
https://t.co/T35f2y5YxR https://t.co/BVSHiG2iPA</t>
  </si>
  <si>
    <t>"@matandsher: I want a leader that will shoot straight with us. The politicians can't. @realDonaldTrump will give his all for us!</t>
  </si>
  <si>
    <t>.@EdGoeas thank you for your support tonight on @JudgeJeanine.</t>
  </si>
  <si>
    <t>Remember when the two failed presidential candidates, Lindsey Graham and Jeb Bush, signed a binding PLEDGE? They broke the deal, no honor!</t>
  </si>
  <si>
    <t>I am honored that the great men and women of the @Teamsters have created a movement from within called Teamsters for Trump! Thank you.</t>
  </si>
  <si>
    <t>I am going to keep our jobs in the U.S., and totally rebuild our crumbling infrastructure. Crooked Hillary has no clue! @Teamsters</t>
  </si>
  <si>
    <t>Join me in Washington today!
Spokane tickets:
https://t.co/McBZgICMgs
Lynden tickets:
https://t.co/MTu0GEM7Dx https://t.co/C7HhNvO01T</t>
  </si>
  <si>
    <t>Goofy Elizabeth Warren is weak and ineffective. Does nothing. All talk, no action -- maybe her Native American name?</t>
  </si>
  <si>
    <t>Goofy Elizabeth Warren and her phony Native American heritage are on a Twitter rant. She is too easy! I'm driving her nuts.</t>
  </si>
  <si>
    <t>Crooked Hillary Clinton wants completely open borders. Millions of Democrats will run from her over this and support me.</t>
  </si>
  <si>
    <t>Just met with courageous family of Sarah Root in Nebraska. Sarah was horribly killed by illegal immigrant, but leaves behind amazing legacy.</t>
  </si>
  <si>
    <t>Goofy Elizabeth Warren, Hillary Clinton’s flunky, has a career that is totally based on a lie. She is not Native American.</t>
  </si>
  <si>
    <t>Let’s properly check goofy Elizabeth Warren’s records to see if she is Native American. I say she’s a fraud!</t>
  </si>
  <si>
    <t>I hope corrupt Hillary Clinton chooses goofy Elizabeth Warren as her running mate. I will defeat them both.</t>
  </si>
  <si>
    <t>Response to @LindseyGrahamSC:
https://t.co/lSDE7LHc95</t>
  </si>
  <si>
    <t>I hear @JoeNBC of rapidly fading @Morning_Joe is pushing hard for a third party candidate to run. This will guarantee a Crooked Hillary win.</t>
  </si>
  <si>
    <t>Joe Scarborough initially endorsed Jeb Bush and Jeb crashed, then John Kasich and that didn't work. Not much power or insight!</t>
  </si>
  <si>
    <t>Thank you to teachers across America! When I become POTUS we will make education a far more important component of our life than it is now.</t>
  </si>
  <si>
    <t>Crooked Hillary has ZERO leadership ability. As Bernie Sanders says, she has bad judgement. Constantly playing the women's card - it is sad!</t>
  </si>
  <si>
    <t>Paul Ryan said that I inherited something very special, the Republican Party. Wrong, I didn't inherit it, I won it with millions of voters!</t>
  </si>
  <si>
    <t>"@Ausbiz:  Many would say that you are the only talented person running for the top job this time! #MakeAmericaGreatAgain #TrumpTrain"</t>
  </si>
  <si>
    <t>So many great endorsements yesterday, except for Paul Ryan! We must put America first and MAKE AMERICA GREAT AGAIN!</t>
  </si>
  <si>
    <t>Governor Rick Perry said "Donald Trump is one of the most talented people running for the Presidency I've ever seen." Thank you Rick!</t>
  </si>
  <si>
    <t>Unlike crooked Hillary Clinton, who wants to destroy all miners, I want wages to go up in America. We will do so by bringing back jobs!</t>
  </si>
  <si>
    <t>Thank you West Virginia. Let's keep it going. Go out and vote on Tuesday - we will win big. #Trump2016</t>
  </si>
  <si>
    <t>Can you believe Crooked Hillary said, "We are going to put a whole lot of coal miners&amp;amp;coal companies out of business." She then apologized.</t>
  </si>
  <si>
    <t>Join me tomorrow! #Trump2016 
#MakeAmericaGreatAgain 
Omaha, Nebraska:
https://t.co/2OWQIlNutu
Eugene, Oregon:
https://t.co/oroTbvsNdQ</t>
  </si>
  <si>
    <t>Bernie Sanders has been treated terribly by the Democrats—both with delegates &amp;amp; otherwise. He should show them, &amp;amp; run as an Independent.</t>
  </si>
  <si>
    <t>Happy #CincoDeMayo! The best taco bowls are made in Trump Tower Grill. I love Hispanics! https://t.co/ufoTeQd8yA https://t.co/k01Mc6CuDI</t>
  </si>
  <si>
    <t>I will be interviewed by @BretBaier @SpecialReport at 6pm ET tonight @FoxNews</t>
  </si>
  <si>
    <t>Many reports that I will be attending the Alvarez/Khan fight this weekend in Vegas. Totally untrue! Unfortunately I have other plans.</t>
  </si>
  <si>
    <t>Join me in Charleston, WV - tomorrow! https://t.co/kv624y9UOm</t>
  </si>
  <si>
    <t>I will be interviewed on @foxandfriends at 7:30 A.M. Enjoy!</t>
  </si>
  <si>
    <t>I will be interviewed on @TODAYshow and Good Morning America at 7:00 A.M.</t>
  </si>
  <si>
    <t>I will be interviewed on @Morning_Joe at 6:15 A.M. Enjoy!</t>
  </si>
  <si>
    <t>I would rather run against Crooked Hillary Clinton than Bernie Sanders and that will happen because the books are cooked against Bernie!</t>
  </si>
  <si>
    <t>What a great evening we had. So interesting that Sanders beat Crooked Hillary. The dysfunctional system is totally rigged against him!</t>
  </si>
  <si>
    <t>.@oreillyfactor  Please correct, I WON Virginia!</t>
  </si>
  <si>
    <t>Thank you Indiana, we were just projected to be the winner. We have won in every category. You are very special people-I will never forget!</t>
  </si>
  <si>
    <t>Thank you Indiana! #Trump2016
#MakeAmericaGreatAgain https://t.co/G4JlShRA6I</t>
  </si>
  <si>
    <t>Lyin' Ted Cruz consistently said that he will, and must, win Indiana. If he doesn't he should drop out of the race-stop wasting time &amp;amp; money</t>
  </si>
  <si>
    <t>Wow, Lyin' Ted Cruz really went wacko today. Made all sorts of crazy charges. Can't function under pressure - not very presidential. Sad!</t>
  </si>
  <si>
    <t>MAKE AMERICA GREAT AGAIN!
#INPrimary #VoteTrump 
https://t.co/TI27thMZEI</t>
  </si>
  <si>
    <t>Polls close at 6pm! #INPrimary #Trump2016 #VoteTrump 
https://t.co/DT9WkYAGEK</t>
  </si>
  <si>
    <t>Thank you America! #Trump2016 
https://t.co/tiExz8YhFT https://t.co/Hkt3YNccb0</t>
  </si>
  <si>
    <t>MAKE AMERICA GREAT AGAIN! 
#Trump2016 #VoteTrump https://t.co/OKaL5UI4oJ</t>
  </si>
  <si>
    <t>MAKE AMERICA GREAT AGAIN!
#INPrimary #VoteTrump 
https://t.co/MBgGXSYluW
https://t.co/YPwDZ8Irch</t>
  </si>
  <si>
    <t>MAKE AMERICA GREAT AGAIN!
#INPrimary #VoteTrump
https://t.co/nMqeKxccv6</t>
  </si>
  <si>
    <t>Thank you South Bend, Indiana! Everyone get out &amp;amp; #VoteTrump tomorrow! #INPrimary 
https://t.co/rj11BPzqDI https://t.co/xEBlvGrny1</t>
  </si>
  <si>
    <t>RT @EricTrump: Wow! I am speechless! Thank you to my sidekick @LynnePatton who keeps me &amp;amp; the @EricTrumpFdn in line! https://t.co/L7Y2pjIl6…</t>
  </si>
  <si>
    <t>Will be in South Bend, Indiana in a short while -- big rally! See you soon!</t>
  </si>
  <si>
    <t>Will be interviewed on @seanhannity tonight at 10pmE. Enjoy! #INPrimary</t>
  </si>
  <si>
    <t>THANK YOU AMERICA!
#MakeAmericaGreatAgain https://t.co/PvhGP2HmbN</t>
  </si>
  <si>
    <t>RT @DonaldJTrumpJr: Donald Trump Jr. On The Record: Why Trump International Hotels And Residences Are Still Winning via @forbes https://t.c…</t>
  </si>
  <si>
    <t>Thank you Carmel, Indiana! Get out &amp;amp; #VoteTrump tomorrow! #INPrimary #MakeAmericaGreatAgain https://t.co/j07c4oYryG</t>
  </si>
  <si>
    <t>Honored to have received the endorsement of Lou Holtz - a great guy! #INPrimary #Trump2016 https://t.co/AeGyODb37O</t>
  </si>
  <si>
    <t>I will defeat Crooked Hillary Clinton on 11/8/2016. #Trump2016
#MakeAmericaGreatAgain https://t.co/HtwD1FGn9e</t>
  </si>
  <si>
    <t>I will be campaigning in Indiana all day. Things are looking great, and the support of Bobby Knight has been so amazing. Today will be fun!</t>
  </si>
  <si>
    <t>Everybody is talking about the protesters burning the American flags and proudly waving Mexican flags. I want America First - so do voters!</t>
  </si>
  <si>
    <t>Gov Mike Pence has just stated that Donald Trump has taken a strong stance on Hoosier jobs, and he thanks me! I will bring back jobs to USA.</t>
  </si>
  <si>
    <t>Crooked Hillary Clinton said she is used to "dealing with men who get off the reservation." Actually, she has done poorly with such men!</t>
  </si>
  <si>
    <t>I will be interviewed on @CNN  @NewDay  at 7:30 A.M. Enjoy!</t>
  </si>
  <si>
    <t>Join me in Carmel, Indiana- tomorrow at 4pm! #INPrimary 
https://t.co/tfW6B0eZDm https://t.co/ZiofZ2D6ck</t>
  </si>
  <si>
    <t>Thank you Fort Wayne, Indiana!
#Trump2016 #INPrimary https://t.co/mDGrmMmk5T</t>
  </si>
  <si>
    <t>Thank you Terre Haute, Indiana!
#MakeAmericaGreatAgain https://t.co/O6ELhlae3h</t>
  </si>
  <si>
    <t>.@KarlRove is a failed Jeb Bushy. Never says anything good &amp;amp; never will, even after I beat Hillary. Shouldn't be on the air!</t>
  </si>
  <si>
    <t>I am on @FoxNewsSunday with Chris Wallace- his 20th year anniversary with #FNS, throughout the day. Enjoy! https://t.co/hDzdDpZiRx</t>
  </si>
  <si>
    <t>Will be in Terre Haute, Indiana in a short while -- big rally! See you soon!</t>
  </si>
  <si>
    <t>I watched Sen. Graham @FaceTheNation. Why don't they say that I ran him out of the race like a little boy, and in the end he had no support?</t>
  </si>
  <si>
    <t>Thank you Indiana! #Trump2016 https://t.co/shPWexfkVX</t>
  </si>
  <si>
    <t>I will be in Indiana on Sunday and Monday at four MAKE AMERICA GREAT AGAIN rallies. See you there!</t>
  </si>
  <si>
    <t>Thank you @MikeOzanian for the nice comments on @FoxNews today. Great job!</t>
  </si>
  <si>
    <t>Trump locks down Delaware GOP delegates. #Trump2016 #MAGA 
https://t.co/sto7CYV1fw</t>
  </si>
  <si>
    <t>The economy is bad and getting worse-almost ZERO growth this quarter. Nobody can beat me on the economy (and jobs). MAKE AMERICA GREAT AGAIN</t>
  </si>
  <si>
    <t>"@LexingtonBobby: @FoxNews @tedcruz @realDonaldTrump https://t.co/uhDlyi82Ua"</t>
  </si>
  <si>
    <t>The "protesters" in California were thugs and criminals. Many are professionals. They should be dealt with strongly by law enforcement!</t>
  </si>
  <si>
    <t>.@AC360  Anderson, so amazing. Your mother is, and always has been, an incredible woman!</t>
  </si>
  <si>
    <t>We are now at 1001 delegates. We will win on the first ballot and are not wasting time and effort on other ballots because system is rigged!</t>
  </si>
  <si>
    <t>Thank you Indiana! #Trump2016 https://t.co/WAuI0nRNzX</t>
  </si>
  <si>
    <t>Crooked Hillary Clinton, perhaps the most dishonest person to have ever run for the presidency, is also one of the all time great enablers!</t>
  </si>
  <si>
    <t>Wow, the ridiculous deal made between Lyin'Ted Cruz and 1 for 42 John Kasich has just blown up. What a dumb deal - dead on arrival!</t>
  </si>
  <si>
    <t>Thank you Costa Mesa, California! 31,000 people tonight with thousands turned away. I will be back! #Trump2016 https://t.co/4P0tzvZn0e</t>
  </si>
  <si>
    <t>New York Yankees President, Randy Levine: 'End of the Republican Party' If Donald Trump Not Nominated.  
https://t.co/HEXBZeejBc</t>
  </si>
  <si>
    <t>I will be interviewed on @foxandfriends with the legendary Coach Bobby Knight- tomorrow morning. Enjoy! #INDPrimary https://t.co/c9WVhfyMzs</t>
  </si>
  <si>
    <t>RT @newtgingrich: Seems out of touch w/ reality to announce a VP nominee before securing 1237 delegates. https://t.co/Hqx8MRyAjR https://t.…</t>
  </si>
  <si>
    <t>RT @AdrianaCohen16: Carly Fiorina no lifeboat for a fast-sinking @tedcruz campaign https://t.co/nHhENzFBck via @bostonherald @realdonaldtru…</t>
  </si>
  <si>
    <t>#MakeAmericaGreatAgain #Trump2016 https://t.co/ZHM5w7jnss</t>
  </si>
  <si>
    <t>#MakeAmericaGreatAgain https://t.co/53qHBKs7yA</t>
  </si>
  <si>
    <t>Thank you Evansville, Indiana! 
#MakeAmericaGreatAgain https://t.co/Fn8ClNjUtr</t>
  </si>
  <si>
    <t>Heading to rally with Bobby now! See you soon!
https://t.co/dWSSOEctZn</t>
  </si>
  <si>
    <t>So many false and phony T.V. commercials being broadcast in Indiana. Reminds me of Florida where thousands were put up-I won in a landslide!</t>
  </si>
  <si>
    <t>I will be in Evansville, Indiana, with the great Bobby Knight (who last night endorsed me) at 12:00 this afternoon. See you there!</t>
  </si>
  <si>
    <t>Lyin' Ted Cruz, who can never beat Hillary Clinton and has NO path to victory, has chosen a V.P.candidate who failed badly in her own effort</t>
  </si>
  <si>
    <t>I will be interviewed on the @TODAYshow at 7:00 A.M. this morning. Enjoy!</t>
  </si>
  <si>
    <t>Thank you to all for the wonderful reviews of my foreign policy speech. I will soon be speaking in great detail on numerous other topics!</t>
  </si>
  <si>
    <t>"@AnnetteJeanne: I cried when they said you made a clean sweep of all 5 states. I was SO HAPPY! I really adore you Mr. Trump, so much."</t>
  </si>
  <si>
    <t>Getting the strong endorsement of the great coach, Bobby Knight, has been a highlight of my stay in Indiana. Big speech tomorrow with Bobby!</t>
  </si>
  <si>
    <t>I am in Indiana where we just had a great rally. Fantastic people! Staying at a Holiday Inn Express - new and clean, not bad!</t>
  </si>
  <si>
    <t>Thank you Laura!  https://t.co/C1GHUJazn0</t>
  </si>
  <si>
    <t>Thank you for the endorsement, Coach Bobby Knight! I will never forget it!
https://t.co/FchYdKY4F8 https://t.co/MpRtRwv51u</t>
  </si>
  <si>
    <t>Join me on @greta- from Indianapolis, Indiana at 7pmE! Enjoy! #Trump2016 
https://t.co/gTyn8GLGil</t>
  </si>
  <si>
    <t>RT @DonaldJTrumpJr: An Honor to be in #Indiana w @realDonaldTrump @greta &amp;amp; the legend, Bobby Knight! I like our secret weapon better!!! htt…</t>
  </si>
  <si>
    <t>THANK YOU Connecticut, Delaware, Maryland, Pennsylvania, and Rhode Island! #MakeAmericaGreatAgain https://t.co/MGKh77wQt8</t>
  </si>
  <si>
    <t>Agreed! https://t.co/biyldP3CIw</t>
  </si>
  <si>
    <t>Thank you Newt! https://t.co/FOh7qEnKUF</t>
  </si>
  <si>
    <t>RT @AnnCoulter: GREATEST FOREIGN POLICY SPEECH SINCE WASHINGTON'S FAREWELL ADDRESS.</t>
  </si>
  <si>
    <t>Thanks Dave! https://t.co/NaPPQNjVi2</t>
  </si>
  <si>
    <t>Thanks! https://t.co/5jiSyvQiNj</t>
  </si>
  <si>
    <t>Thank you! WE will MAKE AMERICA GREAT AGAIN! https://t.co/aKxoD24IN9</t>
  </si>
  <si>
    <t>Thank you! https://t.co/aYbOob1kiT</t>
  </si>
  <si>
    <t>Thank you Delaware! #Trump2016 https://t.co/FeXThmUWuo</t>
  </si>
  <si>
    <t>Thank you Rhode Island! #Trump2016 https://t.co/EzCvm7yc0Y</t>
  </si>
  <si>
    <t>Thank you Connecticut! #Trump2016 https://t.co/3GGoVXSZSf</t>
  </si>
  <si>
    <t>Thank you Pennsylvania! #Trump2016 https://t.co/mucxspuHnV</t>
  </si>
  <si>
    <t>Thank you Maryland! #Trump2016 https://t.co/hH3h6bRMIs</t>
  </si>
  <si>
    <t>Thank you America! #Trump2016 https://t.co/KL7VZbM1jP</t>
  </si>
  <si>
    <t>Lets #MakeAmericaGreatAgain, Maryland! #VoteTrump 
https://t.co/ZttNAmk1QS</t>
  </si>
  <si>
    <t>You have until 8pm to #VoteTrump, Delaware! https://t.co/GYeV6m1qOn</t>
  </si>
  <si>
    <t>Thank you for a great day yesterday, Rhode Island! #VoteTrump
https://t.co/nAlgNIIdyo</t>
  </si>
  <si>
    <t>Six hours left to #VoteTrump Connecticut! https://t.co/U1kbLMwhNI</t>
  </si>
  <si>
    <t>Lets go Pennsylvania! #VoteTrump 
https://t.co/TWQM8AV9p4</t>
  </si>
  <si>
    <t>How bad is the New York Times—the most inaccurate coverage constantly. Always trying to belittle. Paper has lost its way!</t>
  </si>
  <si>
    <t>Thank you for the incredible support- Melania, Barron, Ivanka, Jared, Tiffany, Don, Vanessa, Eric, and Lara!
https://t.co/mPGpPFiDl8</t>
  </si>
  <si>
    <t>Bernie Sanders has been treated terribly by the Democrats—both with delegates &amp;amp; otherwise. He should show them, and run as an Independent!</t>
  </si>
  <si>
    <t>Thank you @DonaldJTrumpJr &amp;amp; @EricTrump. #Trump2016 
https://t.co/CMfcrZjHgM</t>
  </si>
  <si>
    <t>MAKE AMERICA GREAT AGAIN!
https://t.co/xhwhJuV3aa https://t.co/2XWN52IpH2</t>
  </si>
  <si>
    <t>The Cruz-Kasich pact is under great strain. This joke of a deal is falling apart, not being honored and almost dead. Very dumb!</t>
  </si>
  <si>
    <t>Thank you Wilkes-Barre, Pennsylvania! 
#MakeAmericaGreatAgain #Trump2016 
https://t.co/FJbNlidwJF</t>
  </si>
  <si>
    <t>Get out and VOTE tomorrow! We will MAKE AMERICA GREAT AGAIN! 
#CTPrimary #DEPrimary #MDPrimary #PAPrimary #RIPrimary
https://t.co/ndi8sZI1Gt</t>
  </si>
  <si>
    <t>Passing what was once a vibrant manufacturing area in Pennsylvania. So sad! #MakeAmericaGreatAgain https://t.co/RYWjgPh9Ja</t>
  </si>
  <si>
    <t>Thank you West Chester, Pennsylvania!
#PAPrimary #VoteTrump
https://t.co/Qva1QtmhpS https://t.co/CF9SYBqka7</t>
  </si>
  <si>
    <t>Thank you Warwick, Rhode Island!
#RIPrimary #VoteTrump 
https://t.co/V0d4CuS1xf https://t.co/GU3p28VMe0</t>
  </si>
  <si>
    <t>RT @DRUDGE_REPORT: DEAD HEAT: CLINTON VS TRUMP https://t.co/wqfQMEMQOj</t>
  </si>
  <si>
    <t>On the way to the great state of Rhode Island- big rally. Then to Pennsylvania for rest of day and night!</t>
  </si>
  <si>
    <t>Kasich just announced that he wants the people of Indiana to vote for him. Typical politician - can't make a deal work.</t>
  </si>
  <si>
    <t>Shows how weak and desperate Lyin' Ted is when he has to team up with a guy who openly can't stand him and is only 1 win and 38 losses.</t>
  </si>
  <si>
    <t>Lyin' Ted Cruz and 1 for 38 Kasich are unable to beat me on their own so they have to team up (collusion) in a two on one. Shows weakness!</t>
  </si>
  <si>
    <t>Lyin' Ted and Kasich are mathematically dead and totally desperate. Their donors &amp;amp; special interest groups are not happy with them. Sad!</t>
  </si>
  <si>
    <t>Wow, just announced that Lyin' Ted and Kasich are going to collude in order to keep me from getting the Republican nomination. DESPERATION!</t>
  </si>
  <si>
    <t>I am happy to hear how badly the @nytimes is doing. It is a seriously failing paper with readership which is way down. Becoming irrelevant!</t>
  </si>
  <si>
    <t>"@DiamondandSilk: .@DonaldJTrumpJr awesome job on @CNNSotu. DonaldTrump has integrity &amp;amp; he refuses 2 play the game call "Delegate Bribery"</t>
  </si>
  <si>
    <t>"@newtgingrich: #NYPrimary turned Trump from frontrunner into presumptive #GOP nominee https://t.co/oLC7mGgnZ9 https://t.co/iNolBfFFRF"</t>
  </si>
  <si>
    <t>I will be in Maryland this afternoon for a major rally. Things are looking good for Tuesday!</t>
  </si>
  <si>
    <t>.@AndreBauer  Great job and advice on @CNN  @jaketapper  Thank you!</t>
  </si>
  <si>
    <t>.@Borisep was great on @JudgeJeanine tonight. Very smart commentary that will prove to be correct!</t>
  </si>
  <si>
    <t>As soon as John Kasich is hit with negative ads, he will drop like a rock in the polls against Crooked Hillary Clinton. I will win!</t>
  </si>
  <si>
    <t>I had a great day campaigning in Connecticut. Looking for a big vote on Tuesday!</t>
  </si>
  <si>
    <t>Congratulations to @seanhannity on his great ratings and ratings increase as reported by the @AP today. Amazing job!</t>
  </si>
  <si>
    <t>Lynne Ryan -- just read your great story in the NY Times -- I am proud of you. Thanks! https://t.co/zVmhYsd4ir</t>
  </si>
  <si>
    <t>Thank you Delaware! #Trump2016 
#MakeAmericaGreatAgain #TrumpTrain
https://t.co/qLXTzQPbEj https://t.co/ofhbM9bcOI</t>
  </si>
  <si>
    <t>Thank you Bridgeport, Connecticut!
#MakeAmericaGreatAgain #Trump2016
https://t.co/GCtTKnNq06 https://t.co/qcuDCyBzCN</t>
  </si>
  <si>
    <t>Thank you Waterbury, Connecticut!
#MakeAmericaGreatAgain #Trump2016
https://t.co/5eZ5nVQbE9 https://t.co/OoQAAKWUUq</t>
  </si>
  <si>
    <t>#MakeAmericaGreatAgain
Video: https://t.co/Dsa2v9X3ol https://t.co/aGUHmO98Xm</t>
  </si>
  <si>
    <t>Pennsylvania: Cast your vote for Trump for POTUS &amp;amp; ALSO vote for the TRUMP DELEGATES in your congressional district! https://t.co/1utaLLMfUa</t>
  </si>
  <si>
    <t>Will be spending the day campaigning in Connecticut, another state where jobs are being stolen by other countries. I will stop this fast!</t>
  </si>
  <si>
    <t>Thank you Pennsylvania! #Trump2016
https://t.co/Y3UBsxBQmg https://t.co/ie23QdsVTe</t>
  </si>
  <si>
    <t>Thank you Indiana! Was great seeing everyone on Wednesday! I will be back soon! #Trump2016
https://t.co/mWfLxYKPbk https://t.co/62DKEm5XVm</t>
  </si>
  <si>
    <t>Thank you California! See you soon!
#MakeAmericaGreatAgain #Trump2016
https://t.co/uJCqbQYYWR https://t.co/8rqI4mQ3Tw</t>
  </si>
  <si>
    <t>Thank you, @DonaldJTrumpJr! #Trump2016 #MakeAmericaGreatAgain 
https://t.co/FJXjkZAAQf https://t.co/0NQLzbwuFo</t>
  </si>
  <si>
    <t>Thank you for the incredible support, Maryland! This is a movement!
#MakeAmericaGreatAgain #Trump2016
https://t.co/Uyq4sTYb0l</t>
  </si>
  <si>
    <t>I met Prince on numerous occasions. He was an amazing talent and wonderful guy. He will be greatly missed!</t>
  </si>
  <si>
    <t>Cruz said Kasich should leave because he couldn't get to 1237. Now he can't get to 1237. Drop out LYIN' Ted.</t>
  </si>
  <si>
    <t>Both Ted Cruz and John Kasich have no path to victory. They should both drop out of the race so that the Republican Party can unify!</t>
  </si>
  <si>
    <t>Senator Ted Cruz has been MATHEMATICALLY ELIMINATED from race. He said Kasich should get out for same reason. I think both should get out!</t>
  </si>
  <si>
    <t>I will be doing the @TODAYshow with my wife, Melania, and the rest of my family in a major Town Hall. Hopefully, it will be fun! Enjoy.7A.M.</t>
  </si>
  <si>
    <t>Thank you Maryland- what a great way to conclude the day! Will be back soon. #Trump2016 https://t.co/dNeTdMENdV https://t.co/JbJYYpEsmo</t>
  </si>
  <si>
    <t>We are going to bring steel and manufacturing back to Indiana!</t>
  </si>
  <si>
    <t>Had a meeting with the terrific @GovPenceIN of Indiana. So excited to campaign in his wonderful state! https://t.co/73uCyV6ql4</t>
  </si>
  <si>
    <t>Thank you Indiana! Will be back soon!
#Trump2016 #MakeAmericaGreatAgain https://t.co/pxvSL8cs3B</t>
  </si>
  <si>
    <t>#Trump360 Watch this 360 video of my speech last night at Trump Tower- https://t.co/2YT2Kxly9t</t>
  </si>
  <si>
    <t>Off to Indiana! #Trump2016 https://t.co/zqUdaaSaXD</t>
  </si>
  <si>
    <t>Ted Cruz is mathematically out of winning the race. Now all he can do is be a spoiler, never a nice thing to do. I will beat Hillary!</t>
  </si>
  <si>
    <t>MAKE AMERICA GREAT AGAIN! https://t.co/tK6mKZpFBl</t>
  </si>
  <si>
    <t>"@bigop1: @realDonaldTrump @CNN @oreillyfactor https://t.co/vXiQru6HIE"  Wow, really nice!</t>
  </si>
  <si>
    <t>Thank you New York, I will never forget!</t>
  </si>
  <si>
    <t>Thank you New York! I love you!
#MakeAmericaGreatAgain #Trump2016 https://t.co/T1J0aUwMXl</t>
  </si>
  <si>
    <t>.@CNN is so negative it is impossible to watch. Terrible panel, angry haters. Bill O  @oreillyfactor said such an amazing thing about me!</t>
  </si>
  <si>
    <t>"@GreenSkyDeb: Look everybody, DonaldTrump will win it on the first ballot so keep praying!!! #TrumpTrain #Trump2016 #MakeAmericaGreatAgain"</t>
  </si>
  <si>
    <t>"@keksec__org: @realDonaldTrump Your policies will make this state and country great again! #MakeAmericaGreatAgain https://t.co/SWxV3YCbqb"</t>
  </si>
  <si>
    <t>"@kdk144: @realDonaldTrump Everybody is "In A New York State of Mind" now!"</t>
  </si>
  <si>
    <t>Polls close in 3 hours! Everyone get out and VOTE!
#Trump2016 #MakeAmericaGreatAgain
https://t.co/EuFxefFu0D</t>
  </si>
  <si>
    <t>RT @DonaldJTrumpJr: A message from Donald J. Trump to NEW YORK!
  https://t.co/FMosFLn8yq</t>
  </si>
  <si>
    <t>Discussing #NewYorkValues
in Buffalo last night- on the eve of the #NYPrimary.
LETS GO NY! #VoteTrump 
https://t.co/6x8Dag7REA</t>
  </si>
  <si>
    <t>1988 with Oprah- discussing why I would never rule out a run for #POTUS.
#Trump2016 #VoteTrumpNY #PrimaryDay https://t.co/9rup33Rl29</t>
  </si>
  <si>
    <t>Who did the House Task Force on
Urgent Fiscal Issues call- when America needed HELP? 
https://t.co/Q1NErOtW9V</t>
  </si>
  <si>
    <t>#MakeAmericaGreatAgain
#Trump2016 https://t.co/awow5pyn7n</t>
  </si>
  <si>
    <t>LETS GO AMERICA! Time to take back
our country, and #MakeAmericaGreatAgain
Watch video &amp;amp; go
#VoteTrump! https://t.co/lsKdqGFyvQ</t>
  </si>
  <si>
    <t>#ICYMI: #Trump2016 closing speech in
Buffalo, New York!
#VoteTrumpNY https://t.co/tS6mWn2oth</t>
  </si>
  <si>
    <t>Join me in Indianapolis, Indiana tomorrow at 3pm! #Trump2016
#MakeAmericaGreatAgain
Tickets: https://t.co/36c7PLAqyq https://t.co/JBNYtk3FyE</t>
  </si>
  <si>
    <t>Thank you Eric! https://t.co/pu1vDiQlrV</t>
  </si>
  <si>
    <t>A big day for New York and for our COUNTRY! MAKE AMERICA GREAT AGAIN!</t>
  </si>
  <si>
    <t>I am on @foxandfriends at 7:00 A.M. ENJOY!</t>
  </si>
  <si>
    <t>Thank you Buffalo! #NYPrimary 
https://t.co/Z9QphVlZft https://t.co/4ujDuOvLPj</t>
  </si>
  <si>
    <t>#MakeAmericaGreatAgain #NYPrimary
https://t.co/awow5pyn7n</t>
  </si>
  <si>
    <t>Lyin’ Ted Cruz even voted against Superstorm Sandy aid and September 11th help. So many New Yorkers devastated. Cruz hates New York!</t>
  </si>
  <si>
    <t>New York, we will make America great again! https://t.co/KyxbaW4fsL</t>
  </si>
  <si>
    <t>Kasich only looks O.K. in polls against Hillary because nobody views him as a threat and therefore have placed ZERO negative ads against him</t>
  </si>
  <si>
    <t>Lyin' Ted Cruz can't win with the voters so he has to sell himself to the bosses-I am millions of VOTES ahead! Hillary would destroy him &amp;amp; K</t>
  </si>
  <si>
    <t>"@DiamondandSilk: .@realDonaldTrump is who we need 2 fix this corrupted, rigged system. 4 no Profit, Under budget &amp;amp; ahead of schedule.</t>
  </si>
  <si>
    <t>Thank you for today's endorsement, New York Veteran Police Association! 
#NewYorkValues https://t.co/AMFBymUXuZ https://t.co/ZQHmkBDUnA</t>
  </si>
  <si>
    <t>Thank you, California! Will see you soon! #MakeAmericaGreatAgain 
https://t.co/VyxSXUEkZn https://t.co/5rk1U4dQ7r</t>
  </si>
  <si>
    <t>I would have millions of votes more than Hillary except for the fact that I had 17 opponents and she just had a socialist named Bernie!</t>
  </si>
  <si>
    <t>Crooked Hillary Clinton is spending a fortune on ads against me. I am the one person she doesn't want to run against. Will be such fun!</t>
  </si>
  <si>
    <t>Lyin' Ted Cruz can't get votes (I am millions ahead of him) so he has to get his delegates from the Republican bosses. It won't work!</t>
  </si>
  <si>
    <t>Lyin' Ted Cruz will never be able to beat Hillary. Despite a rigged delegate system, I am hundreds of delegates ahead of him.</t>
  </si>
  <si>
    <t>I'll be in one of my favorite places this morning, Staten Island. Big crowd, will be fun!</t>
  </si>
  <si>
    <t>#MakeAmericaGreatAgain #NYPrimary 
https://t.co/x0smlMCWau</t>
  </si>
  <si>
    <t>Thank you California, Connecticut, Maryland, and Pennsylvania!
#MakeAmericaGreatAgain #Trump2016 https://t.co/pwFFHyzSE6</t>
  </si>
  <si>
    <t>See you tomorrow Dutchess County, 
New York! #NYPrimary #TrumpTrain
https://t.co/z9LOIkEyOq https://t.co/caMLixZfda</t>
  </si>
  <si>
    <t>Will be on Hannity tonight. Rebroadcast of town hall from Pittsburgh, PA. 8:00pm on FOX. Enjoy! #Trump2016 https://t.co/ZhaxXnAohm</t>
  </si>
  <si>
    <t>"@Ollie_621: @FoxNews @realDonaldTrump I think it's more like 64%. #VoteTrumpNY🗽 #MakeAmericaGreatAgain!</t>
  </si>
  <si>
    <t>"@AshleyEdam: New CBS Poll shows defections from Cruz's core supporters &amp;amp; increased support for @realDonaldTrump ...Not surprising."</t>
  </si>
  <si>
    <t>"@Trumptbird: Dear  I'm starting to believe that you're actually going to WIN! #Trump2016 #presidenttrump #primary https://t.co/l7IcxN64gz"</t>
  </si>
  <si>
    <t>"@Trump_Supporter: "Trump Holds 66% Favorable Rating in New York – Leads Hillary Clinton by 19pts in Empire... https://t.co/sGAS3bFpCy</t>
  </si>
  <si>
    <t>THANK YOU, SYRACUSE! #NYPrimary
https://t.co/9oHimG204Y https://t.co/agy5p8NCox</t>
  </si>
  <si>
    <t>Just arrived in Syracuse, NY. Big crowd, great place! We will bring back the desperately needed jobs. #NYPrimary https://t.co/vOEQDsEAKC</t>
  </si>
  <si>
    <t>#ICYMI: @foxandfriends this morning. 
https://t.co/s5pUEdCWI0</t>
  </si>
  <si>
    <t>I will be interviewed on @foxandfriends at 9:00 A.M. I will be talking about the rigged and boss controlled Republican primaries!</t>
  </si>
  <si>
    <t>"@dmharvey89: @realDonaldTrump @wdct8110 I just voted for @realDonaldTrump in Indiana. Everyone I talk to was following suit!" Fantastic!</t>
  </si>
  <si>
    <t>"@herb_stamper: @JackoffJosh711 @SenFrankNiceley @FoxNews @WSJ we are becoming a third world country because of jerks like him" Great!</t>
  </si>
  <si>
    <t>"@wdct8110: @realDonaldTrump We love you Donald ! Finally someone who actually cares about us .. !! https://t.co/BKoQu1mm4A"</t>
  </si>
  <si>
    <t>"@Bubble709_: @realDonaldTrump Praying for your family and your win in New York." Thank you!</t>
  </si>
  <si>
    <t>Join me this weekend! #NYPrimary
4/16: SYRACUSE - NOON
https://t.co/Eu43S1wJN9
4/16: WATERTOWN - 3pm
https://t.co/UdOZzisJhA 
#Trump2016</t>
  </si>
  <si>
    <t>Thank you, @NYPost! #Trump2016
https://t.co/KzGweIxaEo</t>
  </si>
  <si>
    <t>Thank you America! #Trump2016 https://t.co/PTKkrLeuCB</t>
  </si>
  <si>
    <t>MAKE AMERICA GREAT AGAIN!
https://t.co/VxVOG3c5RZ</t>
  </si>
  <si>
    <t>Join me on Saturday- in Syracuse, New York! #NYPrimary #Trump2016
https://t.co/F6JkPKb1hn https://t.co/yfJZUlDdCM</t>
  </si>
  <si>
    <t>Thank you Pittsburgh, Pennsylvania!
#MakeAmericaGreatAgain #Trump2016 https://t.co/7WHS3vbXSw</t>
  </si>
  <si>
    <t>Big protest march in Colorado on Friday afternoon! Don't let the bosses take your vote!</t>
  </si>
  <si>
    <t>The rules DID CHANGE in Colorado shortly after I entered the race in June because the pols and their bosses knew I would win with the voters</t>
  </si>
  <si>
    <t>Biggest story in politics is now happening in the great State of Colorado where over one million people have been precluded from voting!</t>
  </si>
  <si>
    <t>Will be interviewed by @SeanHannity on @FoxNews tonight at 10pm from Pennsylvania. Enjoy! #Trump2016 https://t.co/8IJ40zKS90</t>
  </si>
  <si>
    <t>Join me in Pittsburgh- tonight at 7pmE! #Trump2016 #TrumpTrain
Tickets: https://t.co/TrKj5lGXup</t>
  </si>
  <si>
    <t>#MakeAmericaGreatAgain #Trump2016 https://t.co/249n3yLQxS</t>
  </si>
  <si>
    <t>#MakeAmericaGreatAgain #Trump2016  https://t.co/l5TyL8U4e8</t>
  </si>
  <si>
    <t>Great to be on @andersoncooper tonight with my wonderful family. Will be rebroadcast at 12:00 A.M.  (EASTERN).</t>
  </si>
  <si>
    <t>I LOVE NEW YORK! #NewYorkValues 
https://t.co/dbTDhYAX1v</t>
  </si>
  <si>
    <t>THANK YOU California, Maryland, New York, and Pennsylvania! See you soon!
#MakeAmericaGreatAgain #Trump2016 https://t.co/2lyqnMRIGq</t>
  </si>
  <si>
    <t>Missouri just confirmed #Trump2016 as the official winner- with an additional 12 delegates. #MakeAmericaGreatAgain https://t.co/AVTkCAne5w</t>
  </si>
  <si>
    <t>WOW, great new poll- New York! Thank you for your support! #Trump2016
#NewYorkValues https://t.co/kuvCXJXjcr https://t.co/WSVmdI8vfZ</t>
  </si>
  <si>
    <t>Thank you Albany, New York!
#MakeAmericaGreatAgain #Trump2016
https://t.co/IAOuSY5VDC https://t.co/WcItUuxej8</t>
  </si>
  <si>
    <t>Join me in Rome, NY- tomorrow!
#Trump2016 #NYPrimary
Tickets available: https://t.co/VGCdQubia1</t>
  </si>
  <si>
    <t>Tune in &amp;amp; join me live in Albany, New York! 7pmE start time! I love you New York! #Trump2016 #TrumpTrain 
https://t.co/rY5zqUX9Wu</t>
  </si>
  <si>
    <t>A very interesting piece, by a very good writer, @KirstenPowers of @USATODAY and @FoxNews. https://t.co/gLuMitRitg</t>
  </si>
  <si>
    <t>Leaving for Albany, New York now, massive crowd expected. Very exciting!</t>
  </si>
  <si>
    <t>Why does the liberal media think Bill O'Reilly  (@oreillyfactor) is a complete and total vulgarian? I don't think so!</t>
  </si>
  <si>
    <t>Colorado Trump Delegates Scratched from Ballots at GOP Convention https://t.co/WLkmYjJJR9</t>
  </si>
  <si>
    <t>This is happening all over our country—great people being disenfranchised by
politicians. Repub party is in trouble! https://t.co/wNXRqVl9Uu</t>
  </si>
  <si>
    <t>"@AnnesLimo: @realDonaldTrump @WVTTS1017 Thanks for Rochester rally."  Great people, thank you!</t>
  </si>
  <si>
    <t>"@WVTTS1017: @realDonaldTrump just listened to you on fox. I love you so much."  Thank you!</t>
  </si>
  <si>
    <t>"@autoprofessor17: @realDonaldTrump Great job on Fox n Friends this morning. Very well spoken and presidential. #TrumpTrain"</t>
  </si>
  <si>
    <t>"@TimeHasCome1: @WayneDupreeShow @ThePatriot143 Trump needs to hold a massive protest rally in Colorado. He'd get 100k &amp;amp; own the news cycle"</t>
  </si>
  <si>
    <t>I will be interviewed on @foxandfriends at 7:00 A.M. Enjoy!</t>
  </si>
  <si>
    <t>The people of Colorado had their vote taken away from them by the phony politicians. Biggest story in politics. This will not be allowed!</t>
  </si>
  <si>
    <t>How is it possible that the people of the great State of Colorado never got to vote in the Republican Primary? Great anger - totally unfair!</t>
  </si>
  <si>
    <t>#MakeAmericaGreatAgain #Trump2016
https://t.co/TvFgM4TqKj</t>
  </si>
  <si>
    <t>I win a state in votes and then get non-representative delegates because they are offered all sorts of goodies by Cruz campaign. Bad system!</t>
  </si>
  <si>
    <t>The @nytimes purposely covers me so inaccurately. I want other nations to pay the U.S. for our defense of them. We are the suckers-no more!</t>
  </si>
  <si>
    <t>"@agentvf: New Jersey Man Joseph Hornick Willing to Go to Jail for Flying Trump Flag - Breitbart https://t.co/zky3vlOJu4  @Q102Philly"</t>
  </si>
  <si>
    <t>"@getreal1234: @realDonaldTrump @Kids123Nicholas @gqforbes @RepTomMarino let's go Pa he has my vote Go Trump"</t>
  </si>
  <si>
    <t>"@jlopez05391: @realDonaldTrump Rochester loves you! See you tomorrow! #MakeAmericaGreatAgain #Trump2016 #TrumpTrain" A big crowd!</t>
  </si>
  <si>
    <t>"@becker_berta: @vivhall3 @Reince Millions more will burn their Republican registration if GOP continues to subvert the will of the people."</t>
  </si>
  <si>
    <t>"@metalmom888:  @Theresa_Cali If the GOP screws Trump, his millions will walk from the GOP never to return! They better think long and hard"</t>
  </si>
  <si>
    <t>"@AnnCoulter: GOP is trying to steal nomination from the winner (Trump) not block an insurgent catching up 2 frontrunner (Sanders).</t>
  </si>
  <si>
    <t>"@governor_savage: @realDonaldTrump is the only person who can save us from this corrupt political mess. #MakeAmericaGreatAgain"</t>
  </si>
  <si>
    <t>"@Mutual408Grace: @realDonaldTrump @gene70 California women love Mr Trump too. Will make it happen in New York on April 19. Go out &amp;amp; vote."</t>
  </si>
  <si>
    <t>"@Kids123Nicholas: @gqforbes  @RepTomMarino @realDonaldTrump.Lets get it done Philadelphia Pa.Make Trump your pick for president now.</t>
  </si>
  <si>
    <t>"@PennyHicks13: @Carolde @kisster1 @FoxNews   Your tax and economic plans are second to none! https://t.co/Q08Kp4esxl Media shld report.</t>
  </si>
  <si>
    <t>"@Theresa_Cali: Poll shows @realDonaldTrump leads among registered Republican women with 44%. 👍🏻 https://t.co/yQmh3iSPBY" Thank you!</t>
  </si>
  <si>
    <t>"@vivhall3: @realDonaldTrump here your delegate replaced at CO GOP convention. https://t.co/NxYhzdcMS0" Very sad!</t>
  </si>
  <si>
    <t>A great honor to visit the 9/11 Memorial Museum with my wife, @MELANIATRUMP, today. #NewYorkValues https://t.co/eKCEWRD0Ro</t>
  </si>
  <si>
    <t>"@gene70: @realDonaldTrump The Real Person Of The Year! https://t.co/3yFUZALNVn"  Wow!</t>
  </si>
  <si>
    <t>"@gene70: @realDonaldTrump Fugedaboudit!!! The woman in New York love Donald Trump!!! https://t.co/ZcfT90hGEX"</t>
  </si>
  <si>
    <t>Bernie Sanders says that Hillary Clinton is unqualified to be president. Based on her decision making ability, I can go along with that!</t>
  </si>
  <si>
    <t>Isn't it a shame that the person who will have by far the most delegates and many millions more votes than anyone else, me, still must fight</t>
  </si>
  <si>
    <t>"@DnGLax:  Yes! Thank U 4 coming to LI! It was a thrill 2 B part of it! U will get the job done! #MakeAmericaGreatAgain #trump2016 🇺🇸"</t>
  </si>
  <si>
    <t>"@AlexNightrasor: @realDonaldTrump @lilrachiepoo Trump will be our best president since Reagan!</t>
  </si>
  <si>
    <t>"@lilrachiepoo: @realDonaldTrump Thank you, Mr. Trump, for your personal and financial sacrifices in this journey to #MAKEAMERICAGREATAGAIN"</t>
  </si>
  <si>
    <t>"@RepaloneLori: @realDonaldTrump @kirstiealley we love you and know you will do an awesome job! Saw you in bethpage !! 👏👏👏" Thank you.</t>
  </si>
  <si>
    <t>"@redneckgp: All you haters out there, STOP trashing the only candidate @realDonaldTrump that will put ALL OF YOU &amp;amp; AMERICA FIRST  #trump"</t>
  </si>
  <si>
    <t>"@RepMartinDaniel: We support you #HaileyPuckett. You will go far in life. Smart and courageous!</t>
  </si>
  <si>
    <t>"@kirstiealley: HELLO BOYS! this is my formal endorsement of @realDonaldTrump &amp;amp; I'm a woman! (last I checked) And Rudy, U R amazing!</t>
  </si>
  <si>
    <t>"@Cam: Reports are RNC has received +1 million postcards so far! If I get more info on ## I'll post @AnnCoulter https://t.co/yhyWihDdMq"</t>
  </si>
  <si>
    <t>“Donald Trump—The Disrupter” will air on @FoxNews Saturday night and Sunday night at 8 PM ET. Anchored by @BretBaier. @johnrobertsFox</t>
  </si>
  <si>
    <t>Nobody beats me on National Security. 
https://t.co/sCrj4Ha1I5</t>
  </si>
  <si>
    <t>Looks like I was right about NATO. I had no doubt. https://t.co/x6Ne3sjAWz</t>
  </si>
  <si>
    <t>Jennifer is a terrific person. https://t.co/EHL702civ5</t>
  </si>
  <si>
    <t>"@R_U_OK_UK: @realDonaldTrump @glozee1 @PaulManafort @CNN @DanScavino Vote trump to save the west. Don't become like Europe - #WakeUpAmerica</t>
  </si>
  <si>
    <t>"@glozee1: Great interview with @PaulManafort on @CNN regarding @realDonaldTrump path to victory #NewDay #MakeAmericaGreatAgain @DanScavino"</t>
  </si>
  <si>
    <t>"@WPayton344: @PaulManafort Great Interview on CNN-Being from CT- I am thrilled you are part of this Team-GO TRUMP!"</t>
  </si>
  <si>
    <t>So great to be in New York. Catching up on many things (remember, I am still running a major business while I campaign) and loving it!</t>
  </si>
  <si>
    <t>"@iamDaveK: @realDonaldTrump first WWE Hall of Famer to become president?"</t>
  </si>
  <si>
    <t>"@DiCristo13: @realDonaldTrump let's have the policy speeches on immigration, economy,  foreign policy, and NATO! https://t.co/Uuit2hWmhW"</t>
  </si>
  <si>
    <t>"@Keeblerqueen: @RealRudyGiulian @realDonaldTrump Thanks Rudy!!! Trump will be a great president!!"</t>
  </si>
  <si>
    <t>"@Genie115: #MakeAmericaGreatAgain we can only do that with @realDonaldTrump RT https://t.co/RViAgxoa4t"</t>
  </si>
  <si>
    <t>"@gracefulme3: @seanhannity @tedcruz @realDonaldTrump Cruz is hated in New York. He should go home - no place for a phony"</t>
  </si>
  <si>
    <t>Ted Cruz attacked New Yorkers and New York values- we don't forget! https://t.co/83ur9C1qhB</t>
  </si>
  <si>
    <t>#MakeAmericaGreatAgain #Trump2016 https://t.co/hjygbNsxee</t>
  </si>
  <si>
    <t>Unbelievable evening. Just made a speech in front 17,000 amazing New Yorkers in Bethpage, Long Island--- great to be home!</t>
  </si>
  <si>
    <t>I was not scheduled to be on the @oreillyfactor. Pure fiction!</t>
  </si>
  <si>
    <t>It is so great to be back home! Looking forward to a great rally tonight in Bethpage, Long Island!</t>
  </si>
  <si>
    <t>Still time to get out and VOTE!
#WIPrimary #Trump2016 #MAGA
https://t.co/HjnGrR25Vf</t>
  </si>
  <si>
    <t>RT @DonaldJTrumpJr: Last chance #Wisconsin: Find your polling location for today's primary &amp;amp; go vote! Visit https://t.co/LC20hcigoQ 🇺🇸🇺🇸 #T…</t>
  </si>
  <si>
    <t>Wow, @Politico is in total disarray 
with almost everybody quitting. Good
news -- bad, dishonest journalists! https://t.co/xTvGLDXY5O</t>
  </si>
  <si>
    <t>RT @EricTrump: #Wisconsin: To find your voting location visit https://t.co/9VgGcAJDkK #MakeAmericaGreatAgain  #TrumpTrain 🚂💨💨🇺🇸🇺🇸🇺🇸 https:/…</t>
  </si>
  <si>
    <t>"@roadsho: Challenge to all WI gun owners. Vote @realDonaldTrump.The only candidate that will protect your rights! https://t.co/qjTYLj8bxM</t>
  </si>
  <si>
    <t>Wisconsin, we will MAKE AMERICA GREAT AGAIN!</t>
  </si>
  <si>
    <t>Good morning Wisconsin! The polls are now open! #VoteTrump today &amp;amp; we will MakeAmericaGreatAgain! https://t.co/cXvX5SCF3c</t>
  </si>
  <si>
    <t>MAKE AMERICA GREAT AGAIN!
https://t.co/iiXHgM7aA2</t>
  </si>
  <si>
    <t>"@FoxNews: @ScottBaio: "#DonaldTrump is the only guy, I think, that has the will &amp;amp; the nerve to attack &amp;amp; to fight." https://t.co/DjkdAzT3WV</t>
  </si>
  <si>
    <t>"@vikkideiter: Something VERY close to my heart. I'm a NAVY VET! I love @realDonaldTrump's  VETERANS ADMINISTRATION REFORMS.</t>
  </si>
  <si>
    <t>I will be on @SeanHannity @FoxNews- tonight at 10pmE w/ @MELANIATRUMP, from Wisconsin. Enjoy! #WIPrimary #Trump2016 https://t.co/znfxf2wyrr</t>
  </si>
  <si>
    <t>MAKE AMERICA GREAT AGAIN!
https://t.co/yypR5snYBC</t>
  </si>
  <si>
    <t>Leaving Superior, Wisconsin now. Thank you! #Trump2016 #WIPrimary
https://t.co/AoTBAQgcZr https://t.co/2C4HEwrTQF</t>
  </si>
  <si>
    <t>Wow, great news from Wisconsin. Just made two speeches there with a big one coming tonight. Thank you! https://t.co/Bf95GysWDN</t>
  </si>
  <si>
    <t>Will be interviewed on @SeanHannity on @FoxNews from #Wisconsin tonight. My wife, Melania, will join me for the entire show.</t>
  </si>
  <si>
    <t>Congratulations Jim Herman! We are all proud of you @TrumpGolf!
https://t.co/RuuTippjw1</t>
  </si>
  <si>
    <t>Just departing La Crosse, Wisconsin. Thank you! #Trump2016 #WIPrimary
https://t.co/xk2cVAz0eY https://t.co/7umXgUjEzi</t>
  </si>
  <si>
    <t>This Tweet from @realDonaldTrump has been withheld in response to a report from the copyright holder.</t>
  </si>
  <si>
    <t>A great day in Wisconsin, many stops, many great people! Melania is joining me on Monday. Big crowds. MAKE AMERICA GREAT AGAIN!</t>
  </si>
  <si>
    <t>A great night in West Allis, Wisconsin! Thank you! #VoteTrumpWI #WIPrimary 
https://t.co/4x9gw1RhWS https://t.co/syGyqtOebs</t>
  </si>
  <si>
    <t>I am on @FoxNews with @greta doing a town hall, from Wisconsin- now! Enjoy!
#MakeAmericaGreatAgain #Trump2016</t>
  </si>
  <si>
    <t>Congratulations to @gohermie for winning the @ShellHouOpen. We are all proud of you @TNGCBedminster &amp;amp; all @TrumpGolf clubs! Great going!</t>
  </si>
  <si>
    <t>I will be in Milwaukee, Wisconsin- tomorrow at 7pmE with @MELANIATRUMP. Join us! #WIPrimary #Trump2016 https://t.co/L0PmEwdRxn</t>
  </si>
  <si>
    <t>Thank you Miss Katie's Diner!
#MakeAmericaGreatAgain #Trump2016
https://t.co/oYpUYJmpKI https://t.co/uTSIiVqPkT</t>
  </si>
  <si>
    <t>Thank you New York, and Pennsylvania! 
#MakeAmericaGreatAgain #Trump2016 https://t.co/sziCGsvGbz</t>
  </si>
  <si>
    <t>"@GOPjenna: "I don't care about the game, I care about the PEOPLE." And that's exactly why WE THE PEOPLE love you so much! #Trump2016"</t>
  </si>
  <si>
    <t>Thank you! #Trump2016 #WIPrimary https://t.co/alx0AY6E8J</t>
  </si>
  <si>
    <t>"@007cigarjoe: #MakeAmericaGreatAgain #Trump2016 @realDonaldTrump IS THE ONLY DEAL !!! https://t.co/PQHIM7AbvK"</t>
  </si>
  <si>
    <t>"@Margee11: #WISCONSIN VOTE SMART @tedcruz RECORDS R SEALED.. WHAT IS HE HIDING? SAVE AMERICA W/ @realDonaldTrump https://t.co/kMuAoGF99S"</t>
  </si>
  <si>
    <t>"@Wheels155:@CNN is reviewing the week,but majority of the show about @realDonaldTrump cuz there would be 0.0 ratings if not. Media's a JOKE</t>
  </si>
  <si>
    <t>I will be on @FoxNewsSunday with Chris Wallace this morning. Enjoy!</t>
  </si>
  <si>
    <t>"@FaceTheNation: Tune in for our sit-down interview with Republican frontrunner @realDonaldTrump! https://t.co/oVm8ozIC8h"</t>
  </si>
  <si>
    <t>Thank you Eau Claire, Wisconsin. 
#VoteTrump on Tuesday, April 5th!
MAKE AMERICA GREAT AGAIN! https://t.co/JI5JqwHnMC</t>
  </si>
  <si>
    <t>I will be interviewed by @jdickerson on @FaceTheNation tomorrow morning. Enjoy! #Trump2016</t>
  </si>
  <si>
    <t>A GREAT DAY IN WISCONSIN!
Thank you #Racine &amp;amp; #Wausau! Just arrived in #EauClaire! #Trump2016
#WIPrimary #TrumpTrain https://t.co/a0iKqNepD5</t>
  </si>
  <si>
    <t>.@FoxNews should be ashamed for allowing experts to explain how to make a nuclear attack!</t>
  </si>
  <si>
    <t>.@HeyTammyBruce- Thank you for your nice words on Fox today. They never use my full statements on nuclear, which you would agree with!</t>
  </si>
  <si>
    <t>Great honor to have @GOP General Counsel, #JohnRyder as a Trump delegate in TN. RNC meeting well worth it! Unifying the party!</t>
  </si>
  <si>
    <t>Join me on Monday, April 4th in Milwaukee! #WIPrimary #Trump2016
Tickets: https://t.co/L0PmEwdRxn https://t.co/F7P4s6oAzN</t>
  </si>
  <si>
    <t>Wisconsin has suffered a great loss of jobs and trade, but if I win, all of the bad things happening in the U.S. will be rapidly reversed!</t>
  </si>
  <si>
    <t>I will be in Wisconsin until the election. Jobs, trade and immigration will be big factors. I will bring jobs back home - make great deals!</t>
  </si>
  <si>
    <t>If @megynkelly stopped covering me on her show, her ratings would drop like a rock! My h to h interview with @AC360 beat her by millions!</t>
  </si>
  <si>
    <t>Is it possible for @megynkelly to cover anyone but Donald Trump on her terrible show. She totally misrepresents my words and positions! BAD.</t>
  </si>
  <si>
    <t>MAKE AMERICA GREAT AGAIN! 
https://t.co/SULeDE2PYp</t>
  </si>
  <si>
    <t>Can you believe that Ted Cruz, who has been killing our country on trade for so long, just put out a Wisconsin ad talking about trade?</t>
  </si>
  <si>
    <t>We must build a great wall between Mexico and the United States! https://t.co/05SjuRJFbf</t>
  </si>
  <si>
    <t>My new radio ad, airing today in Wisconsin! See you soon!
#WIPrimary #Trump2016 
https://t.co/iEbcYqyk3i</t>
  </si>
  <si>
    <t>Does anybody like Lyin' Ted? https://t.co/h78ESEgEYg</t>
  </si>
  <si>
    <t>For the 1st time in American history, America’s 16,500 border patrol agents have issue a presidential primary endorsement—me! Thank you.</t>
  </si>
  <si>
    <t>The National Border Patrol Council (NBPC) said that our open border is the biggest physical &amp;amp; economic threat facing the American people!</t>
  </si>
  <si>
    <t>The Club For Growth said in their ad that 465 delegates (Cruz) plus 143 delegates (Kasich) is more than my 739 delegates. Try again!</t>
  </si>
  <si>
    <t>The Club For Growth,which asked me for $1,000,000 in an extortion attempt, just put up a Wisconsin ad with incorrect math.What a dumb group!</t>
  </si>
  <si>
    <t>#MakeAmericaGreatAgain #Trump2016
https://t.co/aANxirUJJD https://t.co/VlMynYN3sd</t>
  </si>
  <si>
    <t>THANK YOU, NEW YORK! #Trump2016 https://t.co/ONDROBrDwr</t>
  </si>
  <si>
    <t>THANK YOU, AMERICA! #Trump2016
#MakeAmericaGreatAgain 
https://t.co/09hTbBgPHf https://t.co/uJnmDnvkUv</t>
  </si>
  <si>
    <t>THANK YOU, WISCONSIN! #VoteTrump 
next Tuesday, April 5th! #WIPrimary
https://t.co/4tymy651ZP https://t.co/IOBhOXeBiN</t>
  </si>
  <si>
    <t>Just had a very nice meeting with @Reince Priebus and the @GOP. Looking forward to bringing the Party 
together --- and it will happen!</t>
  </si>
  <si>
    <t>The Trump Doctrine: Peace Through Strength. #Trump2016 
https://t.co/2GD1TT8fXc https://t.co/tr1ILOoLUb</t>
  </si>
  <si>
    <t>"@susanbirchfiel1: Nothing you say will change my mind! Woman for @realDonaldTrump https://t.co/MIq1iF2097"</t>
  </si>
  <si>
    <t>"@Gearssuxs: @loudobbsnews @realDonaldTrump I'm a democrat and switch over to republican just to vote for trump in the primary."  Great!</t>
  </si>
  <si>
    <t>Thank you- Appleton, Wisconsin!
#WIPrimary #Trump2016 
https://t.co/XkbTWHpEvy https://t.co/klUNUV2J5S</t>
  </si>
  <si>
    <t>Congratulations to @CNN for having the wisdom to pick TRUMP! #MakeAmericaGreatAgain #Trump2016 https://t.co/Up8DhQulZ4</t>
  </si>
  <si>
    <t>Please keep your thoughts &amp;amp; prayers with Melissa Young- Miss Wisconsin 2005. https://t.co/D8RBfufIwH</t>
  </si>
  <si>
    <t>THANK YOU, NEW YORK!
#MakeAmericaGreatAgain #Trump2016
https://t.co/PuqiM93zOS https://t.co/fSgpKjwk2q</t>
  </si>
  <si>
    <t>RT @DonaldJTrumpJr: Nice piece and video today in the Wall Street Journal: Trump’s three eldest children jump into campaign https://t.co/35…</t>
  </si>
  <si>
    <t>.@DavidGregory got thrown off of TV by NBC, fired like a dog! Now he is on @CNN being nasty to me. Not nice!</t>
  </si>
  <si>
    <t>Final #'s just announced in the GREAT State of MO. TRUMP WINS! New certified #'s show a 365 vote increase for me- @ least 12 more delegates!</t>
  </si>
  <si>
    <t>Thank you! #Trump2016 https://t.co/ZWZkHrtRQN</t>
  </si>
  <si>
    <t>Trump defends campaign manager charged for bruising a reporter:
https://t.co/EKU5QMgjd4</t>
  </si>
  <si>
    <t>Thank you! #MakeAmericaGreatAgain https://t.co/sVUWI7JoGn</t>
  </si>
  <si>
    <t>MAKE AMERICA GREAT AGAIN!
https://t.co/0w4ldD7dW3</t>
  </si>
  <si>
    <t>Why is this reporter touching me as I leave news conference? What is in her hand?? https://t.co/HQB8dl0fhn</t>
  </si>
  <si>
    <t>This was the reporters statement- when she found out there was tape from my facility, she changed her tune. https://t.co/N5815RS1At</t>
  </si>
  <si>
    <t>Victory press conference was over. 
Why is she allowed to grab me and shout questions? Can I press charges? https://t.co/qbW2RjkINX</t>
  </si>
  <si>
    <t>Why aren't people looking at this reporters earliest statement as to what happened, that is before she found out the episode was on tape?</t>
  </si>
  <si>
    <t>Wow, Corey Lewandowski, my campaign manager and a very decent man, was just charged with assaulting a reporter. Look at tapes-nothing there!</t>
  </si>
  <si>
    <t>How come the @TODAYshow &amp;amp; @chucktodd show the new @NBCNews Poll for Hillary vs Bernie but do not show the SAME poll where I am killing Cruz?</t>
  </si>
  <si>
    <t>I have millions more votes/hundreds more dels than Cruz or Kasich, and yet am not being treated properly by the Republican Party or the RNC.</t>
  </si>
  <si>
    <t>Wow, @CNN has nothing but my opponents on their shows. Really one-sided and unfair reporting. Maybe I shouldn't do their town-hall tonight!</t>
  </si>
  <si>
    <t>We need to secure our borders ASAP. No games, we must be smart, tough and vigilant. MAKE AMERICA GREAT AGAIN &amp;amp; MAKE AMERICA STRONG AGAIN!</t>
  </si>
  <si>
    <t>Lyin' Ted, I have already beaten you in all debates, and am way ahead of you in votes and delegates. You should focus on jobs &amp;amp; illegal imm!</t>
  </si>
  <si>
    <t>Lyin'Ted Cruz is weak &amp;amp; losing big, so now he wants to debate again. But, according to Drudge,Time and on-line polls, I have won all debates</t>
  </si>
  <si>
    <t>After the way I beat Gov. Scott Walker (and Jeb, Rand, Marco and all others) in the Presidential Primaries, no way he would ever endorse me!</t>
  </si>
  <si>
    <t>"@PaulaDuvall2:  Cruz will say anything that is contrary to what you have to say. If you're for Motherhood, he'll be against it!"</t>
  </si>
  <si>
    <t>Just released that international gangs are all over our cities. This will end when I am President!</t>
  </si>
  <si>
    <t>"@wolfblitzer:  Campaign-to-date popular GOP totals: @realDonaldTrump 7,546,980; @tedcruz 5,481,737; @JohnKasich 2,724,749" A BIG DIFFERENCE</t>
  </si>
  <si>
    <t>Ted Cruz is incensed that I want to refocus NATO on terrorism, as well as current mission, but also want others to PAY FAIR SHARE, a must!</t>
  </si>
  <si>
    <t>A detainee released from Gitmo has killed an American. When will our so-called "leaders" ever learn!</t>
  </si>
  <si>
    <t>"Kirsten Powers: Anti- Trump Operative was Aggressively Shopping Cruz Story" 
via the Gateway Pundit: https://t.co/batAmur1FD</t>
  </si>
  <si>
    <t>"@nellalda: @realDonaldTrump We stand by Trump 100%"  Thank you!</t>
  </si>
  <si>
    <t>I will be interviewed on @foxandfriends at 7:30. Things are looking good, had a great Easter-look forward to spending the week in Wisconsin!</t>
  </si>
  <si>
    <t>"@VictorConkle: #WIPrimary @realDonaldTrump will defeat ISIS and #MakeAmericaGreatAgain https://t.co/VWIJ7jUTaV"</t>
  </si>
  <si>
    <t>The United States cannot continue to make such bad, one-sided trade deals. There are only so many jobs we can give up. No more!</t>
  </si>
  <si>
    <t>See Lyin' Ted, even the @DailyBeast (no fan of mine) says this story came from Rubio, not Trump! https://t.co/Okc8XajVnz</t>
  </si>
  <si>
    <t>Just to show you how unfair Republican primary politics can be, I won the State of Louisiana and get less delegates than Cruz-Lawsuit coming</t>
  </si>
  <si>
    <t>Why can't the pundits be honest? Hopefully we are all looking for a strong and great country again. I will make it strong and great!  JOBS!</t>
  </si>
  <si>
    <t>Another radical Islamic attack, this time in Pakistan, targeting Christian women &amp;amp; children. At least 67 dead,400 injured. I alone can solve</t>
  </si>
  <si>
    <t>Happy Easter to all, have a great day!</t>
  </si>
  <si>
    <t>My statement on NATO being obsolete and disproportionately too expensive (and unfair) for the U.S. are now, finally, receiving plaudits!</t>
  </si>
  <si>
    <t>Wow, sleepy eyes @chucktodd is at it again. He is do totally biased. The things I am saying are correct. - far better vision than the others</t>
  </si>
  <si>
    <t>I am interviewed on This Week on @ABC this morning. Enjoy!</t>
  </si>
  <si>
    <t>Remember, I am the only candidate who is self-funding. While I am given little credit for this by the voters, I am not bought like others!</t>
  </si>
  <si>
    <t>Don't believe the @FoxNews Polls, they are just another phony hit job on me. I will beat Hillary Clinton easily in the General Election.</t>
  </si>
  <si>
    <t>Wisconsin's economy is doing poorly and like everywhere else in U.S., jobs are leaving. I will make our economy strong again - bring in jobs</t>
  </si>
  <si>
    <t>Nobody will protect our Nation like Donald J. Trump. Our military will be greatly strengthened and our borders will be strong. Illegals out!</t>
  </si>
  <si>
    <t>Lyin' Ted Cruz is now trying to convince prople that his problems with The National Enq.were caused by me. I had NOTHING to do with story!</t>
  </si>
  <si>
    <t>The press is going out of their way to convince people that I do not like or respect women, when they know that it is just the opposite!</t>
  </si>
  <si>
    <t>The media is so after me on women  Wow, this is a tough business. Nobody has more respect for women than Donald Trump!</t>
  </si>
  <si>
    <t>"@pattiandsammi: @gullakhta99 @realDonaldTrump @Tytan01 @CNN WOMEN LOVE TRUMP. TRUMP'S EXECS PREDOMINANTLY FEMALE. #WOMEN4TRUMP"</t>
  </si>
  <si>
    <t>"@Tytan01: Dear @CNN, after doing a quick Google &amp;amp; Twitter search there are over 15,000 women's groups supporting DonaldTrump. Stop Lying."</t>
  </si>
  <si>
    <t>"@SpartanMaker:  Let me help you Trumpophobes with math: Trump: ($10.3B-$1.2M 74' equity)/1.2M = 858,233%. S&amp;amp;P: 1314.5% #Derp"</t>
  </si>
  <si>
    <t>"@stanColtrane: Turns out @glennbeck was wrong. @realDonaldTrump had nothing to do with it https://t.co/svSKfiDkdf"</t>
  </si>
  <si>
    <t>"@theAgeofLeo: Your instincts on foreign policy &amp;amp; terrorism have been better than all of these so called experienced politicians combined."</t>
  </si>
  <si>
    <t>Top suspect in Paris massacre, Salah Abdeslam, who also knew of the Brussels attack, is no longer talking. Weak leaders, ridiculous laws!</t>
  </si>
  <si>
    <t>"@11phenomenon: #LyingTed blames @realDonaldTrump for so many things I am starting to think he is having a mental health crisis."</t>
  </si>
  <si>
    <t>Wow, just released that $67 million in negative ads was spent on me. How am I still number one - by a lot?</t>
  </si>
  <si>
    <t>I didn't start the fight with Lyin'Ted Cruz over the GQ cover pic of Melania, he did. He knew the PAC was putting it out - hence, Lyin' Ted!</t>
  </si>
  <si>
    <t>Just won a big federal lawsuit similar in certain ways to the Trump U case but the press refuses to write about it. If I lost-monster story!</t>
  </si>
  <si>
    <t>MAKE AMERICA GREAT AGAIN! https://t.co/PHgrT1Nl27</t>
  </si>
  <si>
    <t>Endorsements for Lyin' Ted Cruz- https://t.co/c3QEbexOwT</t>
  </si>
  <si>
    <t>"@NeilTurner_: @realDonaldTrump Cruz &amp;amp; Rubio are scared! WATCH -&amp;gt; https://t.co/pWjLW1QBKo https://t.co/W2r6mOzgkb"</t>
  </si>
  <si>
    <t>Europe and the U.S. must immediately stop taking in people from Syria. This will be the destruction of civilization as we know it! So sad!</t>
  </si>
  <si>
    <t>Just announced that as many as 5000 ISIS fighters have infiltrated Europe. Also, many in U.S.  I TOLD YOU SO! I alone can fix this problem!</t>
  </si>
  <si>
    <t>"@Doctor_S_Freud:  @TheView They're all brain-dead puppets with skeletons in their closet. I say you go on and destroy them all" A dead show</t>
  </si>
  <si>
    <t>Explain how the women on The View, which is a total disaster since the great Barbara Walters left, ever got their jobs. @abc is wasting time</t>
  </si>
  <si>
    <t>.@TheView T.V. show, which is failing so badly that it will soon be taken off thr air, is constantly asking me to go on. I TELL THEM "NO"</t>
  </si>
  <si>
    <t>Hillary Clinton has been working on solving the terrorism problem for years. TIME FOR A CHANGE, I WILL SOLVE - AND FAST!</t>
  </si>
  <si>
    <t>"@TimVincent56:  @LindseyGrahamSC Talkers think about the future, Doers are already building it" #VoteTrump2016 https://t.co/OoB38jypsD"</t>
  </si>
  <si>
    <t>It is amazing how often I am right, only to be criticized by the media. Illegal immigration, take the oil, build the wall, Muslims, NATO!</t>
  </si>
  <si>
    <t>Remember when I recently said that Brussels is a "hell hole" and a mess and the failing @nytimes wrote a critical article. I was so right!</t>
  </si>
  <si>
    <t>These politicians like Cruz and Graham, who have watched ISIS and many other problems develop for years, do nothing to make things better!</t>
  </si>
  <si>
    <t>.@LindseyGrahamSC and Lyin' Ted Cruz are two politicians who are very much alike - ALL TALK AND NO ACTION! Both talk about ISIS, do nothing!</t>
  </si>
  <si>
    <t>It is amazing how @LindseyGrahamSC gets on so many T.V. shows talking negatively about me when I beat him so badly (ZERO) in his pres run!</t>
  </si>
  <si>
    <t>"@missi51: .@realDonaldTrump thank God is not a politician, but he's one heck of a fighter who will fight for us, the people."</t>
  </si>
  <si>
    <t>We pay a disproportionate share of the cost of N.A.T.O. Why? It is time to renegotiate, and the time is now!</t>
  </si>
  <si>
    <t>N.A.T.O. is obsolete and must be changed to additionally focus on terrorism as well as some of the things it is currently focused on!</t>
  </si>
  <si>
    <t>"@Don_Vito_08: "A picture is worth a thousand words" @realDonaldTrump  #LyingTed #NeverCruz  @MELANIATRUMP https://t.co/5bvVEwMVF8"</t>
  </si>
  <si>
    <t>"@Kj11100Me: @realDonaldTrump Donald Trump will be greater  president than Ragan. Trump will set the button for morality,Christianity.</t>
  </si>
  <si>
    <t>"@tcsorr: @jphilman0206 @realDonaldTrump self-funded and media loves him. Not beholden to masters like @tedcruz. Who owns Ted?"</t>
  </si>
  <si>
    <t>"@DebraRakestraw:  You have over 2M followers more than than @HillaryClinton. This says something about how America feels. #Trump2016 🇺🇸"</t>
  </si>
  <si>
    <t>I want to thank @RealSheriffJoe for all of his help in our historic Arizona win. Could not have done it without you Joe!</t>
  </si>
  <si>
    <t>While I believe I will clinch before Cleveland and get more than 1237 delegates, it is unfair in that there have been so many in the race!</t>
  </si>
  <si>
    <t>I think having Jeb's endorsement hurts Lyin' Ted. Jeb spent more than $150,000,000 and got nothing. I spent a fraction of that and am first!</t>
  </si>
  <si>
    <t>I will be the best by far in fighting terror. I’m the only one that was right from the beginning, &amp;amp; now Lyin’ Ted &amp;amp; others are copying me.</t>
  </si>
  <si>
    <t>Just watched Hillary deliver a prepackaged speech on terror. She’s been in office fighting terror for 20 years- and look where we are!</t>
  </si>
  <si>
    <t>Low energy Jeb Bush just endorsed a man he truly hates, Lyin’ Ted Cruz. Honestly, I can’t blame Jeb in that I drove him into oblivion!</t>
  </si>
  <si>
    <t>Lyin’ Ted Cruz steals foreign policy from me, and lines from Michael Douglas— just another dishonest politician.</t>
  </si>
  <si>
    <t>Thank you, Arizona! #Trump2016
#MakeAmericaGreatAgain #TrumpTrain
https://t.co/MMPR0Omwog https://t.co/Dgqky0JiHO</t>
  </si>
  <si>
    <t>Lyin' Ted Cruz denied that he had anything to do with the G.Q. model photo post of Melania. That's why we call him Lyin' Ted!</t>
  </si>
  <si>
    <t>Hopefully the Republican Party can come together and have a big WIN in November, paving the way for many great Supreme Court Justices!</t>
  </si>
  <si>
    <t>Much bigger win than anticipated in Arizona. Thank you, I will never forget!</t>
  </si>
  <si>
    <t>Thank you, Arizona! #Trump2016
#WesternTuesday #TrumpTrain https://t.co/VMCzxrryG8</t>
  </si>
  <si>
    <t>Incompetent Hillary, despite the horrible attack in Brussels today, wants borders to be weak and open-and let the Muslims flow in.  No way!</t>
  </si>
  <si>
    <t>Lyin' Ted Cruz just used a picture of Melania from a G.Q. shoot in his ad. Be careful, Lyin' Ted, or I will spill the beans on your wife!</t>
  </si>
  <si>
    <t>Pres. Obama should leave the baseball game in Cuba immediately &amp;amp; get home to Washington- where a #POTUS, under a serious emergency belongs!</t>
  </si>
  <si>
    <t>Obama, and all others, have been so weak, and so politically correct, that terror groups are forming and getting stronger! Shame.</t>
  </si>
  <si>
    <t>#UtahCaucus message from @IvankaTrump! #UTCaucus
#MakeAmericaGreatAgain #Trump2016
https://t.co/kHigCSUnFC</t>
  </si>
  <si>
    <t>#ArizonaPrimary message from @IvankaTrump! #AZPrimary #MakeAmericaGreatAgain #Trump2016
https://t.co/WzTDekWJAQ</t>
  </si>
  <si>
    <t>#VoteTrump video: https://t.co/NauXRQ2Q91
#AZPrimary #ArizonaPrimary #UtahCaucus #UTCaucus #AmericanSamoa https://t.co/bKruyYHFma</t>
  </si>
  <si>
    <t>My heart &amp;amp; prayers go out to all of the victims of the terrible #Brussels tragedy. This madness must be stopped, and I will stop it.</t>
  </si>
  <si>
    <t>Watch this clip from earlier this year. Time &amp;amp; time again I have been right about terrorism. It’s time to get tough! https://t.co/8mnY3GFRzw</t>
  </si>
  <si>
    <t>I have proven to be far more correct about terrorism than anybody- and it’s not even close. Hopefully AZ and UT will be voting for me today!</t>
  </si>
  <si>
    <t>RT @EricTrump: #Arizona: We made it easy to find your polling location for today's primary! Simply visit https://t.co/uJFqD4yTlF 🇺🇸 https:/…</t>
  </si>
  <si>
    <t>President Obama looks and sounds so ridiculous making his speech in Cuba, especially in the shadows of Brussels. He is being treated badly!</t>
  </si>
  <si>
    <t>Do you all remember how beautiful and safe a place Brussels was. Not anymore, it is from a different world! U.S. must be vigilant and smart!</t>
  </si>
  <si>
    <t>"@MyPresidentme: Here's Trump #AIPAC2016 in case anyone missed it. It is a must watch. https://t.co/cGCIYE7yZB"</t>
  </si>
  <si>
    <t>"@BarronG510: @realDonaldTrump The media is corrupt! We The People are fighting with you."</t>
  </si>
  <si>
    <t>Wow, President Obama just landed in Cuba, a big deal, and Raul Castro wasn't even there to greet him. He greeted Pope and others. No respect</t>
  </si>
  <si>
    <t>Big Republican Dinner tonight at Mar-a-Lago in Palm Beach. I will be there!</t>
  </si>
  <si>
    <t>"@gamzorz:  @megynkelly Dont worry Trump, They are losing thousands of viewers and money. Roger Ailes will be telling Megyn to stop"</t>
  </si>
  <si>
    <t>So the highly overrated anchor, @megynkelly, is allowed to constantly say bad things about me on her show, but I can't fight back? Wrong!</t>
  </si>
  <si>
    <t>The protesters blocked a major highway yesterday, delaying entry to my RALLY in Arizona by hours, and the media blames my supporters!</t>
  </si>
  <si>
    <t>Why is it that the horrendous protesters, who scream, curse punch, shut down roads/doors during my RALLIES,  are never blamed by media? SAD!</t>
  </si>
  <si>
    <t>Will be interviewed on @ThisWeekABC this morning. Enjoy!</t>
  </si>
  <si>
    <t>"@GStephanopoulos: What’s @realDonaldTrump's strategy to secure the GOP nomination? I’ll talk to the Republican front-runner. @ThisWeekABC."</t>
  </si>
  <si>
    <t>The rallies in Utah and Arizona were great! Tremendous crowds and spirit. Just returned but will be going back soon.</t>
  </si>
  <si>
    <t>"@jojo2foxy: TRUMP IS NOT AFRAID OF ANYTHING OR ANYONE - THAT'S THE PRESIDENT USA NEEDS TO UNITE US &amp;amp; KNOCK THE SOCKS OFF OUR ENEMIES!</t>
  </si>
  <si>
    <t>THANK YOU ARIZONA! Get out and #VoteTrump on Tuesday! #AZPrimary 
#MakeAmericaGreatAgain #Trump2016 https://t.co/5itxkQxrLF</t>
  </si>
  <si>
    <t>Thank you- Tucson, Arizona! A great afternoon with 6,000 supporters! #VoteTrump on Tuesday!
#MakeAmericaGreatAgain https://t.co/CTgYrLnAWV</t>
  </si>
  <si>
    <t>.@AndreaTantaros- You are a true journalistic professional. I so agree with what you say. Keep up the great work! #MakeAmericaGreatAgain</t>
  </si>
  <si>
    <t>.@jessebwatters- Watching your show from Arizona where we just had a big rally. It is fantastic- everybody loves it!
#MakeAmericaGreatAgain</t>
  </si>
  <si>
    <t>.@DiamondandSilk- Just watched you on #WattersWorld with a large group of people. Everybody loves you- two amazing people! #Trump2016</t>
  </si>
  <si>
    <t>THANK YOU ARIZONA! 20,000 amazing supporters! Get out and #VoteTrump on Tuesday. I love you!
#MakeAmericaGreatAgain https://t.co/pU5vB1pBO5</t>
  </si>
  <si>
    <t>Wow, @CNN ratings are up 75% because it's "all Trump, all the time." The networks are making a fortune off of me! MAKE AMERICA GREAT AGAIN!</t>
  </si>
  <si>
    <t>Great to be back in Arizona!
#MakeAmericaGreatAgain #Trump2016 https://t.co/uo287ZGvvQ</t>
  </si>
  <si>
    <t>If crazy @megynkelly didn't cover me so much on her terrible show, her ratings would totally tank. She is so average in so many ways!</t>
  </si>
  <si>
    <t>Crazy @megynkelly says I don't (won't) go on her show and she still gets good ratings. But almost all of her shows are negative hits on me!</t>
  </si>
  <si>
    <t>"@saneplanet: after tonight it is clear! Utah is #TrumpCountry  #Utah #Mormon #UtahPrimary #Utah4Trump https://t.co/8e14RE6YJo"</t>
  </si>
  <si>
    <t>"@TeamTrumpAZ: Check out "HANNITY EXCLUSIVE EVENT WITH TRUMP IN PHOENIX, AZ" https://t.co/fj2j9Lf2vH @Eventbrite"</t>
  </si>
  <si>
    <t>"@DonaldJTrumpJr: Honored to be in #Utah with retired General Robert C. Oaks. We are so thankful for his support and endorsement here in SLC</t>
  </si>
  <si>
    <t>"@Ma1973sk: Actually, no @FoxNews, @megynkelly has a sick obsession with Trump. Every day, every show, trashing, negative, hate.</t>
  </si>
  <si>
    <t>"@AshleyEdam: It's great to see supporters like you along the way...watching Americans come together the past 8 months #voteTrump</t>
  </si>
  <si>
    <t>"@grammy620: 1st time I heard #Trump I said "wow". I liked him! I then became a closet #Trump fan. Today? He's the ONLY 1 I will vote for!</t>
  </si>
  <si>
    <t>"@Veteran4Trump: Vets For A Strong America Endorses Donald Trump for president; "We've Endorsed Him, We Believe In Him" #Trump2016</t>
  </si>
  <si>
    <t>"@WesleyRickard: Sheriff Joe Arpaio AZ Endorses Donald J Trump for President of the United States #AZ #UT  https://t.co/4FzcTZIGqE"</t>
  </si>
  <si>
    <t>"@cmichaeld2004: Realistic Trump Poll Numbers translate to the 70 percentile range in a two-man race. Gee, what happened to that 30% ceiling</t>
  </si>
  <si>
    <t>"@ileanabarkus:  @nytdavidbrooks I totally agree! @nytdavidbrooks is strictly conceptual and theoretical and has NO COMMONSENSE!"</t>
  </si>
  <si>
    <t>Thank you- New York! I love you!
#MakeAmericaGreatAgain #Trump2016 https://t.co/wyjV9DgdQA</t>
  </si>
  <si>
    <t>Landing in Phoenix now. Tomorrow's events will be amazing! #Trump2016</t>
  </si>
  <si>
    <t>Reading @nytdavidbrooks of the NY Times is a total waste of time, he is a clown with no awareness of the world around him- dummy!</t>
  </si>
  <si>
    <t>While I have never met @nytdavidbrooks of the NY Times, I consider him one of the dumbest of all pundits- he has no sense of the real world!</t>
  </si>
  <si>
    <t>Heading to Phoneix. Will be arriving soon. Tomorrow a big day. Tremendous crowds expected! #Trump2016 #MakeAmericaGreatAgain</t>
  </si>
  <si>
    <t>Watching @loudobbsnews- fantastic show! Has very interesting take on Paul Ryan.</t>
  </si>
  <si>
    <t>Just leaving Salt Lake City, Utah- fantastic crowd with no interruptions. 
Love Utah- will be back!</t>
  </si>
  <si>
    <t>RT @MarkHalperin: Utah Speaker of the House announces endorsement of @realDonaldTrump. Says @DonaldJTrumpJr played a big role</t>
  </si>
  <si>
    <t>Why haven't they released the final Missouri victory for us yet? Could it be because Cruz's guy runs Missouri?</t>
  </si>
  <si>
    <t>I guess I have reached yet another "ceiling"  - 49.7%, with four people. My highest Reuters poll yet! Thank you! https://t.co/k5Ft585Arp</t>
  </si>
  <si>
    <t>Do you believe that Hillary Clinton now wants Obamacare for illegal immigrants? She should spend more time taking care of our great Vets!</t>
  </si>
  <si>
    <t>Everybody should boycott the @megynkelly show. Never worth watching. Always a hit on Trump! She is sick, &amp;amp; the most overrated person on tv.</t>
  </si>
  <si>
    <t>Thank you Arizona- I love you! 
#MakeAmericaGreatAgain #Trump2016 https://t.co/fTzaIvTX9b</t>
  </si>
  <si>
    <t>Join me tomorrow! #Trump2016
#MakeAmericaGreatAgain 
https://t.co/1Yak4I5B7b</t>
  </si>
  <si>
    <t>Mitt Romney is a mixed up man who doesn't have a clue. No wonder he lost!</t>
  </si>
  <si>
    <t>Failed Presidential Candidate Mitt Romney was campaigning with John Kasich &amp;amp; Marco Rubio, and now he is endorsing Ted Cruz. 1/2</t>
  </si>
  <si>
    <t>Failed presidential candidate Mitt Romney, the man who "choked" and let us all down, is now endorsing Lyin' Ted Cruz. This is good for me!</t>
  </si>
  <si>
    <t>Going to Salt Lake City, Utah, for a big rally. Lyin' Ted Cruz should not be allowed to win there - Mormons don't like LIARS! I beat Hillary</t>
  </si>
  <si>
    <t>Club for Growth letter- trying to extort $1,000,000.00 from me. Remember, I said- NO! https://t.co/suIfdiMg0Q</t>
  </si>
  <si>
    <t>Club For Growth tried to extort $1,000,000 from me. When I said NO, they went hostile with negative ads. Disgraceful!</t>
  </si>
  <si>
    <t>With millions of dollars of negative and phony ads against me by the establishment, my numbers continue to go up. Can anyone explain this?</t>
  </si>
  <si>
    <t>.@EWErickson got fired like a dog from RedState
and now he is the one leading opposition against me.</t>
  </si>
  <si>
    <t>Senator @LindseyGrahamSC made horrible statements about @SenTedCruz – and then he endorsed him. No wonder nobody trusts politicians!</t>
  </si>
  <si>
    <t>Lyin' Ted Cruz lost all five races on Tuesday-and he was just given the jinx - a Lindsey Graham endorsement. Also backed Jeb. Lindsey got 0!</t>
  </si>
  <si>
    <t>Join us in Salt Lake City, Utah- tonight!
#MakeAmericaGreatAgain #Trump2016
https://t.co/1cJ7OFbQiz</t>
  </si>
  <si>
    <t>Hillary Clinton has been involved in corruption for most of her professional life!</t>
  </si>
  <si>
    <t>Who should star in a reboot of Liar Liar- Hillary Clinton or Ted Cruz? Let me know. https://t.co/ESdiEftWGs</t>
  </si>
  <si>
    <t>Highly overrated &amp;amp; crazy @megynkelly is always complaining about Trump and yet she devotes her shows to me. Focus on others Megyn!</t>
  </si>
  <si>
    <t>Looking like my 5 victories on Tuesday will be just as good as if I won Ohio. Two more days and Ohio was mine!</t>
  </si>
  <si>
    <t>See you in Arizona on Friday and Saturday. https://t.co/HiOhRaTMbm</t>
  </si>
  <si>
    <t>Please explain to the dummies at the @WSJ  Editorial Board that I love to debate and have won, according to Drudge etc., all 11 of them!</t>
  </si>
  <si>
    <t>.@WSJ is bad at math. The good news is, nobody cares what they say in their editorials anymore, especially me!</t>
  </si>
  <si>
    <t>.@WSJ Editorial says "Clinton primary vote total is 8,646,551.Trump's is 7,533,692"-a knock. But she had only 3 opponents-I had 16.Apologize</t>
  </si>
  <si>
    <t>The reason lyin' Ted Cruz has lost so much of the evangelical vote is that they are very smart and just don't tolerate liars-a big problem!</t>
  </si>
  <si>
    <t>Crazy @megynkelly is now complaining that  @oreillyfactor did not defend her against me - yet her bad show is a total hit piece on me.Tough!</t>
  </si>
  <si>
    <t>Great news that @FoxNews has cancelled the additional debate. How many times can the same people ask the same question? I beat Cruz debating</t>
  </si>
  <si>
    <t>Crazy @megynkelly supposedly had lyin' Ted Cruz on her show last night. Ted is desperate and his lying is getting worse. Ted can't win!</t>
  </si>
  <si>
    <t>Stuart Stevens, the failed campaign manager of Mitt Romney's historic loss, is now telling the Republican Party what to do with Trump. Sad!</t>
  </si>
  <si>
    <t>I will be interviewed on The O'Reilly Factor this evening at 8 pm on the Fox News Channel. @oreillyfactor</t>
  </si>
  <si>
    <t>Thank you, Missouri! #Trump2016 https://t.co/iOzGtcBbia</t>
  </si>
  <si>
    <t>Wow, just won Missouri!</t>
  </si>
  <si>
    <t>RT @JohnStossel: I can skate here ONLY b/c @realdonaldtrump fixed this rink after NYC gov’t spent $13M, but FAILED! Good for Trump! https:/…</t>
  </si>
  <si>
    <t>I am making a big speech the night of the @FoxNews debate, but I wish everyone well. Yesterday was a big day for me with 5 wins!</t>
  </si>
  <si>
    <t>Thank you to the Governor of Florida, Rick Scott, for your endorsement. I greatly appreciate your support!</t>
  </si>
  <si>
    <t>In the last 2 weeks, I had $35M of negative ads against me in Florida &amp;amp; I won in a massive landslide.The establishment should save their $$!</t>
  </si>
  <si>
    <t>Yesterday was amazing—5 victories.  Lyin’ Ted Cruz
had zero. Things are going very well!</t>
  </si>
  <si>
    <t>Is this what we want for a President? https://t.co/2yYy6Nyta9</t>
  </si>
  <si>
    <t>.@RepTomMarino  Great job on television this morning. Glad to have you on my side!</t>
  </si>
  <si>
    <t>"@FoxBusiness: .@RepTomMarino: I think @realDonaldTrump can beat HillaryClinton. And I'm looking forward to Trump being president.</t>
  </si>
  <si>
    <t>.@pastormarkburns You were great last night and we all very much appreciate it! Thank you!</t>
  </si>
  <si>
    <t>I will be interviewed on @foxandfriends at 8:30 A.M. ENJOY!</t>
  </si>
  <si>
    <t>Will be interviewed on @Morning_Joe at 7:40. ENJOY!</t>
  </si>
  <si>
    <t>Will be interviewed on @NewDay on @CNN at 7:15 A.M.</t>
  </si>
  <si>
    <t>Will be interviewed on @GMA at 7:00 A.M. Big wins last night!</t>
  </si>
  <si>
    <t>"@lucyric13835428: @realDonaldTrump @megynkelly  That's funny, I switched to other media too, can't stand her"</t>
  </si>
  <si>
    <t>"@MaryEH428: @RealBenCarson I thank God you are on board with @realDonaldTrump to help him and us #MakeAmericaGreatAgain Ty!!"</t>
  </si>
  <si>
    <t>Thank you Marco, I agree! https://t.co/PTfFzFno9p</t>
  </si>
  <si>
    <t>I only wish my wonderful daughter Tiffany could have been with us at 
Mar-a-Lago for our great election victory. She is a winner!</t>
  </si>
  <si>
    <t>Thank you Illinois! #SuperTuesday 
#MakeAmericaGreatAgain #Trump2016 https://t.co/vcfstc6Wnb</t>
  </si>
  <si>
    <t>Thank you, North Carolina! #Trump2016 #SuperTuesday  
#MakeAmericaGreatAgain https://t.co/hd4wtDonIB</t>
  </si>
  <si>
    <t>Watching other networks and local news. Really good night! Crazy @megynkelly is unwatchable.</t>
  </si>
  <si>
    <t>Thank you, Florida! #SuperTuesday 
#MakeAmericaGreatAgain #Trump2016 https://t.co/nzhnLQXrZg</t>
  </si>
  <si>
    <t>Thank you, Northern Mariana Islands!#SuperTuesday #Trump2016 
#MakeAmericaGreatAgain https://t.co/OoP4mls4lp</t>
  </si>
  <si>
    <t>Can't watch Crazy Megyn anymore. Talks about me at 43% but never mentions that there are four people in race. With two people, big &amp;amp; over!</t>
  </si>
  <si>
    <t>"@DumpFoxNews: @FoxNews @megynkelly  If media wasn't so biased against Trump, he would've won all of the delegates.</t>
  </si>
  <si>
    <t>"@SCNAK45: @megynkelly is trying so hard to bash @realDonaldTrump it's ridiculous" Don't worry, everyone is wise to Crazy Megyn!</t>
  </si>
  <si>
    <t>"@J_Styborski: @realDonaldTrump @gregens21 @BertShad @FoxNews @megynkelly Hayes is looking depressed as well. https://t.co/wUJacOm32h"</t>
  </si>
  <si>
    <t>"@jsconlon11:  @BertShad @Foxnews @megynkelly I tried to give them a shot tonight, but they have the whole anti Trump cheerleading team."</t>
  </si>
  <si>
    <t>"@gregens21:  @BertShad @FoxNews @megynkelly She's choking on the results! Call her justifiable Kelly. Justifying everything she says."</t>
  </si>
  <si>
    <t>"@BertShad: Was going to watch @Foxnews for the primary results but saw @megynkelly - looks like #CNN tonight"</t>
  </si>
  <si>
    <t>Word is that, despite a record amount spent on negative and phony ads, I had a massive victory in Florida. Numbers out soon!</t>
  </si>
  <si>
    <t>A lot of complaints from people saying my name is not on the ballot in various places in Florida? Hope this is false.</t>
  </si>
  <si>
    <t>I will bring our jobs back to the U.S., and keep our companies from leaving. Nobody else can do it. Our economy will "sing" again.</t>
  </si>
  <si>
    <t>In presidential voting so far, John Kasich is ZERO for 22. So why would he be a good candidate? Hillary would beat him, I will beat Hillary!</t>
  </si>
  <si>
    <t>Ohio is losing jobs to Mexico, now losing Ford (and many others). Kasich is weak on illegal immigration. We need strong borders now!</t>
  </si>
  <si>
    <t>Watching John Kasich being interviewed - acting so innocent and like such a nice guy. Remember him in second debate, until I put him down.</t>
  </si>
  <si>
    <t>RT @EricTrump: Mathematically it is statistically impossible for Kasich to get to 1237 - he would need 112% of the remaining delegates to b…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</si>
</sst>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00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HYPERLINK("http://www.twitter.com/realDonaldTrump/status/828042506851934209", "828042506851934209")</f>
        <v>0</v>
      </c>
      <c r="B2" s="2">
        <v>42771.0334722222</v>
      </c>
      <c r="C2">
        <v>48244</v>
      </c>
      <c r="D2">
        <v>11120</v>
      </c>
      <c r="E2" t="s">
        <v>5</v>
      </c>
    </row>
    <row r="3" spans="1:5">
      <c r="A3">
        <f>HYPERLINK("http://www.twitter.com/realDonaldTrump/status/828039143318024194", "828039143318024194")</f>
        <v>0</v>
      </c>
      <c r="B3" s="2">
        <v>42771.0241898148</v>
      </c>
      <c r="C3">
        <v>30552</v>
      </c>
      <c r="D3">
        <v>5514</v>
      </c>
      <c r="E3" t="s">
        <v>6</v>
      </c>
    </row>
    <row r="4" spans="1:5">
      <c r="A4">
        <f>HYPERLINK("http://www.twitter.com/realDonaldTrump/status/828024835670413312", "828024835670413312")</f>
        <v>0</v>
      </c>
      <c r="B4" s="2">
        <v>42770.9847106481</v>
      </c>
      <c r="C4">
        <v>47874</v>
      </c>
      <c r="D4">
        <v>9854</v>
      </c>
      <c r="E4" t="s">
        <v>7</v>
      </c>
    </row>
    <row r="5" spans="1:5">
      <c r="A5">
        <f>HYPERLINK("http://www.twitter.com/realDonaldTrump/status/827996357252243456", "827996357252243456")</f>
        <v>0</v>
      </c>
      <c r="B5" s="2">
        <v>42770.9061226852</v>
      </c>
      <c r="C5">
        <v>82710</v>
      </c>
      <c r="D5">
        <v>19152</v>
      </c>
      <c r="E5" t="s">
        <v>8</v>
      </c>
    </row>
    <row r="6" spans="1:5">
      <c r="A6">
        <f>HYPERLINK("http://www.twitter.com/realDonaldTrump/status/827981079042805761", "827981079042805761")</f>
        <v>0</v>
      </c>
      <c r="B6" s="2">
        <v>42770.8639699074</v>
      </c>
      <c r="C6">
        <v>94937</v>
      </c>
      <c r="D6">
        <v>22569</v>
      </c>
      <c r="E6" t="s">
        <v>9</v>
      </c>
    </row>
    <row r="7" spans="1:5">
      <c r="A7">
        <f>HYPERLINK("http://www.twitter.com/realDonaldTrump/status/827885966509604865", "827885966509604865")</f>
        <v>0</v>
      </c>
      <c r="B7" s="2">
        <v>42770.6015046296</v>
      </c>
      <c r="C7">
        <v>207252</v>
      </c>
      <c r="D7">
        <v>55052</v>
      </c>
      <c r="E7" t="s">
        <v>10</v>
      </c>
    </row>
    <row r="8" spans="1:5">
      <c r="A8">
        <f>HYPERLINK("http://www.twitter.com/realDonaldTrump/status/827874208021639168", "827874208021639168")</f>
        <v>0</v>
      </c>
      <c r="B8" s="2">
        <v>42770.5690625</v>
      </c>
      <c r="C8">
        <v>85465</v>
      </c>
      <c r="D8">
        <v>15065</v>
      </c>
      <c r="E8" t="s">
        <v>11</v>
      </c>
    </row>
    <row r="9" spans="1:5">
      <c r="A9">
        <f>HYPERLINK("http://www.twitter.com/realDonaldTrump/status/827867311054974976", "827867311054974976")</f>
        <v>0</v>
      </c>
      <c r="B9" s="2">
        <v>42770.5500231481</v>
      </c>
      <c r="C9">
        <v>131426</v>
      </c>
      <c r="D9">
        <v>28723</v>
      </c>
      <c r="E9" t="s">
        <v>12</v>
      </c>
    </row>
    <row r="10" spans="1:5">
      <c r="A10">
        <f>HYPERLINK("http://www.twitter.com/realDonaldTrump/status/827865957750161408", "827865957750161408")</f>
        <v>0</v>
      </c>
      <c r="B10" s="2">
        <v>42770.5462847222</v>
      </c>
      <c r="C10">
        <v>111576</v>
      </c>
      <c r="D10">
        <v>23209</v>
      </c>
      <c r="E10" t="s">
        <v>13</v>
      </c>
    </row>
    <row r="11" spans="1:5">
      <c r="A11">
        <f>HYPERLINK("http://www.twitter.com/realDonaldTrump/status/827864176043376640", "827864176043376640")</f>
        <v>0</v>
      </c>
      <c r="B11" s="2">
        <v>42770.5413773148</v>
      </c>
      <c r="C11">
        <v>144683</v>
      </c>
      <c r="D11">
        <v>32187</v>
      </c>
      <c r="E11" t="s">
        <v>14</v>
      </c>
    </row>
    <row r="12" spans="1:5">
      <c r="A12">
        <f>HYPERLINK("http://www.twitter.com/realDonaldTrump/status/827715246135574530", "827715246135574530")</f>
        <v>0</v>
      </c>
      <c r="B12" s="2">
        <v>42770.1304050926</v>
      </c>
      <c r="C12">
        <v>136968</v>
      </c>
      <c r="D12">
        <v>24841</v>
      </c>
      <c r="E12" t="s">
        <v>15</v>
      </c>
    </row>
    <row r="13" spans="1:5">
      <c r="A13">
        <f>HYPERLINK("http://www.twitter.com/realDonaldTrump/status/827655062835052544", "827655062835052544")</f>
        <v>0</v>
      </c>
      <c r="B13" s="2">
        <v>42769.9643287037</v>
      </c>
      <c r="C13">
        <v>186181</v>
      </c>
      <c r="D13">
        <v>41547</v>
      </c>
      <c r="E13" t="s">
        <v>16</v>
      </c>
    </row>
    <row r="14" spans="1:5">
      <c r="A14">
        <f>HYPERLINK("http://www.twitter.com/realDonaldTrump/status/827499871011819520", "827499871011819520")</f>
        <v>0</v>
      </c>
      <c r="B14" s="2">
        <v>42769.536087963</v>
      </c>
      <c r="C14">
        <v>155725</v>
      </c>
      <c r="D14">
        <v>40911</v>
      </c>
      <c r="E14" t="s">
        <v>17</v>
      </c>
    </row>
    <row r="15" spans="1:5">
      <c r="A15">
        <f>HYPERLINK("http://www.twitter.com/realDonaldTrump/status/827483841589891073", "827483841589891073")</f>
        <v>0</v>
      </c>
      <c r="B15" s="2">
        <v>42769.4918518519</v>
      </c>
      <c r="C15">
        <v>165574</v>
      </c>
      <c r="D15">
        <v>41752</v>
      </c>
      <c r="E15" t="s">
        <v>18</v>
      </c>
    </row>
    <row r="16" spans="1:5">
      <c r="A16">
        <f>HYPERLINK("http://www.twitter.com/realDonaldTrump/status/827482059438432260", "827482059438432260")</f>
        <v>0</v>
      </c>
      <c r="B16" s="2">
        <v>42769.4869328704</v>
      </c>
      <c r="C16">
        <v>118677</v>
      </c>
      <c r="D16">
        <v>18720</v>
      </c>
      <c r="E16" t="s">
        <v>19</v>
      </c>
    </row>
    <row r="17" spans="1:5">
      <c r="A17">
        <f>HYPERLINK("http://www.twitter.com/realDonaldTrump/status/827480386120929280", "827480386120929280")</f>
        <v>0</v>
      </c>
      <c r="B17" s="2">
        <v>42769.4823148148</v>
      </c>
      <c r="C17">
        <v>141461</v>
      </c>
      <c r="D17">
        <v>31871</v>
      </c>
      <c r="E17" t="s">
        <v>20</v>
      </c>
    </row>
    <row r="18" spans="1:5">
      <c r="A18">
        <f>HYPERLINK("http://www.twitter.com/realDonaldTrump/status/827478751931924480", "827478751931924480")</f>
        <v>0</v>
      </c>
      <c r="B18" s="2">
        <v>42769.4778009259</v>
      </c>
      <c r="C18">
        <v>145354</v>
      </c>
      <c r="D18">
        <v>44051</v>
      </c>
      <c r="E18" t="s">
        <v>21</v>
      </c>
    </row>
    <row r="19" spans="1:5">
      <c r="A19">
        <f>HYPERLINK("http://www.twitter.com/realDonaldTrump/status/827477947154063361", "827477947154063361")</f>
        <v>0</v>
      </c>
      <c r="B19" s="2">
        <v>42769.4755902778</v>
      </c>
      <c r="C19">
        <v>110448</v>
      </c>
      <c r="D19">
        <v>22582</v>
      </c>
      <c r="E19" t="s">
        <v>22</v>
      </c>
    </row>
    <row r="20" spans="1:5">
      <c r="A20">
        <f>HYPERLINK("http://www.twitter.com/realDonaldTrump/status/827207267632164868", "827207267632164868")</f>
        <v>0</v>
      </c>
      <c r="B20" s="2">
        <v>42768.7286574074</v>
      </c>
      <c r="C20">
        <v>121423</v>
      </c>
      <c r="D20">
        <v>25734</v>
      </c>
      <c r="E20" t="s">
        <v>23</v>
      </c>
    </row>
    <row r="21" spans="1:5">
      <c r="A21">
        <f>HYPERLINK("http://www.twitter.com/realDonaldTrump/status/827119326880813056", "827119326880813056")</f>
        <v>0</v>
      </c>
      <c r="B21" s="2">
        <v>42768.4859837963</v>
      </c>
      <c r="C21">
        <v>94520</v>
      </c>
      <c r="D21">
        <v>23991</v>
      </c>
      <c r="E21" t="s">
        <v>24</v>
      </c>
    </row>
    <row r="22" spans="1:5">
      <c r="A22">
        <f>HYPERLINK("http://www.twitter.com/realDonaldTrump/status/827118012784373760", "827118012784373760")</f>
        <v>0</v>
      </c>
      <c r="B22" s="2">
        <v>42768.4823611111</v>
      </c>
      <c r="C22">
        <v>99967</v>
      </c>
      <c r="D22">
        <v>20858</v>
      </c>
      <c r="E22" t="s">
        <v>25</v>
      </c>
    </row>
    <row r="23" spans="1:5">
      <c r="A23">
        <f>HYPERLINK("http://www.twitter.com/realDonaldTrump/status/827115768202534913", "827115768202534913")</f>
        <v>0</v>
      </c>
      <c r="B23" s="2">
        <v>42768.4761574074</v>
      </c>
      <c r="C23">
        <v>121412</v>
      </c>
      <c r="D23">
        <v>16590</v>
      </c>
      <c r="E23" t="s">
        <v>26</v>
      </c>
    </row>
    <row r="24" spans="1:5">
      <c r="A24">
        <f>HYPERLINK("http://www.twitter.com/realDonaldTrump/status/827113926517194757", "827113926517194757")</f>
        <v>0</v>
      </c>
      <c r="B24" s="2">
        <v>42768.4710763889</v>
      </c>
      <c r="C24">
        <v>112767</v>
      </c>
      <c r="D24">
        <v>15839</v>
      </c>
      <c r="E24" t="s">
        <v>27</v>
      </c>
    </row>
    <row r="25" spans="1:5">
      <c r="A25">
        <f>HYPERLINK("http://www.twitter.com/realDonaldTrump/status/827112633224544256", "827112633224544256")</f>
        <v>0</v>
      </c>
      <c r="B25" s="2">
        <v>42768.4675115741</v>
      </c>
      <c r="C25">
        <v>210012</v>
      </c>
      <c r="D25">
        <v>58883</v>
      </c>
      <c r="E25" t="s">
        <v>28</v>
      </c>
    </row>
    <row r="26" spans="1:5">
      <c r="A26">
        <f>HYPERLINK("http://www.twitter.com/realDonaldTrump/status/827002559122567168", "827002559122567168")</f>
        <v>0</v>
      </c>
      <c r="B26" s="2">
        <v>42768.1637615741</v>
      </c>
      <c r="C26">
        <v>150611</v>
      </c>
      <c r="D26">
        <v>37587</v>
      </c>
      <c r="E26" t="s">
        <v>29</v>
      </c>
    </row>
    <row r="27" spans="1:5">
      <c r="A27">
        <f>HYPERLINK("http://www.twitter.com/realDonaldTrump/status/826990079738540033", "826990079738540033")</f>
        <v>0</v>
      </c>
      <c r="B27" s="2">
        <v>42768.1293287037</v>
      </c>
      <c r="C27">
        <v>91728</v>
      </c>
      <c r="D27">
        <v>20943</v>
      </c>
      <c r="E27" t="s">
        <v>30</v>
      </c>
    </row>
    <row r="28" spans="1:5">
      <c r="A28">
        <f>HYPERLINK("http://www.twitter.com/realDonaldTrump/status/826774668245946368", "826774668245946368")</f>
        <v>0</v>
      </c>
      <c r="B28" s="2">
        <v>42767.5349074074</v>
      </c>
      <c r="C28">
        <v>251842</v>
      </c>
      <c r="D28">
        <v>60943</v>
      </c>
      <c r="E28" t="s">
        <v>31</v>
      </c>
    </row>
    <row r="29" spans="1:5">
      <c r="A29">
        <f>HYPERLINK("http://www.twitter.com/realDonaldTrump/status/826637556787838976", "826637556787838976")</f>
        <v>0</v>
      </c>
      <c r="B29" s="2">
        <v>42767.1565509259</v>
      </c>
      <c r="C29">
        <v>251352</v>
      </c>
      <c r="D29">
        <v>34597</v>
      </c>
      <c r="E29" t="s">
        <v>32</v>
      </c>
    </row>
    <row r="30" spans="1:5">
      <c r="A30">
        <f>HYPERLINK("http://www.twitter.com/realDonaldTrump/status/826596187453153281", "826596187453153281")</f>
        <v>0</v>
      </c>
      <c r="B30" s="2">
        <v>42767.0423958333</v>
      </c>
      <c r="C30">
        <v>51922</v>
      </c>
      <c r="D30">
        <v>6527</v>
      </c>
      <c r="E30" t="s">
        <v>33</v>
      </c>
    </row>
    <row r="31" spans="1:5">
      <c r="A31">
        <f>HYPERLINK("http://www.twitter.com/realDonaldTrump/status/826588658304217088", "826588658304217088")</f>
        <v>0</v>
      </c>
      <c r="B31" s="2">
        <v>42767.0216203704</v>
      </c>
      <c r="C31">
        <v>102659</v>
      </c>
      <c r="D31">
        <v>16608</v>
      </c>
      <c r="E31" t="s">
        <v>34</v>
      </c>
    </row>
    <row r="32" spans="1:5">
      <c r="A32">
        <f>HYPERLINK("http://www.twitter.com/realDonaldTrump/status/826391334248407040", "826391334248407040")</f>
        <v>0</v>
      </c>
      <c r="B32" s="2">
        <v>42766.4771064815</v>
      </c>
      <c r="C32">
        <v>179934</v>
      </c>
      <c r="D32">
        <v>39258</v>
      </c>
      <c r="E32" t="s">
        <v>35</v>
      </c>
    </row>
    <row r="33" spans="1:5">
      <c r="A33">
        <f>HYPERLINK("http://www.twitter.com/realDonaldTrump/status/826390034693623809", "826390034693623809")</f>
        <v>0</v>
      </c>
      <c r="B33" s="2">
        <v>42766.4735185185</v>
      </c>
      <c r="C33">
        <v>153265</v>
      </c>
      <c r="D33">
        <v>31576</v>
      </c>
      <c r="E33" t="s">
        <v>36</v>
      </c>
    </row>
    <row r="34" spans="1:5">
      <c r="A34">
        <f>HYPERLINK("http://www.twitter.com/realDonaldTrump/status/826229971584708608", "826229971584708608")</f>
        <v>0</v>
      </c>
      <c r="B34" s="2">
        <v>42766.0318287037</v>
      </c>
      <c r="C34">
        <v>127828</v>
      </c>
      <c r="D34">
        <v>28220</v>
      </c>
      <c r="E34" t="s">
        <v>37</v>
      </c>
    </row>
    <row r="35" spans="1:5">
      <c r="A35">
        <f>HYPERLINK("http://www.twitter.com/realDonaldTrump/status/826175120238604288", "826175120238604288")</f>
        <v>0</v>
      </c>
      <c r="B35" s="2">
        <v>42765.880462963</v>
      </c>
      <c r="C35">
        <v>177247</v>
      </c>
      <c r="D35">
        <v>34845</v>
      </c>
      <c r="E35" t="s">
        <v>38</v>
      </c>
    </row>
    <row r="36" spans="1:5">
      <c r="A36">
        <f>HYPERLINK("http://www.twitter.com/realDonaldTrump/status/826073437735100418", "826073437735100418")</f>
        <v>0</v>
      </c>
      <c r="B36" s="2">
        <v>42765.5998726852</v>
      </c>
      <c r="C36">
        <v>164625</v>
      </c>
      <c r="D36">
        <v>33142</v>
      </c>
      <c r="E36" t="s">
        <v>39</v>
      </c>
    </row>
    <row r="37" spans="1:5">
      <c r="A37">
        <f>HYPERLINK("http://www.twitter.com/realDonaldTrump/status/826063267760046080", "826063267760046080")</f>
        <v>0</v>
      </c>
      <c r="B37" s="2">
        <v>42765.5718171296</v>
      </c>
      <c r="C37">
        <v>128128</v>
      </c>
      <c r="D37">
        <v>25451</v>
      </c>
      <c r="E37" t="s">
        <v>40</v>
      </c>
    </row>
    <row r="38" spans="1:5">
      <c r="A38">
        <f>HYPERLINK("http://www.twitter.com/realDonaldTrump/status/826060143825666051", "826060143825666051")</f>
        <v>0</v>
      </c>
      <c r="B38" s="2">
        <v>42765.5631944444</v>
      </c>
      <c r="C38">
        <v>173181</v>
      </c>
      <c r="D38">
        <v>36014</v>
      </c>
      <c r="E38" t="s">
        <v>41</v>
      </c>
    </row>
    <row r="39" spans="1:5">
      <c r="A39">
        <f>HYPERLINK("http://www.twitter.com/realDonaldTrump/status/826044059647107073", "826044059647107073")</f>
        <v>0</v>
      </c>
      <c r="B39" s="2">
        <v>42765.5188078704</v>
      </c>
      <c r="C39">
        <v>174785</v>
      </c>
      <c r="D39">
        <v>35641</v>
      </c>
      <c r="E39" t="s">
        <v>42</v>
      </c>
    </row>
    <row r="40" spans="1:5">
      <c r="A40">
        <f>HYPERLINK("http://www.twitter.com/realDonaldTrump/status/826042483155013632", "826042483155013632")</f>
        <v>0</v>
      </c>
      <c r="B40" s="2">
        <v>42765.5144560185</v>
      </c>
      <c r="C40">
        <v>135153</v>
      </c>
      <c r="D40">
        <v>24409</v>
      </c>
      <c r="E40" t="s">
        <v>43</v>
      </c>
    </row>
    <row r="41" spans="1:5">
      <c r="A41">
        <f>HYPERLINK("http://www.twitter.com/realDonaldTrump/status/826041397232943104", "826041397232943104")</f>
        <v>0</v>
      </c>
      <c r="B41" s="2">
        <v>42765.5114583333</v>
      </c>
      <c r="C41">
        <v>131730</v>
      </c>
      <c r="D41">
        <v>31450</v>
      </c>
      <c r="E41" t="s">
        <v>44</v>
      </c>
    </row>
    <row r="42" spans="1:5">
      <c r="A42">
        <f>HYPERLINK("http://www.twitter.com/realDonaldTrump/status/825850987348914184", "825850987348914184")</f>
        <v>0</v>
      </c>
      <c r="B42" s="2">
        <v>42764.9860300926</v>
      </c>
      <c r="C42">
        <v>67754</v>
      </c>
      <c r="D42">
        <v>11173</v>
      </c>
      <c r="E42" t="s">
        <v>45</v>
      </c>
    </row>
    <row r="43" spans="1:5">
      <c r="A43">
        <f>HYPERLINK("http://www.twitter.com/realDonaldTrump/status/825848204633731074", "825848204633731074")</f>
        <v>0</v>
      </c>
      <c r="B43" s="2">
        <v>42764.9783564815</v>
      </c>
      <c r="C43">
        <v>69455</v>
      </c>
      <c r="D43">
        <v>17219</v>
      </c>
      <c r="E43" t="s">
        <v>46</v>
      </c>
    </row>
    <row r="44" spans="1:5">
      <c r="A44">
        <f>HYPERLINK("http://www.twitter.com/realDonaldTrump/status/825823217025691648", "825823217025691648")</f>
        <v>0</v>
      </c>
      <c r="B44" s="2">
        <v>42764.9093981481</v>
      </c>
      <c r="C44">
        <v>171819</v>
      </c>
      <c r="D44">
        <v>42735</v>
      </c>
      <c r="E44" t="s">
        <v>47</v>
      </c>
    </row>
    <row r="45" spans="1:5">
      <c r="A45">
        <f>HYPERLINK("http://www.twitter.com/realDonaldTrump/status/825822320128303110", "825822320128303110")</f>
        <v>0</v>
      </c>
      <c r="B45" s="2">
        <v>42764.9069212963</v>
      </c>
      <c r="C45">
        <v>108414</v>
      </c>
      <c r="D45">
        <v>24177</v>
      </c>
      <c r="E45" t="s">
        <v>48</v>
      </c>
    </row>
    <row r="46" spans="1:5">
      <c r="A46">
        <f>HYPERLINK("http://www.twitter.com/realDonaldTrump/status/825721153142521858", "825721153142521858")</f>
        <v>0</v>
      </c>
      <c r="B46" s="2">
        <v>42764.6277546296</v>
      </c>
      <c r="C46">
        <v>226011</v>
      </c>
      <c r="D46">
        <v>59963</v>
      </c>
      <c r="E46" t="s">
        <v>49</v>
      </c>
    </row>
    <row r="47" spans="1:5">
      <c r="A47">
        <f>HYPERLINK("http://www.twitter.com/realDonaldTrump/status/825692045532618753", "825692045532618753")</f>
        <v>0</v>
      </c>
      <c r="B47" s="2">
        <v>42764.5474305556</v>
      </c>
      <c r="C47">
        <v>221492</v>
      </c>
      <c r="D47">
        <v>51313</v>
      </c>
      <c r="E47" t="s">
        <v>50</v>
      </c>
    </row>
    <row r="48" spans="1:5">
      <c r="A48">
        <f>HYPERLINK("http://www.twitter.com/realDonaldTrump/status/825690087857995776", "825690087857995776")</f>
        <v>0</v>
      </c>
      <c r="B48" s="2">
        <v>42764.542037037</v>
      </c>
      <c r="C48">
        <v>113272</v>
      </c>
      <c r="D48">
        <v>22634</v>
      </c>
      <c r="E48" t="s">
        <v>51</v>
      </c>
    </row>
    <row r="49" spans="1:5">
      <c r="A49">
        <f>HYPERLINK("http://www.twitter.com/realDonaldTrump/status/825368580325773312", "825368580325773312")</f>
        <v>0</v>
      </c>
      <c r="B49" s="2">
        <v>42763.654837963</v>
      </c>
      <c r="C49">
        <v>171068</v>
      </c>
      <c r="D49">
        <v>32920</v>
      </c>
      <c r="E49" t="s">
        <v>52</v>
      </c>
    </row>
    <row r="50" spans="1:5">
      <c r="A50">
        <f>HYPERLINK("http://www.twitter.com/realDonaldTrump/status/825331665509691393", "825331665509691393")</f>
        <v>0</v>
      </c>
      <c r="B50" s="2">
        <v>42763.552974537</v>
      </c>
      <c r="C50">
        <v>106414</v>
      </c>
      <c r="D50">
        <v>16163</v>
      </c>
      <c r="E50" t="s">
        <v>53</v>
      </c>
    </row>
    <row r="51" spans="1:5">
      <c r="A51">
        <f>HYPERLINK("http://www.twitter.com/realDonaldTrump/status/825329757646618624", "825329757646618624")</f>
        <v>0</v>
      </c>
      <c r="B51" s="2">
        <v>42763.5477083333</v>
      </c>
      <c r="C51">
        <v>80097</v>
      </c>
      <c r="D51">
        <v>13836</v>
      </c>
      <c r="E51" t="s">
        <v>54</v>
      </c>
    </row>
    <row r="52" spans="1:5">
      <c r="A52">
        <f>HYPERLINK("http://www.twitter.com/realDonaldTrump/status/825328817833123840", "825328817833123840")</f>
        <v>0</v>
      </c>
      <c r="B52" s="2">
        <v>42763.5451157407</v>
      </c>
      <c r="C52">
        <v>110563</v>
      </c>
      <c r="D52">
        <v>21034</v>
      </c>
      <c r="E52" t="s">
        <v>55</v>
      </c>
    </row>
    <row r="53" spans="1:5">
      <c r="A53">
        <f>HYPERLINK("http://www.twitter.com/realDonaldTrump/status/825127844066054144", "825127844066054144")</f>
        <v>0</v>
      </c>
      <c r="B53" s="2">
        <v>42762.9905324074</v>
      </c>
      <c r="C53">
        <v>150227</v>
      </c>
      <c r="D53">
        <v>29129</v>
      </c>
      <c r="E53" t="s">
        <v>56</v>
      </c>
    </row>
    <row r="54" spans="1:5">
      <c r="A54">
        <f>HYPERLINK("http://www.twitter.com/realDonaldTrump/status/825101272982355968", "825101272982355968")</f>
        <v>0</v>
      </c>
      <c r="B54" s="2">
        <v>42762.9172106481</v>
      </c>
      <c r="C54">
        <v>112527</v>
      </c>
      <c r="D54">
        <v>19248</v>
      </c>
      <c r="E54" t="s">
        <v>57</v>
      </c>
    </row>
    <row r="55" spans="1:5">
      <c r="A55">
        <f>HYPERLINK("http://www.twitter.com/realDonaldTrump/status/825075972659613696", "825075972659613696")</f>
        <v>0</v>
      </c>
      <c r="B55" s="2">
        <v>42762.8473958333</v>
      </c>
      <c r="C55">
        <v>57863</v>
      </c>
      <c r="D55">
        <v>10798</v>
      </c>
      <c r="E55" t="s">
        <v>58</v>
      </c>
    </row>
    <row r="56" spans="1:5">
      <c r="A56">
        <f>HYPERLINK("http://www.twitter.com/realDonaldTrump/status/825018149397463040", "825018149397463040")</f>
        <v>0</v>
      </c>
      <c r="B56" s="2">
        <v>42762.6878356481</v>
      </c>
      <c r="C56">
        <v>88874</v>
      </c>
      <c r="D56">
        <v>16243</v>
      </c>
      <c r="E56" t="s">
        <v>59</v>
      </c>
    </row>
    <row r="57" spans="1:5">
      <c r="A57">
        <f>HYPERLINK("http://www.twitter.com/realDonaldTrump/status/825017279209410561", "825017279209410561")</f>
        <v>0</v>
      </c>
      <c r="B57" s="2">
        <v>42762.6854398148</v>
      </c>
      <c r="C57">
        <v>187139</v>
      </c>
      <c r="D57">
        <v>46446</v>
      </c>
      <c r="E57" t="s">
        <v>60</v>
      </c>
    </row>
    <row r="58" spans="1:5">
      <c r="A58">
        <f>HYPERLINK("http://www.twitter.com/realDonaldTrump/status/824970003153842176", "824970003153842176")</f>
        <v>0</v>
      </c>
      <c r="B58" s="2">
        <v>42762.5549768519</v>
      </c>
      <c r="C58">
        <v>161984</v>
      </c>
      <c r="D58">
        <v>31157</v>
      </c>
      <c r="E58" t="s">
        <v>61</v>
      </c>
    </row>
    <row r="59" spans="1:5">
      <c r="A59">
        <f>HYPERLINK("http://www.twitter.com/realDonaldTrump/status/824968416486387713", "824968416486387713")</f>
        <v>0</v>
      </c>
      <c r="B59" s="2">
        <v>42762.5506018518</v>
      </c>
      <c r="C59">
        <v>89551</v>
      </c>
      <c r="D59">
        <v>17614</v>
      </c>
      <c r="E59" t="s">
        <v>62</v>
      </c>
    </row>
    <row r="60" spans="1:5">
      <c r="A60">
        <f>HYPERLINK("http://www.twitter.com/realDonaldTrump/status/824767281146245120", "824767281146245120")</f>
        <v>0</v>
      </c>
      <c r="B60" s="2">
        <v>42761.9955671296</v>
      </c>
      <c r="C60">
        <v>113939</v>
      </c>
      <c r="D60">
        <v>25243</v>
      </c>
      <c r="E60" t="s">
        <v>63</v>
      </c>
    </row>
    <row r="61" spans="1:5">
      <c r="A61">
        <f>HYPERLINK("http://www.twitter.com/realDonaldTrump/status/824765229527605248", "824765229527605248")</f>
        <v>0</v>
      </c>
      <c r="B61" s="2">
        <v>42761.9899074074</v>
      </c>
      <c r="C61">
        <v>74162</v>
      </c>
      <c r="D61">
        <v>10780</v>
      </c>
      <c r="E61" t="s">
        <v>64</v>
      </c>
    </row>
    <row r="62" spans="1:5">
      <c r="A62">
        <f>HYPERLINK("http://www.twitter.com/realDonaldTrump/status/824698743630995457", "824698743630995457")</f>
        <v>0</v>
      </c>
      <c r="B62" s="2">
        <v>42761.8064467593</v>
      </c>
      <c r="C62">
        <v>72793</v>
      </c>
      <c r="D62">
        <v>11374</v>
      </c>
      <c r="E62" t="s">
        <v>65</v>
      </c>
    </row>
    <row r="63" spans="1:5">
      <c r="A63">
        <f>HYPERLINK("http://www.twitter.com/realDonaldTrump/status/824616644370714627", "824616644370714627")</f>
        <v>0</v>
      </c>
      <c r="B63" s="2">
        <v>42761.5798958333</v>
      </c>
      <c r="C63">
        <v>117367</v>
      </c>
      <c r="D63">
        <v>28685</v>
      </c>
      <c r="E63" t="s">
        <v>66</v>
      </c>
    </row>
    <row r="64" spans="1:5">
      <c r="A64">
        <f>HYPERLINK("http://www.twitter.com/realDonaldTrump/status/824615820391305216", "824615820391305216")</f>
        <v>0</v>
      </c>
      <c r="B64" s="2">
        <v>42761.5776157407</v>
      </c>
      <c r="C64">
        <v>108379</v>
      </c>
      <c r="D64">
        <v>26423</v>
      </c>
      <c r="E64" t="s">
        <v>67</v>
      </c>
    </row>
    <row r="65" spans="1:5">
      <c r="A65">
        <f>HYPERLINK("http://www.twitter.com/realDonaldTrump/status/824573698774601729", "824573698774601729")</f>
        <v>0</v>
      </c>
      <c r="B65" s="2">
        <v>42761.4613888889</v>
      </c>
      <c r="C65">
        <v>130246</v>
      </c>
      <c r="D65">
        <v>28493</v>
      </c>
      <c r="E65" t="s">
        <v>68</v>
      </c>
    </row>
    <row r="66" spans="1:5">
      <c r="A66">
        <f>HYPERLINK("http://www.twitter.com/realDonaldTrump/status/824448880993509376", "824448880993509376")</f>
        <v>0</v>
      </c>
      <c r="B66" s="2">
        <v>42761.1169560185</v>
      </c>
      <c r="C66">
        <v>54196</v>
      </c>
      <c r="D66">
        <v>6552</v>
      </c>
      <c r="E66" t="s">
        <v>69</v>
      </c>
    </row>
    <row r="67" spans="1:5">
      <c r="A67">
        <f>HYPERLINK("http://www.twitter.com/realDonaldTrump/status/824448156935081984", "824448156935081984")</f>
        <v>0</v>
      </c>
      <c r="B67" s="2">
        <v>42761.1149537037</v>
      </c>
      <c r="C67">
        <v>44913</v>
      </c>
      <c r="D67">
        <v>6467</v>
      </c>
      <c r="E67" t="s">
        <v>70</v>
      </c>
    </row>
    <row r="68" spans="1:5">
      <c r="A68">
        <f>HYPERLINK("http://www.twitter.com/realDonaldTrump/status/824440456813707265", "824440456813707265")</f>
        <v>0</v>
      </c>
      <c r="B68" s="2">
        <v>42761.0937037037</v>
      </c>
      <c r="C68">
        <v>153853</v>
      </c>
      <c r="D68">
        <v>29377</v>
      </c>
      <c r="E68" t="s">
        <v>71</v>
      </c>
    </row>
    <row r="69" spans="1:5">
      <c r="A69">
        <f>HYPERLINK("http://www.twitter.com/realDonaldTrump/status/824407390674157568", "824407390674157568")</f>
        <v>0</v>
      </c>
      <c r="B69" s="2">
        <v>42761.0024652778</v>
      </c>
      <c r="C69">
        <v>111198</v>
      </c>
      <c r="D69">
        <v>23460</v>
      </c>
      <c r="E69" t="s">
        <v>72</v>
      </c>
    </row>
    <row r="70" spans="1:5">
      <c r="A70">
        <f>HYPERLINK("http://www.twitter.com/realDonaldTrump/status/824377804590563339", "824377804590563339")</f>
        <v>0</v>
      </c>
      <c r="B70" s="2">
        <v>42760.9208217593</v>
      </c>
      <c r="C70">
        <v>76394</v>
      </c>
      <c r="D70">
        <v>12591</v>
      </c>
      <c r="E70" t="s">
        <v>73</v>
      </c>
    </row>
    <row r="71" spans="1:5">
      <c r="A71">
        <f>HYPERLINK("http://www.twitter.com/realDonaldTrump/status/824229586091307008", "824229586091307008")</f>
        <v>0</v>
      </c>
      <c r="B71" s="2">
        <v>42760.5118171296</v>
      </c>
      <c r="C71">
        <v>134446</v>
      </c>
      <c r="D71">
        <v>22159</v>
      </c>
      <c r="E71" t="s">
        <v>74</v>
      </c>
    </row>
    <row r="72" spans="1:5">
      <c r="A72">
        <f>HYPERLINK("http://www.twitter.com/realDonaldTrump/status/824228768227217408", "824228768227217408")</f>
        <v>0</v>
      </c>
      <c r="B72" s="2">
        <v>42760.5095601852</v>
      </c>
      <c r="C72">
        <v>108702</v>
      </c>
      <c r="D72">
        <v>19188</v>
      </c>
      <c r="E72" t="s">
        <v>75</v>
      </c>
    </row>
    <row r="73" spans="1:5">
      <c r="A73">
        <f>HYPERLINK("http://www.twitter.com/realDonaldTrump/status/824227824903090176", "824227824903090176")</f>
        <v>0</v>
      </c>
      <c r="B73" s="2">
        <v>42760.5069560185</v>
      </c>
      <c r="C73">
        <v>131838</v>
      </c>
      <c r="D73">
        <v>26359</v>
      </c>
      <c r="E73" t="s">
        <v>76</v>
      </c>
    </row>
    <row r="74" spans="1:5">
      <c r="A74">
        <f>HYPERLINK("http://www.twitter.com/realDonaldTrump/status/824083821889015809", "824083821889015809")</f>
        <v>0</v>
      </c>
      <c r="B74" s="2">
        <v>42760.1095833333</v>
      </c>
      <c r="C74">
        <v>197677</v>
      </c>
      <c r="D74">
        <v>55610</v>
      </c>
      <c r="E74" t="s">
        <v>77</v>
      </c>
    </row>
    <row r="75" spans="1:5">
      <c r="A75">
        <f>HYPERLINK("http://www.twitter.com/realDonaldTrump/status/824080766288228352", "824080766288228352")</f>
        <v>0</v>
      </c>
      <c r="B75" s="2">
        <v>42760.1011574074</v>
      </c>
      <c r="C75">
        <v>213119</v>
      </c>
      <c r="D75">
        <v>57411</v>
      </c>
      <c r="E75" t="s">
        <v>78</v>
      </c>
    </row>
    <row r="76" spans="1:5">
      <c r="A76">
        <f>HYPERLINK("http://www.twitter.com/realDonaldTrump/status/824078417213747200", "824078417213747200")</f>
        <v>0</v>
      </c>
      <c r="B76" s="2">
        <v>42760.0946643519</v>
      </c>
      <c r="C76">
        <v>165315</v>
      </c>
      <c r="D76">
        <v>32702</v>
      </c>
      <c r="E76" t="s">
        <v>79</v>
      </c>
    </row>
    <row r="77" spans="1:5">
      <c r="A77">
        <f>HYPERLINK("http://www.twitter.com/realDonaldTrump/status/824055927200423936", "824055927200423936")</f>
        <v>0</v>
      </c>
      <c r="B77" s="2">
        <v>42760.0326041667</v>
      </c>
      <c r="C77">
        <v>102221</v>
      </c>
      <c r="D77">
        <v>18915</v>
      </c>
      <c r="E77" t="s">
        <v>80</v>
      </c>
    </row>
    <row r="78" spans="1:5">
      <c r="A78">
        <f>HYPERLINK("http://www.twitter.com/realDonaldTrump/status/823950814163140609", "823950814163140609")</f>
        <v>0</v>
      </c>
      <c r="B78" s="2">
        <v>42759.7425578704</v>
      </c>
      <c r="C78">
        <v>133805</v>
      </c>
      <c r="D78">
        <v>26146</v>
      </c>
      <c r="E78" t="s">
        <v>81</v>
      </c>
    </row>
    <row r="79" spans="1:5">
      <c r="A79">
        <f>HYPERLINK("http://www.twitter.com/realDonaldTrump/status/823939422743830528", "823939422743830528")</f>
        <v>0</v>
      </c>
      <c r="B79" s="2">
        <v>42759.7111226852</v>
      </c>
      <c r="C79">
        <v>100433</v>
      </c>
      <c r="D79">
        <v>16516</v>
      </c>
      <c r="E79" t="s">
        <v>82</v>
      </c>
    </row>
    <row r="80" spans="1:5">
      <c r="A80">
        <f>HYPERLINK("http://www.twitter.com/realDonaldTrump/status/823937936056008704", "823937936056008704")</f>
        <v>0</v>
      </c>
      <c r="B80" s="2">
        <v>42759.7070138889</v>
      </c>
      <c r="C80">
        <v>110719</v>
      </c>
      <c r="D80">
        <v>21119</v>
      </c>
      <c r="E80" t="s">
        <v>83</v>
      </c>
    </row>
    <row r="81" spans="1:5">
      <c r="A81">
        <f>HYPERLINK("http://www.twitter.com/realDonaldTrump/status/823850781946343427", "823850781946343427")</f>
        <v>0</v>
      </c>
      <c r="B81" s="2">
        <v>42759.4665162037</v>
      </c>
      <c r="C81">
        <v>157044</v>
      </c>
      <c r="D81">
        <v>24131</v>
      </c>
      <c r="E81" t="s">
        <v>84</v>
      </c>
    </row>
    <row r="82" spans="1:5">
      <c r="A82">
        <f>HYPERLINK("http://www.twitter.com/realDonaldTrump/status/823495059010109440", "823495059010109440")</f>
        <v>0</v>
      </c>
      <c r="B82" s="2">
        <v>42758.4849074074</v>
      </c>
      <c r="C82">
        <v>181381</v>
      </c>
      <c r="D82">
        <v>27228</v>
      </c>
      <c r="E82" t="s">
        <v>85</v>
      </c>
    </row>
    <row r="83" spans="1:5">
      <c r="A83">
        <f>HYPERLINK("http://www.twitter.com/realDonaldTrump/status/823174199036542980", "823174199036542980")</f>
        <v>0</v>
      </c>
      <c r="B83" s="2">
        <v>42757.5995023148</v>
      </c>
      <c r="C83">
        <v>396839</v>
      </c>
      <c r="D83">
        <v>83630</v>
      </c>
      <c r="E83" t="s">
        <v>86</v>
      </c>
    </row>
    <row r="84" spans="1:5">
      <c r="A84">
        <f>HYPERLINK("http://www.twitter.com/realDonaldTrump/status/823151124815507460", "823151124815507460")</f>
        <v>0</v>
      </c>
      <c r="B84" s="2">
        <v>42757.5358333333</v>
      </c>
      <c r="C84">
        <v>221264</v>
      </c>
      <c r="D84">
        <v>41013</v>
      </c>
      <c r="E84" t="s">
        <v>87</v>
      </c>
    </row>
    <row r="85" spans="1:5">
      <c r="A85">
        <f>HYPERLINK("http://www.twitter.com/realDonaldTrump/status/823150055418920960", "823150055418920960")</f>
        <v>0</v>
      </c>
      <c r="B85" s="2">
        <v>42757.5328819444</v>
      </c>
      <c r="C85">
        <v>217185</v>
      </c>
      <c r="D85">
        <v>47040</v>
      </c>
      <c r="E85" t="s">
        <v>88</v>
      </c>
    </row>
    <row r="86" spans="1:5">
      <c r="A86">
        <f>HYPERLINK("http://www.twitter.com/realDonaldTrump/status/823146987117772800", "823146987117772800")</f>
        <v>0</v>
      </c>
      <c r="B86" s="2">
        <v>42757.5244097222</v>
      </c>
      <c r="C86">
        <v>129498</v>
      </c>
      <c r="D86">
        <v>17199</v>
      </c>
      <c r="E86" t="s">
        <v>89</v>
      </c>
    </row>
    <row r="87" spans="1:5">
      <c r="A87">
        <f>HYPERLINK("http://www.twitter.com/realDonaldTrump/status/822955565949272065", "822955565949272065")</f>
        <v>0</v>
      </c>
      <c r="B87" s="2">
        <v>42756.9961921296</v>
      </c>
      <c r="C87">
        <v>0</v>
      </c>
      <c r="D87">
        <v>28289</v>
      </c>
      <c r="E87" t="s">
        <v>90</v>
      </c>
    </row>
    <row r="88" spans="1:5">
      <c r="A88">
        <f>HYPERLINK("http://www.twitter.com/realDonaldTrump/status/822774162011910144", "822774162011910144")</f>
        <v>0</v>
      </c>
      <c r="B88" s="2">
        <v>42756.4956134259</v>
      </c>
      <c r="C88">
        <v>180265</v>
      </c>
      <c r="D88">
        <v>23737</v>
      </c>
      <c r="E88" t="s">
        <v>91</v>
      </c>
    </row>
    <row r="89" spans="1:5">
      <c r="A89">
        <f>HYPERLINK("http://www.twitter.com/realDonaldTrump/status/822669114237943808", "822669114237943808")</f>
        <v>0</v>
      </c>
      <c r="B89" s="2">
        <v>42756.2057291667</v>
      </c>
      <c r="C89">
        <v>293922</v>
      </c>
      <c r="D89">
        <v>53520</v>
      </c>
      <c r="E89" t="s">
        <v>92</v>
      </c>
    </row>
    <row r="90" spans="1:5">
      <c r="A90">
        <f>HYPERLINK("http://www.twitter.com/realDonaldTrump/status/822507434396753921", "822507434396753921")</f>
        <v>0</v>
      </c>
      <c r="B90" s="2">
        <v>42755.7595833333</v>
      </c>
      <c r="C90">
        <v>93571</v>
      </c>
      <c r="D90">
        <v>16883</v>
      </c>
      <c r="E90" t="s">
        <v>93</v>
      </c>
    </row>
    <row r="91" spans="1:5">
      <c r="A91">
        <f>HYPERLINK("http://www.twitter.com/realDonaldTrump/status/822504142178500608", "822504142178500608")</f>
        <v>0</v>
      </c>
      <c r="B91" s="2">
        <v>42755.7504976852</v>
      </c>
      <c r="C91">
        <v>87676</v>
      </c>
      <c r="D91">
        <v>14273</v>
      </c>
      <c r="E91" t="s">
        <v>94</v>
      </c>
    </row>
    <row r="92" spans="1:5">
      <c r="A92">
        <f>HYPERLINK("http://www.twitter.com/realDonaldTrump/status/822503558369181697", "822503558369181697")</f>
        <v>0</v>
      </c>
      <c r="B92" s="2">
        <v>42755.7488888889</v>
      </c>
      <c r="C92">
        <v>59805</v>
      </c>
      <c r="D92">
        <v>9330</v>
      </c>
      <c r="E92" t="s">
        <v>95</v>
      </c>
    </row>
    <row r="93" spans="1:5">
      <c r="A93">
        <f>HYPERLINK("http://www.twitter.com/realDonaldTrump/status/822502887477673984", "822502887477673984")</f>
        <v>0</v>
      </c>
      <c r="B93" s="2">
        <v>42755.747037037</v>
      </c>
      <c r="C93">
        <v>163787</v>
      </c>
      <c r="D93">
        <v>38925</v>
      </c>
      <c r="E93" t="s">
        <v>96</v>
      </c>
    </row>
    <row r="94" spans="1:5">
      <c r="A94">
        <f>HYPERLINK("http://www.twitter.com/realDonaldTrump/status/822502601304526848", "822502601304526848")</f>
        <v>0</v>
      </c>
      <c r="B94" s="2">
        <v>42755.74625</v>
      </c>
      <c r="C94">
        <v>176527</v>
      </c>
      <c r="D94">
        <v>38440</v>
      </c>
      <c r="E94" t="s">
        <v>97</v>
      </c>
    </row>
    <row r="95" spans="1:5">
      <c r="A95">
        <f>HYPERLINK("http://www.twitter.com/realDonaldTrump/status/822502450007515137", "822502450007515137")</f>
        <v>0</v>
      </c>
      <c r="B95" s="2">
        <v>42755.7458333333</v>
      </c>
      <c r="C95">
        <v>150327</v>
      </c>
      <c r="D95">
        <v>35901</v>
      </c>
      <c r="E95" t="s">
        <v>98</v>
      </c>
    </row>
    <row r="96" spans="1:5">
      <c r="A96">
        <f>HYPERLINK("http://www.twitter.com/realDonaldTrump/status/822502270503972872", "822502270503972872")</f>
        <v>0</v>
      </c>
      <c r="B96" s="2">
        <v>42755.7453356481</v>
      </c>
      <c r="C96">
        <v>221821</v>
      </c>
      <c r="D96">
        <v>61991</v>
      </c>
      <c r="E96" t="s">
        <v>99</v>
      </c>
    </row>
    <row r="97" spans="1:5">
      <c r="A97">
        <f>HYPERLINK("http://www.twitter.com/realDonaldTrump/status/822502135233384448", "822502135233384448")</f>
        <v>0</v>
      </c>
      <c r="B97" s="2">
        <v>42755.7449652778</v>
      </c>
      <c r="C97">
        <v>183069</v>
      </c>
      <c r="D97">
        <v>43771</v>
      </c>
      <c r="E97" t="s">
        <v>100</v>
      </c>
    </row>
    <row r="98" spans="1:5">
      <c r="A98">
        <f>HYPERLINK("http://www.twitter.com/realDonaldTrump/status/822501939267141634", "822501939267141634")</f>
        <v>0</v>
      </c>
      <c r="B98" s="2">
        <v>42755.7444212963</v>
      </c>
      <c r="C98">
        <v>92556</v>
      </c>
      <c r="D98">
        <v>18818</v>
      </c>
      <c r="E98" t="s">
        <v>101</v>
      </c>
    </row>
    <row r="99" spans="1:5">
      <c r="A99">
        <f>HYPERLINK("http://www.twitter.com/realDonaldTrump/status/822501803615014918", "822501803615014918")</f>
        <v>0</v>
      </c>
      <c r="B99" s="2">
        <v>42755.7440393519</v>
      </c>
      <c r="C99">
        <v>111268</v>
      </c>
      <c r="D99">
        <v>20625</v>
      </c>
      <c r="E99" t="s">
        <v>102</v>
      </c>
    </row>
    <row r="100" spans="1:5">
      <c r="A100">
        <f>HYPERLINK("http://www.twitter.com/realDonaldTrump/status/822421390125043713", "822421390125043713")</f>
        <v>0</v>
      </c>
      <c r="B100" s="2">
        <v>42755.5221412037</v>
      </c>
      <c r="C100">
        <v>272768</v>
      </c>
      <c r="D100">
        <v>72564</v>
      </c>
      <c r="E100" t="s">
        <v>103</v>
      </c>
    </row>
    <row r="101" spans="1:5">
      <c r="A101">
        <f>HYPERLINK("http://www.twitter.com/realDonaldTrump/status/822298747421986828", "822298747421986828")</f>
        <v>0</v>
      </c>
      <c r="B101" s="2">
        <v>42755.1837152778</v>
      </c>
      <c r="C101">
        <v>114536</v>
      </c>
      <c r="D101">
        <v>21236</v>
      </c>
      <c r="E101" t="s">
        <v>104</v>
      </c>
    </row>
    <row r="102" spans="1:5">
      <c r="A102">
        <f>HYPERLINK("http://www.twitter.com/realDonaldTrump/status/822242449053614081", "822242449053614081")</f>
        <v>0</v>
      </c>
      <c r="B102" s="2">
        <v>42755.0283680556</v>
      </c>
      <c r="C102">
        <v>167929</v>
      </c>
      <c r="D102">
        <v>34827</v>
      </c>
      <c r="E102" t="s">
        <v>105</v>
      </c>
    </row>
    <row r="103" spans="1:5">
      <c r="A103">
        <f>HYPERLINK("http://www.twitter.com/realDonaldTrump/status/822177206633955328", "822177206633955328")</f>
        <v>0</v>
      </c>
      <c r="B103" s="2">
        <v>42754.8483333333</v>
      </c>
      <c r="C103">
        <v>67107</v>
      </c>
      <c r="D103">
        <v>12495</v>
      </c>
      <c r="E103" t="s">
        <v>106</v>
      </c>
    </row>
    <row r="104" spans="1:5">
      <c r="A104">
        <f>HYPERLINK("http://www.twitter.com/realDonaldTrump/status/822176438627536897", "822176438627536897")</f>
        <v>0</v>
      </c>
      <c r="B104" s="2">
        <v>42754.8462037037</v>
      </c>
      <c r="C104">
        <v>66287</v>
      </c>
      <c r="D104">
        <v>8535</v>
      </c>
      <c r="E104" t="s">
        <v>107</v>
      </c>
    </row>
    <row r="105" spans="1:5">
      <c r="A105">
        <f>HYPERLINK("http://www.twitter.com/realDonaldTrump/status/822175285151928320", "822175285151928320")</f>
        <v>0</v>
      </c>
      <c r="B105" s="2">
        <v>42754.8430208333</v>
      </c>
      <c r="C105">
        <v>57204</v>
      </c>
      <c r="D105">
        <v>9052</v>
      </c>
      <c r="E105" t="s">
        <v>108</v>
      </c>
    </row>
    <row r="106" spans="1:5">
      <c r="A106">
        <f>HYPERLINK("http://www.twitter.com/realDonaldTrump/status/822066653953458177", "822066653953458177")</f>
        <v>0</v>
      </c>
      <c r="B106" s="2">
        <v>42754.5432638889</v>
      </c>
      <c r="C106">
        <v>162466</v>
      </c>
      <c r="D106">
        <v>39759</v>
      </c>
      <c r="E106" t="s">
        <v>109</v>
      </c>
    </row>
    <row r="107" spans="1:5">
      <c r="A107">
        <f>HYPERLINK("http://www.twitter.com/realDonaldTrump/status/822066132307808256", "822066132307808256")</f>
        <v>0</v>
      </c>
      <c r="B107" s="2">
        <v>42754.5418171296</v>
      </c>
      <c r="C107">
        <v>152498</v>
      </c>
      <c r="D107">
        <v>26256</v>
      </c>
      <c r="E107" t="s">
        <v>110</v>
      </c>
    </row>
    <row r="108" spans="1:5">
      <c r="A108">
        <f>HYPERLINK("http://www.twitter.com/realDonaldTrump/status/822064153426857984", "822064153426857984")</f>
        <v>0</v>
      </c>
      <c r="B108" s="2">
        <v>42754.5363657407</v>
      </c>
      <c r="C108">
        <v>126885</v>
      </c>
      <c r="D108">
        <v>28195</v>
      </c>
      <c r="E108" t="s">
        <v>111</v>
      </c>
    </row>
    <row r="109" spans="1:5">
      <c r="A109">
        <f>HYPERLINK("http://www.twitter.com/realDonaldTrump/status/821930600290521089", "821930600290521089")</f>
        <v>0</v>
      </c>
      <c r="B109" s="2">
        <v>42754.1678240741</v>
      </c>
      <c r="C109">
        <v>83515</v>
      </c>
      <c r="D109">
        <v>16584</v>
      </c>
      <c r="E109" t="s">
        <v>112</v>
      </c>
    </row>
    <row r="110" spans="1:5">
      <c r="A110">
        <f>HYPERLINK("http://www.twitter.com/realDonaldTrump/status/821898525432811520", "821898525432811520")</f>
        <v>0</v>
      </c>
      <c r="B110" s="2">
        <v>42754.0793171296</v>
      </c>
      <c r="C110">
        <v>65524</v>
      </c>
      <c r="D110">
        <v>10191</v>
      </c>
      <c r="E110" t="s">
        <v>113</v>
      </c>
    </row>
    <row r="111" spans="1:5">
      <c r="A111">
        <f>HYPERLINK("http://www.twitter.com/realDonaldTrump/status/821844875268255744", "821844875268255744")</f>
        <v>0</v>
      </c>
      <c r="B111" s="2">
        <v>42753.9312731481</v>
      </c>
      <c r="C111">
        <v>137852</v>
      </c>
      <c r="D111">
        <v>21515</v>
      </c>
      <c r="E111" t="s">
        <v>114</v>
      </c>
    </row>
    <row r="112" spans="1:5">
      <c r="A112">
        <f>HYPERLINK("http://www.twitter.com/realDonaldTrump/status/821772494864580614", "821772494864580614")</f>
        <v>0</v>
      </c>
      <c r="B112" s="2">
        <v>42753.7315393519</v>
      </c>
      <c r="C112">
        <v>109448</v>
      </c>
      <c r="D112">
        <v>21554</v>
      </c>
      <c r="E112" t="s">
        <v>115</v>
      </c>
    </row>
    <row r="113" spans="1:5">
      <c r="A113">
        <f>HYPERLINK("http://www.twitter.com/realDonaldTrump/status/821719763214880769", "821719763214880769")</f>
        <v>0</v>
      </c>
      <c r="B113" s="2">
        <v>42753.5860300926</v>
      </c>
      <c r="C113">
        <v>66703</v>
      </c>
      <c r="D113">
        <v>11533</v>
      </c>
      <c r="E113" t="s">
        <v>116</v>
      </c>
    </row>
    <row r="114" spans="1:5">
      <c r="A114">
        <f>HYPERLINK("http://www.twitter.com/realDonaldTrump/status/821705440178348033", "821705440178348033")</f>
        <v>0</v>
      </c>
      <c r="B114" s="2">
        <v>42753.5465046296</v>
      </c>
      <c r="C114">
        <v>58206</v>
      </c>
      <c r="D114">
        <v>10787</v>
      </c>
      <c r="E114" t="s">
        <v>117</v>
      </c>
    </row>
    <row r="115" spans="1:5">
      <c r="A115">
        <f>HYPERLINK("http://www.twitter.com/realDonaldTrump/status/821703902940827648", "821703902940827648")</f>
        <v>0</v>
      </c>
      <c r="B115" s="2">
        <v>42753.5422569444</v>
      </c>
      <c r="C115">
        <v>58950</v>
      </c>
      <c r="D115">
        <v>12144</v>
      </c>
      <c r="E115" t="s">
        <v>118</v>
      </c>
    </row>
    <row r="116" spans="1:5">
      <c r="A116">
        <f>HYPERLINK("http://www.twitter.com/realDonaldTrump/status/821699672687448064", "821699672687448064")</f>
        <v>0</v>
      </c>
      <c r="B116" s="2">
        <v>42753.5305902778</v>
      </c>
      <c r="C116">
        <v>58711</v>
      </c>
      <c r="D116">
        <v>11714</v>
      </c>
      <c r="E116" t="s">
        <v>119</v>
      </c>
    </row>
    <row r="117" spans="1:5">
      <c r="A117">
        <f>HYPERLINK("http://www.twitter.com/realDonaldTrump/status/821697182235496450", "821697182235496450")</f>
        <v>0</v>
      </c>
      <c r="B117" s="2">
        <v>42753.5237152778</v>
      </c>
      <c r="C117">
        <v>48842</v>
      </c>
      <c r="D117">
        <v>10365</v>
      </c>
      <c r="E117" t="s">
        <v>120</v>
      </c>
    </row>
    <row r="118" spans="1:5">
      <c r="A118">
        <f>HYPERLINK("http://www.twitter.com/realDonaldTrump/status/821686928680583169", "821686928680583169")</f>
        <v>0</v>
      </c>
      <c r="B118" s="2">
        <v>42753.4954166667</v>
      </c>
      <c r="C118">
        <v>37933</v>
      </c>
      <c r="D118">
        <v>5715</v>
      </c>
      <c r="E118" t="s">
        <v>121</v>
      </c>
    </row>
    <row r="119" spans="1:5">
      <c r="A119">
        <f>HYPERLINK("http://www.twitter.com/realDonaldTrump/status/821446536278274050", "821446536278274050")</f>
        <v>0</v>
      </c>
      <c r="B119" s="2">
        <v>42752.8320601852</v>
      </c>
      <c r="C119">
        <v>0</v>
      </c>
      <c r="D119">
        <v>9131</v>
      </c>
      <c r="E119" t="s">
        <v>122</v>
      </c>
    </row>
    <row r="120" spans="1:5">
      <c r="A120">
        <f>HYPERLINK("http://www.twitter.com/realDonaldTrump/status/821441044097224704", "821441044097224704")</f>
        <v>0</v>
      </c>
      <c r="B120" s="2">
        <v>42752.8169097222</v>
      </c>
      <c r="C120">
        <v>0</v>
      </c>
      <c r="D120">
        <v>6911</v>
      </c>
      <c r="E120" t="s">
        <v>123</v>
      </c>
    </row>
    <row r="121" spans="1:5">
      <c r="A121">
        <f>HYPERLINK("http://www.twitter.com/realDonaldTrump/status/821415698278875137", "821415698278875137")</f>
        <v>0</v>
      </c>
      <c r="B121" s="2">
        <v>42752.7469675926</v>
      </c>
      <c r="C121">
        <v>105714</v>
      </c>
      <c r="D121">
        <v>21925</v>
      </c>
      <c r="E121" t="s">
        <v>124</v>
      </c>
    </row>
    <row r="122" spans="1:5">
      <c r="A122">
        <f>HYPERLINK("http://www.twitter.com/realDonaldTrump/status/821410947864653825", "821410947864653825")</f>
        <v>0</v>
      </c>
      <c r="B122" s="2">
        <v>42752.7338541667</v>
      </c>
      <c r="C122">
        <v>43534</v>
      </c>
      <c r="D122">
        <v>11656</v>
      </c>
      <c r="E122" t="s">
        <v>125</v>
      </c>
    </row>
    <row r="123" spans="1:5">
      <c r="A123">
        <f>HYPERLINK("http://www.twitter.com/realDonaldTrump/status/821369651968012288", "821369651968012288")</f>
        <v>0</v>
      </c>
      <c r="B123" s="2">
        <v>42752.6198958333</v>
      </c>
      <c r="C123">
        <v>65305</v>
      </c>
      <c r="D123">
        <v>14259</v>
      </c>
      <c r="E123" t="s">
        <v>126</v>
      </c>
    </row>
    <row r="124" spans="1:5">
      <c r="A124">
        <f>HYPERLINK("http://www.twitter.com/realDonaldTrump/status/821368088935432196", "821368088935432196")</f>
        <v>0</v>
      </c>
      <c r="B124" s="2">
        <v>42752.6155902778</v>
      </c>
      <c r="C124">
        <v>68108</v>
      </c>
      <c r="D124">
        <v>16539</v>
      </c>
      <c r="E124" t="s">
        <v>127</v>
      </c>
    </row>
    <row r="125" spans="1:5">
      <c r="A125">
        <f>HYPERLINK("http://www.twitter.com/realDonaldTrump/status/821365569366671360", "821365569366671360")</f>
        <v>0</v>
      </c>
      <c r="B125" s="2">
        <v>42752.6086342593</v>
      </c>
      <c r="C125">
        <v>57131</v>
      </c>
      <c r="D125">
        <v>10617</v>
      </c>
      <c r="E125" t="s">
        <v>128</v>
      </c>
    </row>
    <row r="126" spans="1:5">
      <c r="A126">
        <f>HYPERLINK("http://www.twitter.com/realDonaldTrump/status/821364027506966532", "821364027506966532")</f>
        <v>0</v>
      </c>
      <c r="B126" s="2">
        <v>42752.6043865741</v>
      </c>
      <c r="C126">
        <v>60067</v>
      </c>
      <c r="D126">
        <v>11227</v>
      </c>
      <c r="E126" t="s">
        <v>129</v>
      </c>
    </row>
    <row r="127" spans="1:5">
      <c r="A127">
        <f>HYPERLINK("http://www.twitter.com/realDonaldTrump/status/821344302651555840", "821344302651555840")</f>
        <v>0</v>
      </c>
      <c r="B127" s="2">
        <v>42752.5499537037</v>
      </c>
      <c r="C127">
        <v>108681</v>
      </c>
      <c r="D127">
        <v>24981</v>
      </c>
      <c r="E127" t="s">
        <v>130</v>
      </c>
    </row>
    <row r="128" spans="1:5">
      <c r="A128">
        <f>HYPERLINK("http://www.twitter.com/realDonaldTrump/status/821342600322043905", "821342600322043905")</f>
        <v>0</v>
      </c>
      <c r="B128" s="2">
        <v>42752.5452546296</v>
      </c>
      <c r="C128">
        <v>122865</v>
      </c>
      <c r="D128">
        <v>25492</v>
      </c>
      <c r="E128" t="s">
        <v>131</v>
      </c>
    </row>
    <row r="129" spans="1:5">
      <c r="A129">
        <f>HYPERLINK("http://www.twitter.com/realDonaldTrump/status/821177307708661761", "821177307708661761")</f>
        <v>0</v>
      </c>
      <c r="B129" s="2">
        <v>42752.0891319444</v>
      </c>
      <c r="C129">
        <v>47681</v>
      </c>
      <c r="D129">
        <v>8318</v>
      </c>
      <c r="E129" t="s">
        <v>132</v>
      </c>
    </row>
    <row r="130" spans="1:5">
      <c r="A130">
        <f>HYPERLINK("http://www.twitter.com/realDonaldTrump/status/821172595869577220", "821172595869577220")</f>
        <v>0</v>
      </c>
      <c r="B130" s="2">
        <v>42752.0761342593</v>
      </c>
      <c r="C130">
        <v>59193</v>
      </c>
      <c r="D130">
        <v>11794</v>
      </c>
      <c r="E130" t="s">
        <v>133</v>
      </c>
    </row>
    <row r="131" spans="1:5">
      <c r="A131">
        <f>HYPERLINK("http://www.twitter.com/realDonaldTrump/status/821170750983995392", "821170750983995392")</f>
        <v>0</v>
      </c>
      <c r="B131" s="2">
        <v>42752.0710416667</v>
      </c>
      <c r="C131">
        <v>62236</v>
      </c>
      <c r="D131">
        <v>12729</v>
      </c>
      <c r="E131" t="s">
        <v>134</v>
      </c>
    </row>
    <row r="132" spans="1:5">
      <c r="A132">
        <f>HYPERLINK("http://www.twitter.com/realDonaldTrump/status/820992721120854016", "820992721120854016")</f>
        <v>0</v>
      </c>
      <c r="B132" s="2">
        <v>42751.5797685185</v>
      </c>
      <c r="C132">
        <v>164096</v>
      </c>
      <c r="D132">
        <v>38851</v>
      </c>
      <c r="E132" t="s">
        <v>135</v>
      </c>
    </row>
    <row r="133" spans="1:5">
      <c r="A133">
        <f>HYPERLINK("http://www.twitter.com/realDonaldTrump/status/820789938887294977", "820789938887294977")</f>
        <v>0</v>
      </c>
      <c r="B133" s="2">
        <v>42751.0201967593</v>
      </c>
      <c r="C133">
        <v>60153</v>
      </c>
      <c r="D133">
        <v>14293</v>
      </c>
      <c r="E133" t="s">
        <v>136</v>
      </c>
    </row>
    <row r="134" spans="1:5">
      <c r="A134">
        <f>HYPERLINK("http://www.twitter.com/realDonaldTrump/status/820786730257285120", "820786730257285120")</f>
        <v>0</v>
      </c>
      <c r="B134" s="2">
        <v>42751.0113425926</v>
      </c>
      <c r="C134">
        <v>46237</v>
      </c>
      <c r="D134">
        <v>11669</v>
      </c>
      <c r="E134" t="s">
        <v>137</v>
      </c>
    </row>
    <row r="135" spans="1:5">
      <c r="A135">
        <f>HYPERLINK("http://www.twitter.com/realDonaldTrump/status/820764134857969666", "820764134857969666")</f>
        <v>0</v>
      </c>
      <c r="B135" s="2">
        <v>42750.9489930556</v>
      </c>
      <c r="C135">
        <v>86448</v>
      </c>
      <c r="D135">
        <v>19274</v>
      </c>
      <c r="E135" t="s">
        <v>138</v>
      </c>
    </row>
    <row r="136" spans="1:5">
      <c r="A136">
        <f>HYPERLINK("http://www.twitter.com/realDonaldTrump/status/820725491812487170", "820725491812487170")</f>
        <v>0</v>
      </c>
      <c r="B136" s="2">
        <v>42750.8423611111</v>
      </c>
      <c r="C136">
        <v>71764</v>
      </c>
      <c r="D136">
        <v>15610</v>
      </c>
      <c r="E136" t="s">
        <v>139</v>
      </c>
    </row>
    <row r="137" spans="1:5">
      <c r="A137">
        <f>HYPERLINK("http://www.twitter.com/realDonaldTrump/status/820723387995717632", "820723387995717632")</f>
        <v>0</v>
      </c>
      <c r="B137" s="2">
        <v>42750.8365509259</v>
      </c>
      <c r="C137">
        <v>71011</v>
      </c>
      <c r="D137">
        <v>16420</v>
      </c>
      <c r="E137" t="s">
        <v>140</v>
      </c>
    </row>
    <row r="138" spans="1:5">
      <c r="A138">
        <f>HYPERLINK("http://www.twitter.com/realDonaldTrump/status/820707210565132288", "820707210565132288")</f>
        <v>0</v>
      </c>
      <c r="B138" s="2">
        <v>42750.7919097222</v>
      </c>
      <c r="C138">
        <v>130552</v>
      </c>
      <c r="D138">
        <v>30196</v>
      </c>
      <c r="E138" t="s">
        <v>141</v>
      </c>
    </row>
    <row r="139" spans="1:5">
      <c r="A139">
        <f>HYPERLINK("http://www.twitter.com/realDonaldTrump/status/820632299037409280", "820632299037409280")</f>
        <v>0</v>
      </c>
      <c r="B139" s="2">
        <v>42750.5851967593</v>
      </c>
      <c r="C139">
        <v>79837</v>
      </c>
      <c r="D139">
        <v>15523</v>
      </c>
      <c r="E139" t="s">
        <v>142</v>
      </c>
    </row>
    <row r="140" spans="1:5">
      <c r="A140">
        <f>HYPERLINK("http://www.twitter.com/realDonaldTrump/status/820631495660408835", "820631495660408835")</f>
        <v>0</v>
      </c>
      <c r="B140" s="2">
        <v>42750.582974537</v>
      </c>
      <c r="C140">
        <v>80712</v>
      </c>
      <c r="D140">
        <v>16494</v>
      </c>
      <c r="E140" t="s">
        <v>143</v>
      </c>
    </row>
    <row r="141" spans="1:5">
      <c r="A141">
        <f>HYPERLINK("http://www.twitter.com/realDonaldTrump/status/820450166331346944", "820450166331346944")</f>
        <v>0</v>
      </c>
      <c r="B141" s="2">
        <v>42750.0826041667</v>
      </c>
      <c r="C141">
        <v>123777</v>
      </c>
      <c r="D141">
        <v>25786</v>
      </c>
      <c r="E141" t="s">
        <v>144</v>
      </c>
    </row>
    <row r="142" spans="1:5">
      <c r="A142">
        <f>HYPERLINK("http://www.twitter.com/realDonaldTrump/status/820425770925338624", "820425770925338624")</f>
        <v>0</v>
      </c>
      <c r="B142" s="2">
        <v>42750.0152893519</v>
      </c>
      <c r="C142">
        <v>97393</v>
      </c>
      <c r="D142">
        <v>22564</v>
      </c>
      <c r="E142" t="s">
        <v>145</v>
      </c>
    </row>
    <row r="143" spans="1:5">
      <c r="A143">
        <f>HYPERLINK("http://www.twitter.com/realDonaldTrump/status/820257714362314753", "820257714362314753")</f>
        <v>0</v>
      </c>
      <c r="B143" s="2">
        <v>42749.5515393519</v>
      </c>
      <c r="C143">
        <v>70015</v>
      </c>
      <c r="D143">
        <v>19480</v>
      </c>
      <c r="E143" t="s">
        <v>146</v>
      </c>
    </row>
    <row r="144" spans="1:5">
      <c r="A144">
        <f>HYPERLINK("http://www.twitter.com/realDonaldTrump/status/820255947956383744", "820255947956383744")</f>
        <v>0</v>
      </c>
      <c r="B144" s="2">
        <v>42749.5466666667</v>
      </c>
      <c r="C144">
        <v>78570</v>
      </c>
      <c r="D144">
        <v>16962</v>
      </c>
      <c r="E144" t="s">
        <v>147</v>
      </c>
    </row>
    <row r="145" spans="1:5">
      <c r="A145">
        <f>HYPERLINK("http://www.twitter.com/realDonaldTrump/status/820251730407473153", "820251730407473153")</f>
        <v>0</v>
      </c>
      <c r="B145" s="2">
        <v>42749.5350231481</v>
      </c>
      <c r="C145">
        <v>89875</v>
      </c>
      <c r="D145">
        <v>21519</v>
      </c>
      <c r="E145" t="s">
        <v>148</v>
      </c>
    </row>
    <row r="146" spans="1:5">
      <c r="A146">
        <f>HYPERLINK("http://www.twitter.com/realDonaldTrump/status/819962894616064001", "819962894616064001")</f>
        <v>0</v>
      </c>
      <c r="B146" s="2">
        <v>42748.7379861111</v>
      </c>
      <c r="C146">
        <v>111470</v>
      </c>
      <c r="D146">
        <v>21632</v>
      </c>
      <c r="E146" t="s">
        <v>149</v>
      </c>
    </row>
    <row r="147" spans="1:5">
      <c r="A147">
        <f>HYPERLINK("http://www.twitter.com/realDonaldTrump/status/819869953692155904", "819869953692155904")</f>
        <v>0</v>
      </c>
      <c r="B147" s="2">
        <v>42748.4815277778</v>
      </c>
      <c r="C147">
        <v>132427</v>
      </c>
      <c r="D147">
        <v>30779</v>
      </c>
      <c r="E147" t="s">
        <v>150</v>
      </c>
    </row>
    <row r="148" spans="1:5">
      <c r="A148">
        <f>HYPERLINK("http://www.twitter.com/realDonaldTrump/status/819868066364461058", "819868066364461058")</f>
        <v>0</v>
      </c>
      <c r="B148" s="2">
        <v>42748.4763194444</v>
      </c>
      <c r="C148">
        <v>68709</v>
      </c>
      <c r="D148">
        <v>13727</v>
      </c>
      <c r="E148" t="s">
        <v>151</v>
      </c>
    </row>
    <row r="149" spans="1:5">
      <c r="A149">
        <f>HYPERLINK("http://www.twitter.com/realDonaldTrump/status/819867246352801792", "819867246352801792")</f>
        <v>0</v>
      </c>
      <c r="B149" s="2">
        <v>42748.4740509259</v>
      </c>
      <c r="C149">
        <v>59296</v>
      </c>
      <c r="D149">
        <v>13025</v>
      </c>
      <c r="E149" t="s">
        <v>152</v>
      </c>
    </row>
    <row r="150" spans="1:5">
      <c r="A150">
        <f>HYPERLINK("http://www.twitter.com/realDonaldTrump/status/819865802849587200", "819865802849587200")</f>
        <v>0</v>
      </c>
      <c r="B150" s="2">
        <v>42748.4700694444</v>
      </c>
      <c r="C150">
        <v>54869</v>
      </c>
      <c r="D150">
        <v>12221</v>
      </c>
      <c r="E150" t="s">
        <v>153</v>
      </c>
    </row>
    <row r="151" spans="1:5">
      <c r="A151">
        <f>HYPERLINK("http://www.twitter.com/realDonaldTrump/status/819864373988573184", "819864373988573184")</f>
        <v>0</v>
      </c>
      <c r="B151" s="2">
        <v>42748.4661226852</v>
      </c>
      <c r="C151">
        <v>55723</v>
      </c>
      <c r="D151">
        <v>12710</v>
      </c>
      <c r="E151" t="s">
        <v>154</v>
      </c>
    </row>
    <row r="152" spans="1:5">
      <c r="A152">
        <f>HYPERLINK("http://www.twitter.com/realDonaldTrump/status/819863039902097408", "819863039902097408")</f>
        <v>0</v>
      </c>
      <c r="B152" s="2">
        <v>42748.4624421296</v>
      </c>
      <c r="C152">
        <v>74071</v>
      </c>
      <c r="D152">
        <v>17641</v>
      </c>
      <c r="E152" t="s">
        <v>155</v>
      </c>
    </row>
    <row r="153" spans="1:5">
      <c r="A153">
        <f>HYPERLINK("http://www.twitter.com/realDonaldTrump/status/819858926455967744", "819858926455967744")</f>
        <v>0</v>
      </c>
      <c r="B153" s="2">
        <v>42748.451087963</v>
      </c>
      <c r="C153">
        <v>82500</v>
      </c>
      <c r="D153">
        <v>16996</v>
      </c>
      <c r="E153" t="s">
        <v>156</v>
      </c>
    </row>
    <row r="154" spans="1:5">
      <c r="A154">
        <f>HYPERLINK("http://www.twitter.com/realDonaldTrump/status/819600124133474307", "819600124133474307")</f>
        <v>0</v>
      </c>
      <c r="B154" s="2">
        <v>42747.7369328704</v>
      </c>
      <c r="C154">
        <v>87722</v>
      </c>
      <c r="D154">
        <v>19760</v>
      </c>
      <c r="E154" t="s">
        <v>157</v>
      </c>
    </row>
    <row r="155" spans="1:5">
      <c r="A155">
        <f>HYPERLINK("http://www.twitter.com/realDonaldTrump/status/819550083742109696", "819550083742109696")</f>
        <v>0</v>
      </c>
      <c r="B155" s="2">
        <v>42747.5988541667</v>
      </c>
      <c r="C155">
        <v>130532</v>
      </c>
      <c r="D155">
        <v>36207</v>
      </c>
      <c r="E155" t="s">
        <v>158</v>
      </c>
    </row>
    <row r="156" spans="1:5">
      <c r="A156">
        <f>HYPERLINK("http://www.twitter.com/realDonaldTrump/status/819541997325316096", "819541997325316096")</f>
        <v>0</v>
      </c>
      <c r="B156" s="2">
        <v>42747.5765393519</v>
      </c>
      <c r="C156">
        <v>94434</v>
      </c>
      <c r="D156">
        <v>21908</v>
      </c>
      <c r="E156" t="s">
        <v>159</v>
      </c>
    </row>
    <row r="157" spans="1:5">
      <c r="A157">
        <f>HYPERLINK("http://www.twitter.com/realDonaldTrump/status/819520238446411777", "819520238446411777")</f>
        <v>0</v>
      </c>
      <c r="B157" s="2">
        <v>42747.5164930556</v>
      </c>
      <c r="C157">
        <v>73183</v>
      </c>
      <c r="D157">
        <v>17551</v>
      </c>
      <c r="E157" t="s">
        <v>160</v>
      </c>
    </row>
    <row r="158" spans="1:5">
      <c r="A158">
        <f>HYPERLINK("http://www.twitter.com/realDonaldTrump/status/819399723924803585", "819399723924803585")</f>
        <v>0</v>
      </c>
      <c r="B158" s="2">
        <v>42747.1839351852</v>
      </c>
      <c r="C158">
        <v>53293</v>
      </c>
      <c r="D158">
        <v>9570</v>
      </c>
      <c r="E158" t="s">
        <v>161</v>
      </c>
    </row>
    <row r="159" spans="1:5">
      <c r="A159">
        <f>HYPERLINK("http://www.twitter.com/realDonaldTrump/status/819393877174087682", "819393877174087682")</f>
        <v>0</v>
      </c>
      <c r="B159" s="2">
        <v>42747.1678009259</v>
      </c>
      <c r="C159">
        <v>120356</v>
      </c>
      <c r="D159">
        <v>28865</v>
      </c>
      <c r="E159" t="s">
        <v>162</v>
      </c>
    </row>
    <row r="160" spans="1:5">
      <c r="A160">
        <f>HYPERLINK("http://www.twitter.com/realDonaldTrump/status/819164172781060096", "819164172781060096")</f>
        <v>0</v>
      </c>
      <c r="B160" s="2">
        <v>42746.5339351852</v>
      </c>
      <c r="C160">
        <v>110398</v>
      </c>
      <c r="D160">
        <v>32181</v>
      </c>
      <c r="E160" t="s">
        <v>163</v>
      </c>
    </row>
    <row r="161" spans="1:5">
      <c r="A161">
        <f>HYPERLINK("http://www.twitter.com/realDonaldTrump/status/819162968592183298", "819162968592183298")</f>
        <v>0</v>
      </c>
      <c r="B161" s="2">
        <v>42746.5306134259</v>
      </c>
      <c r="C161">
        <v>117662</v>
      </c>
      <c r="D161">
        <v>29361</v>
      </c>
      <c r="E161" t="s">
        <v>164</v>
      </c>
    </row>
    <row r="162" spans="1:5">
      <c r="A162">
        <f>HYPERLINK("http://www.twitter.com/realDonaldTrump/status/819159806489591809", "819159806489591809")</f>
        <v>0</v>
      </c>
      <c r="B162" s="2">
        <v>42746.5218865741</v>
      </c>
      <c r="C162">
        <v>87229</v>
      </c>
      <c r="D162">
        <v>23741</v>
      </c>
      <c r="E162" t="s">
        <v>165</v>
      </c>
    </row>
    <row r="163" spans="1:5">
      <c r="A163">
        <f>HYPERLINK("http://www.twitter.com/realDonaldTrump/status/819155311793700865", "819155311793700865")</f>
        <v>0</v>
      </c>
      <c r="B163" s="2">
        <v>42746.5094907407</v>
      </c>
      <c r="C163">
        <v>67627</v>
      </c>
      <c r="D163">
        <v>17902</v>
      </c>
      <c r="E163" t="s">
        <v>166</v>
      </c>
    </row>
    <row r="164" spans="1:5">
      <c r="A164">
        <f>HYPERLINK("http://www.twitter.com/realDonaldTrump/status/819000924207251456", "819000924207251456")</f>
        <v>0</v>
      </c>
      <c r="B164" s="2">
        <v>42746.0834606482</v>
      </c>
      <c r="C164">
        <v>46385</v>
      </c>
      <c r="D164">
        <v>15404</v>
      </c>
      <c r="E164" t="s">
        <v>167</v>
      </c>
    </row>
    <row r="165" spans="1:5">
      <c r="A165">
        <f>HYPERLINK("http://www.twitter.com/realDonaldTrump/status/818994757569564673", "818994757569564673")</f>
        <v>0</v>
      </c>
      <c r="B165" s="2">
        <v>42746.0664467593</v>
      </c>
      <c r="C165">
        <v>0</v>
      </c>
      <c r="D165">
        <v>11336</v>
      </c>
      <c r="E165" t="s">
        <v>168</v>
      </c>
    </row>
    <row r="166" spans="1:5">
      <c r="A166">
        <f>HYPERLINK("http://www.twitter.com/realDonaldTrump/status/818990655418617856", "818990655418617856")</f>
        <v>0</v>
      </c>
      <c r="B166" s="2">
        <v>42746.0551273148</v>
      </c>
      <c r="C166">
        <v>96465</v>
      </c>
      <c r="D166">
        <v>30157</v>
      </c>
      <c r="E166" t="s">
        <v>169</v>
      </c>
    </row>
    <row r="167" spans="1:5">
      <c r="A167">
        <f>HYPERLINK("http://www.twitter.com/realDonaldTrump/status/818948254943604736", "818948254943604736")</f>
        <v>0</v>
      </c>
      <c r="B167" s="2">
        <v>42745.9381134259</v>
      </c>
      <c r="C167">
        <v>44173</v>
      </c>
      <c r="D167">
        <v>10673</v>
      </c>
      <c r="E167" t="s">
        <v>170</v>
      </c>
    </row>
    <row r="168" spans="1:5">
      <c r="A168">
        <f>HYPERLINK("http://www.twitter.com/realDonaldTrump/status/818922995980845056", "818922995980845056")</f>
        <v>0</v>
      </c>
      <c r="B168" s="2">
        <v>42745.8684143519</v>
      </c>
      <c r="C168">
        <v>50584</v>
      </c>
      <c r="D168">
        <v>12054</v>
      </c>
      <c r="E168" t="s">
        <v>171</v>
      </c>
    </row>
    <row r="169" spans="1:5">
      <c r="A169">
        <f>HYPERLINK("http://www.twitter.com/realDonaldTrump/status/818841421364989952", "818841421364989952")</f>
        <v>0</v>
      </c>
      <c r="B169" s="2">
        <v>42745.6433101852</v>
      </c>
      <c r="C169">
        <v>42778</v>
      </c>
      <c r="D169">
        <v>11403</v>
      </c>
      <c r="E169" t="s">
        <v>172</v>
      </c>
    </row>
    <row r="170" spans="1:5">
      <c r="A170">
        <f>HYPERLINK("http://www.twitter.com/realDonaldTrump/status/818643528905621504", "818643528905621504")</f>
        <v>0</v>
      </c>
      <c r="B170" s="2">
        <v>42745.0972337963</v>
      </c>
      <c r="C170">
        <v>94574</v>
      </c>
      <c r="D170">
        <v>23510</v>
      </c>
      <c r="E170" t="s">
        <v>173</v>
      </c>
    </row>
    <row r="171" spans="1:5">
      <c r="A171">
        <f>HYPERLINK("http://www.twitter.com/realDonaldTrump/status/818586286034485250", "818586286034485250")</f>
        <v>0</v>
      </c>
      <c r="B171" s="2">
        <v>42744.9392708333</v>
      </c>
      <c r="C171">
        <v>125670</v>
      </c>
      <c r="D171">
        <v>25461</v>
      </c>
      <c r="E171" t="s">
        <v>174</v>
      </c>
    </row>
    <row r="172" spans="1:5">
      <c r="A172">
        <f>HYPERLINK("http://www.twitter.com/realDonaldTrump/status/818461467766824961", "818461467766824961")</f>
        <v>0</v>
      </c>
      <c r="B172" s="2">
        <v>42744.594837963</v>
      </c>
      <c r="C172">
        <v>111748</v>
      </c>
      <c r="D172">
        <v>23980</v>
      </c>
      <c r="E172" t="s">
        <v>175</v>
      </c>
    </row>
    <row r="173" spans="1:5">
      <c r="A173">
        <f>HYPERLINK("http://www.twitter.com/realDonaldTrump/status/818460862675558400", "818460862675558400")</f>
        <v>0</v>
      </c>
      <c r="B173" s="2">
        <v>42744.5931712963</v>
      </c>
      <c r="C173">
        <v>102864</v>
      </c>
      <c r="D173">
        <v>23875</v>
      </c>
      <c r="E173" t="s">
        <v>176</v>
      </c>
    </row>
    <row r="174" spans="1:5">
      <c r="A174">
        <f>HYPERLINK("http://www.twitter.com/realDonaldTrump/status/818422930157830144", "818422930157830144")</f>
        <v>0</v>
      </c>
      <c r="B174" s="2">
        <v>42744.4884953704</v>
      </c>
      <c r="C174">
        <v>70712</v>
      </c>
      <c r="D174">
        <v>16505</v>
      </c>
      <c r="E174" t="s">
        <v>177</v>
      </c>
    </row>
    <row r="175" spans="1:5">
      <c r="A175">
        <f>HYPERLINK("http://www.twitter.com/realDonaldTrump/status/818421066859167746", "818421066859167746")</f>
        <v>0</v>
      </c>
      <c r="B175" s="2">
        <v>42744.4833564815</v>
      </c>
      <c r="C175">
        <v>86042</v>
      </c>
      <c r="D175">
        <v>21922</v>
      </c>
      <c r="E175" t="s">
        <v>178</v>
      </c>
    </row>
    <row r="176" spans="1:5">
      <c r="A176">
        <f>HYPERLINK("http://www.twitter.com/realDonaldTrump/status/818419002548568064", "818419002548568064")</f>
        <v>0</v>
      </c>
      <c r="B176" s="2">
        <v>42744.477662037</v>
      </c>
      <c r="C176">
        <v>125909</v>
      </c>
      <c r="D176">
        <v>38575</v>
      </c>
      <c r="E176" t="s">
        <v>179</v>
      </c>
    </row>
    <row r="177" spans="1:5">
      <c r="A177">
        <f>HYPERLINK("http://www.twitter.com/realDonaldTrump/status/818416446527172608", "818416446527172608")</f>
        <v>0</v>
      </c>
      <c r="B177" s="2">
        <v>42744.4706018519</v>
      </c>
      <c r="C177">
        <v>38444</v>
      </c>
      <c r="D177">
        <v>7432</v>
      </c>
      <c r="E177" t="s">
        <v>180</v>
      </c>
    </row>
    <row r="178" spans="1:5">
      <c r="A178">
        <f>HYPERLINK("http://www.twitter.com/realDonaldTrump/status/818307689323368448", "818307689323368448")</f>
        <v>0</v>
      </c>
      <c r="B178" s="2">
        <v>42744.1704976852</v>
      </c>
      <c r="C178">
        <v>80099</v>
      </c>
      <c r="D178">
        <v>19623</v>
      </c>
      <c r="E178" t="s">
        <v>181</v>
      </c>
    </row>
    <row r="179" spans="1:5">
      <c r="A179">
        <f>HYPERLINK("http://www.twitter.com/realDonaldTrump/status/818169485169410048", "818169485169410048")</f>
        <v>0</v>
      </c>
      <c r="B179" s="2">
        <v>42743.7891203704</v>
      </c>
      <c r="C179">
        <v>75685</v>
      </c>
      <c r="D179">
        <v>21018</v>
      </c>
      <c r="E179" t="s">
        <v>182</v>
      </c>
    </row>
    <row r="180" spans="1:5">
      <c r="A180">
        <f>HYPERLINK("http://www.twitter.com/realDonaldTrump/status/818139647687753733", "818139647687753733")</f>
        <v>0</v>
      </c>
      <c r="B180" s="2">
        <v>42743.7067824074</v>
      </c>
      <c r="C180">
        <v>0</v>
      </c>
      <c r="D180">
        <v>6794</v>
      </c>
      <c r="E180" t="s">
        <v>183</v>
      </c>
    </row>
    <row r="181" spans="1:5">
      <c r="A181">
        <f>HYPERLINK("http://www.twitter.com/realDonaldTrump/status/818136714396975104", "818136714396975104")</f>
        <v>0</v>
      </c>
      <c r="B181" s="2">
        <v>42743.6986921296</v>
      </c>
      <c r="C181">
        <v>59459</v>
      </c>
      <c r="D181">
        <v>18351</v>
      </c>
      <c r="E181" t="s">
        <v>184</v>
      </c>
    </row>
    <row r="182" spans="1:5">
      <c r="A182">
        <f>HYPERLINK("http://www.twitter.com/realDonaldTrump/status/818134981344165888", "818134981344165888")</f>
        <v>0</v>
      </c>
      <c r="B182" s="2">
        <v>42743.693912037</v>
      </c>
      <c r="C182">
        <v>35724</v>
      </c>
      <c r="D182">
        <v>8171</v>
      </c>
      <c r="E182" t="s">
        <v>185</v>
      </c>
    </row>
    <row r="183" spans="1:5">
      <c r="A183">
        <f>HYPERLINK("http://www.twitter.com/realDonaldTrump/status/818134360712953858", "818134360712953858")</f>
        <v>0</v>
      </c>
      <c r="B183" s="2">
        <v>42743.6921990741</v>
      </c>
      <c r="C183">
        <v>29188</v>
      </c>
      <c r="D183">
        <v>5504</v>
      </c>
      <c r="E183" t="s">
        <v>186</v>
      </c>
    </row>
    <row r="184" spans="1:5">
      <c r="A184">
        <f>HYPERLINK("http://www.twitter.com/realDonaldTrump/status/817915516018892805", "817915516018892805")</f>
        <v>0</v>
      </c>
      <c r="B184" s="2">
        <v>42743.0882986111</v>
      </c>
      <c r="C184">
        <v>87018</v>
      </c>
      <c r="D184">
        <v>17710</v>
      </c>
      <c r="E184" t="s">
        <v>187</v>
      </c>
    </row>
    <row r="185" spans="1:5">
      <c r="A185">
        <f>HYPERLINK("http://www.twitter.com/realDonaldTrump/status/817882028272128001", "817882028272128001")</f>
        <v>0</v>
      </c>
      <c r="B185" s="2">
        <v>42742.9958912037</v>
      </c>
      <c r="C185">
        <v>66519</v>
      </c>
      <c r="D185">
        <v>12389</v>
      </c>
      <c r="E185" t="s">
        <v>188</v>
      </c>
    </row>
    <row r="186" spans="1:5">
      <c r="A186">
        <f>HYPERLINK("http://www.twitter.com/realDonaldTrump/status/817753083707015168", "817753083707015168")</f>
        <v>0</v>
      </c>
      <c r="B186" s="2">
        <v>42742.6400694444</v>
      </c>
      <c r="C186">
        <v>71626</v>
      </c>
      <c r="D186">
        <v>16726</v>
      </c>
      <c r="E186" t="s">
        <v>189</v>
      </c>
    </row>
    <row r="187" spans="1:5">
      <c r="A187">
        <f>HYPERLINK("http://www.twitter.com/realDonaldTrump/status/817750330196819968", "817750330196819968")</f>
        <v>0</v>
      </c>
      <c r="B187" s="2">
        <v>42742.6324768519</v>
      </c>
      <c r="C187">
        <v>80054</v>
      </c>
      <c r="D187">
        <v>19106</v>
      </c>
      <c r="E187" t="s">
        <v>190</v>
      </c>
    </row>
    <row r="188" spans="1:5">
      <c r="A188">
        <f>HYPERLINK("http://www.twitter.com/realDonaldTrump/status/817748207694467072", "817748207694467072")</f>
        <v>0</v>
      </c>
      <c r="B188" s="2">
        <v>42742.6266203704</v>
      </c>
      <c r="C188">
        <v>103206</v>
      </c>
      <c r="D188">
        <v>30144</v>
      </c>
      <c r="E188" t="s">
        <v>191</v>
      </c>
    </row>
    <row r="189" spans="1:5">
      <c r="A189">
        <f>HYPERLINK("http://www.twitter.com/realDonaldTrump/status/817703208567078913", "817703208567078913")</f>
        <v>0</v>
      </c>
      <c r="B189" s="2">
        <v>42742.5024421296</v>
      </c>
      <c r="C189">
        <v>85818</v>
      </c>
      <c r="D189">
        <v>20223</v>
      </c>
      <c r="E189" t="s">
        <v>192</v>
      </c>
    </row>
    <row r="190" spans="1:5">
      <c r="A190">
        <f>HYPERLINK("http://www.twitter.com/realDonaldTrump/status/817701436096126977", "817701436096126977")</f>
        <v>0</v>
      </c>
      <c r="B190" s="2">
        <v>42742.4975578704</v>
      </c>
      <c r="C190">
        <v>70538</v>
      </c>
      <c r="D190">
        <v>18688</v>
      </c>
      <c r="E190" t="s">
        <v>193</v>
      </c>
    </row>
    <row r="191" spans="1:5">
      <c r="A191">
        <f>HYPERLINK("http://www.twitter.com/realDonaldTrump/status/817579925771341825", "817579925771341825")</f>
        <v>0</v>
      </c>
      <c r="B191" s="2">
        <v>42742.1622453704</v>
      </c>
      <c r="C191">
        <v>69220</v>
      </c>
      <c r="D191">
        <v>16772</v>
      </c>
      <c r="E191" t="s">
        <v>194</v>
      </c>
    </row>
    <row r="192" spans="1:5">
      <c r="A192">
        <f>HYPERLINK("http://www.twitter.com/realDonaldTrump/status/817522928862502913", "817522928862502913")</f>
        <v>0</v>
      </c>
      <c r="B192" s="2">
        <v>42742.0049652778</v>
      </c>
      <c r="C192">
        <v>49213</v>
      </c>
      <c r="D192">
        <v>7871</v>
      </c>
      <c r="E192" t="s">
        <v>195</v>
      </c>
    </row>
    <row r="193" spans="1:5">
      <c r="A193">
        <f>HYPERLINK("http://www.twitter.com/realDonaldTrump/status/817453219613917185", "817453219613917185")</f>
        <v>0</v>
      </c>
      <c r="B193" s="2">
        <v>42741.8126041667</v>
      </c>
      <c r="C193">
        <v>98372</v>
      </c>
      <c r="D193">
        <v>22748</v>
      </c>
      <c r="E193" t="s">
        <v>196</v>
      </c>
    </row>
    <row r="194" spans="1:5">
      <c r="A194">
        <f>HYPERLINK("http://www.twitter.com/realDonaldTrump/status/817413321058029568", "817413321058029568")</f>
        <v>0</v>
      </c>
      <c r="B194" s="2">
        <v>42741.7025115741</v>
      </c>
      <c r="C194">
        <v>94619</v>
      </c>
      <c r="D194">
        <v>26453</v>
      </c>
      <c r="E194" t="s">
        <v>197</v>
      </c>
    </row>
    <row r="195" spans="1:5">
      <c r="A195">
        <f>HYPERLINK("http://www.twitter.com/realDonaldTrump/status/817374875962769408", "817374875962769408")</f>
        <v>0</v>
      </c>
      <c r="B195" s="2">
        <v>42741.5964236111</v>
      </c>
      <c r="C195">
        <v>35612</v>
      </c>
      <c r="D195">
        <v>6596</v>
      </c>
      <c r="E195" t="s">
        <v>198</v>
      </c>
    </row>
    <row r="196" spans="1:5">
      <c r="A196">
        <f>HYPERLINK("http://www.twitter.com/realDonaldTrump/status/817350726800306177", "817350726800306177")</f>
        <v>0</v>
      </c>
      <c r="B196" s="2">
        <v>42741.5297800926</v>
      </c>
      <c r="C196">
        <v>41881</v>
      </c>
      <c r="D196">
        <v>9012</v>
      </c>
      <c r="E196" t="s">
        <v>199</v>
      </c>
    </row>
    <row r="197" spans="1:5">
      <c r="A197">
        <f>HYPERLINK("http://www.twitter.com/realDonaldTrump/status/817348644647108609", "817348644647108609")</f>
        <v>0</v>
      </c>
      <c r="B197" s="2">
        <v>42741.5240393519</v>
      </c>
      <c r="C197">
        <v>39771</v>
      </c>
      <c r="D197">
        <v>9520</v>
      </c>
      <c r="E197" t="s">
        <v>200</v>
      </c>
    </row>
    <row r="198" spans="1:5">
      <c r="A198">
        <f>HYPERLINK("http://www.twitter.com/realDonaldTrump/status/817341196251070464", "817341196251070464")</f>
        <v>0</v>
      </c>
      <c r="B198" s="2">
        <v>42741.5034837963</v>
      </c>
      <c r="C198">
        <v>67510</v>
      </c>
      <c r="D198">
        <v>14710</v>
      </c>
      <c r="E198" t="s">
        <v>201</v>
      </c>
    </row>
    <row r="199" spans="1:5">
      <c r="A199">
        <f>HYPERLINK("http://www.twitter.com/realDonaldTrump/status/817336355193753600", "817336355193753600")</f>
        <v>0</v>
      </c>
      <c r="B199" s="2">
        <v>42741.4901273148</v>
      </c>
      <c r="C199">
        <v>42438</v>
      </c>
      <c r="D199">
        <v>8440</v>
      </c>
      <c r="E199" t="s">
        <v>202</v>
      </c>
    </row>
    <row r="200" spans="1:5">
      <c r="A200">
        <f>HYPERLINK("http://www.twitter.com/realDonaldTrump/status/817334794958807042", "817334794958807042")</f>
        <v>0</v>
      </c>
      <c r="B200" s="2">
        <v>42741.4858217593</v>
      </c>
      <c r="C200">
        <v>52436</v>
      </c>
      <c r="D200">
        <v>10790</v>
      </c>
      <c r="E200" t="s">
        <v>203</v>
      </c>
    </row>
    <row r="201" spans="1:5">
      <c r="A201">
        <f>HYPERLINK("http://www.twitter.com/realDonaldTrump/status/817329823374831617", "817329823374831617")</f>
        <v>0</v>
      </c>
      <c r="B201" s="2">
        <v>42741.4720949074</v>
      </c>
      <c r="C201">
        <v>67269</v>
      </c>
      <c r="D201">
        <v>19566</v>
      </c>
      <c r="E201" t="s">
        <v>204</v>
      </c>
    </row>
    <row r="202" spans="1:5">
      <c r="A202">
        <f>HYPERLINK("http://www.twitter.com/realDonaldTrump/status/817168818539757568", "817168818539757568")</f>
        <v>0</v>
      </c>
      <c r="B202" s="2">
        <v>42741.0278125</v>
      </c>
      <c r="C202">
        <v>72515</v>
      </c>
      <c r="D202">
        <v>21147</v>
      </c>
      <c r="E202" t="s">
        <v>205</v>
      </c>
    </row>
    <row r="203" spans="1:5">
      <c r="A203">
        <f>HYPERLINK("http://www.twitter.com/realDonaldTrump/status/817166353266262016", "817166353266262016")</f>
        <v>0</v>
      </c>
      <c r="B203" s="2">
        <v>42741.0210069444</v>
      </c>
      <c r="C203">
        <v>58368</v>
      </c>
      <c r="D203">
        <v>19128</v>
      </c>
      <c r="E203" t="s">
        <v>206</v>
      </c>
    </row>
    <row r="204" spans="1:5">
      <c r="A204">
        <f>HYPERLINK("http://www.twitter.com/realDonaldTrump/status/817164923843280896", "817164923843280896")</f>
        <v>0</v>
      </c>
      <c r="B204" s="2">
        <v>42741.0170601852</v>
      </c>
      <c r="C204">
        <v>69539</v>
      </c>
      <c r="D204">
        <v>21039</v>
      </c>
      <c r="E204" t="s">
        <v>207</v>
      </c>
    </row>
    <row r="205" spans="1:5">
      <c r="A205">
        <f>HYPERLINK("http://www.twitter.com/realDonaldTrump/status/817071792711942145", "817071792711942145")</f>
        <v>0</v>
      </c>
      <c r="B205" s="2">
        <v>42740.7600694444</v>
      </c>
      <c r="C205">
        <v>110220</v>
      </c>
      <c r="D205">
        <v>33083</v>
      </c>
      <c r="E205" t="s">
        <v>208</v>
      </c>
    </row>
    <row r="206" spans="1:5">
      <c r="A206">
        <f>HYPERLINK("http://www.twitter.com/realDonaldTrump/status/817004210529116160", "817004210529116160")</f>
        <v>0</v>
      </c>
      <c r="B206" s="2">
        <v>42740.5735763889</v>
      </c>
      <c r="C206">
        <v>69281</v>
      </c>
      <c r="D206">
        <v>15674</v>
      </c>
      <c r="E206" t="s">
        <v>209</v>
      </c>
    </row>
    <row r="207" spans="1:5">
      <c r="A207">
        <f>HYPERLINK("http://www.twitter.com/realDonaldTrump/status/816999062562107392", "816999062562107392")</f>
        <v>0</v>
      </c>
      <c r="B207" s="2">
        <v>42740.559375</v>
      </c>
      <c r="C207">
        <v>63755</v>
      </c>
      <c r="D207">
        <v>16673</v>
      </c>
      <c r="E207" t="s">
        <v>210</v>
      </c>
    </row>
    <row r="208" spans="1:5">
      <c r="A208">
        <f>HYPERLINK("http://www.twitter.com/realDonaldTrump/status/816979231217483776", "816979231217483776")</f>
        <v>0</v>
      </c>
      <c r="B208" s="2">
        <v>42740.5046527778</v>
      </c>
      <c r="C208">
        <v>79723</v>
      </c>
      <c r="D208">
        <v>16902</v>
      </c>
      <c r="E208" t="s">
        <v>211</v>
      </c>
    </row>
    <row r="209" spans="1:5">
      <c r="A209">
        <f>HYPERLINK("http://www.twitter.com/realDonaldTrump/status/816977937731878912", "816977937731878912")</f>
        <v>0</v>
      </c>
      <c r="B209" s="2">
        <v>42740.5010763889</v>
      </c>
      <c r="C209">
        <v>52742</v>
      </c>
      <c r="D209">
        <v>12519</v>
      </c>
      <c r="E209" t="s">
        <v>212</v>
      </c>
    </row>
    <row r="210" spans="1:5">
      <c r="A210">
        <f>HYPERLINK("http://www.twitter.com/realDonaldTrump/status/816977032433270784", "816977032433270784")</f>
        <v>0</v>
      </c>
      <c r="B210" s="2">
        <v>42740.4985763889</v>
      </c>
      <c r="C210">
        <v>54397</v>
      </c>
      <c r="D210">
        <v>13370</v>
      </c>
      <c r="E210" t="s">
        <v>213</v>
      </c>
    </row>
    <row r="211" spans="1:5">
      <c r="A211">
        <f>HYPERLINK("http://www.twitter.com/realDonaldTrump/status/816718880731234304", "816718880731234304")</f>
        <v>0</v>
      </c>
      <c r="B211" s="2">
        <v>42739.7862152778</v>
      </c>
      <c r="C211">
        <v>81201</v>
      </c>
      <c r="D211">
        <v>17473</v>
      </c>
      <c r="E211" t="s">
        <v>214</v>
      </c>
    </row>
    <row r="212" spans="1:5">
      <c r="A212">
        <f>HYPERLINK("http://www.twitter.com/realDonaldTrump/status/816652088662958082", "816652088662958082")</f>
        <v>0</v>
      </c>
      <c r="B212" s="2">
        <v>42739.6019097222</v>
      </c>
      <c r="C212">
        <v>55742</v>
      </c>
      <c r="D212">
        <v>13859</v>
      </c>
      <c r="E212" t="s">
        <v>215</v>
      </c>
    </row>
    <row r="213" spans="1:5">
      <c r="A213">
        <f>HYPERLINK("http://www.twitter.com/realDonaldTrump/status/816645831659061248", "816645831659061248")</f>
        <v>0</v>
      </c>
      <c r="B213" s="2">
        <v>42739.5846412037</v>
      </c>
      <c r="C213">
        <v>47447</v>
      </c>
      <c r="D213">
        <v>11446</v>
      </c>
      <c r="E213" t="s">
        <v>216</v>
      </c>
    </row>
    <row r="214" spans="1:5">
      <c r="A214">
        <f>HYPERLINK("http://www.twitter.com/realDonaldTrump/status/816644321768312832", "816644321768312832")</f>
        <v>0</v>
      </c>
      <c r="B214" s="2">
        <v>42739.580474537</v>
      </c>
      <c r="C214">
        <v>47190</v>
      </c>
      <c r="D214">
        <v>11375</v>
      </c>
      <c r="E214" t="s">
        <v>217</v>
      </c>
    </row>
    <row r="215" spans="1:5">
      <c r="A215">
        <f>HYPERLINK("http://www.twitter.com/realDonaldTrump/status/816638194468999169", "816638194468999169")</f>
        <v>0</v>
      </c>
      <c r="B215" s="2">
        <v>42739.5635648148</v>
      </c>
      <c r="C215">
        <v>47609</v>
      </c>
      <c r="D215">
        <v>10988</v>
      </c>
      <c r="E215" t="s">
        <v>218</v>
      </c>
    </row>
    <row r="216" spans="1:5">
      <c r="A216">
        <f>HYPERLINK("http://www.twitter.com/realDonaldTrump/status/816637064708030464", "816637064708030464")</f>
        <v>0</v>
      </c>
      <c r="B216" s="2">
        <v>42739.5604513889</v>
      </c>
      <c r="C216">
        <v>43560</v>
      </c>
      <c r="D216">
        <v>10497</v>
      </c>
      <c r="E216" t="s">
        <v>219</v>
      </c>
    </row>
    <row r="217" spans="1:5">
      <c r="A217">
        <f>HYPERLINK("http://www.twitter.com/realDonaldTrump/status/816635078067490816", "816635078067490816")</f>
        <v>0</v>
      </c>
      <c r="B217" s="2">
        <v>42739.5549652778</v>
      </c>
      <c r="C217">
        <v>88385</v>
      </c>
      <c r="D217">
        <v>20057</v>
      </c>
      <c r="E217" t="s">
        <v>220</v>
      </c>
    </row>
    <row r="218" spans="1:5">
      <c r="A218">
        <f>HYPERLINK("http://www.twitter.com/realDonaldTrump/status/816632793862176769", "816632793862176769")</f>
        <v>0</v>
      </c>
      <c r="B218" s="2">
        <v>42739.5486689815</v>
      </c>
      <c r="C218">
        <v>43011</v>
      </c>
      <c r="D218">
        <v>15133</v>
      </c>
      <c r="E218" t="s">
        <v>221</v>
      </c>
    </row>
    <row r="219" spans="1:5">
      <c r="A219">
        <f>HYPERLINK("http://www.twitter.com/realDonaldTrump/status/816620855958601730", "816620855958601730")</f>
        <v>0</v>
      </c>
      <c r="B219" s="2">
        <v>42739.5157175926</v>
      </c>
      <c r="C219">
        <v>62402</v>
      </c>
      <c r="D219">
        <v>18533</v>
      </c>
      <c r="E219" t="s">
        <v>222</v>
      </c>
    </row>
    <row r="220" spans="1:5">
      <c r="A220">
        <f>HYPERLINK("http://www.twitter.com/realDonaldTrump/status/816452807024840704", "816452807024840704")</f>
        <v>0</v>
      </c>
      <c r="B220" s="2">
        <v>42739.0519907407</v>
      </c>
      <c r="C220">
        <v>81977</v>
      </c>
      <c r="D220">
        <v>24026</v>
      </c>
      <c r="E220" t="s">
        <v>223</v>
      </c>
    </row>
    <row r="221" spans="1:5">
      <c r="A221">
        <f>HYPERLINK("http://www.twitter.com/realDonaldTrump/status/816433590892429312", "816433590892429312")</f>
        <v>0</v>
      </c>
      <c r="B221" s="2">
        <v>42738.9989699074</v>
      </c>
      <c r="C221">
        <v>59505</v>
      </c>
      <c r="D221">
        <v>14966</v>
      </c>
      <c r="E221" t="s">
        <v>224</v>
      </c>
    </row>
    <row r="222" spans="1:5">
      <c r="A222">
        <f>HYPERLINK("http://www.twitter.com/realDonaldTrump/status/816354639859871745", "816354639859871745")</f>
        <v>0</v>
      </c>
      <c r="B222" s="2">
        <v>42738.781099537</v>
      </c>
      <c r="C222">
        <v>54240</v>
      </c>
      <c r="D222">
        <v>14377</v>
      </c>
      <c r="E222" t="s">
        <v>225</v>
      </c>
    </row>
    <row r="223" spans="1:5">
      <c r="A223">
        <f>HYPERLINK("http://www.twitter.com/realDonaldTrump/status/816333480409833472", "816333480409833472")</f>
        <v>0</v>
      </c>
      <c r="B223" s="2">
        <v>42738.7227199074</v>
      </c>
      <c r="C223">
        <v>84501</v>
      </c>
      <c r="D223">
        <v>21090</v>
      </c>
      <c r="E223" t="s">
        <v>226</v>
      </c>
    </row>
    <row r="224" spans="1:5">
      <c r="A224">
        <f>HYPERLINK("http://www.twitter.com/realDonaldTrump/status/816328314759606272", "816328314759606272")</f>
        <v>0</v>
      </c>
      <c r="B224" s="2">
        <v>42738.7084606482</v>
      </c>
      <c r="C224">
        <v>55721</v>
      </c>
      <c r="D224">
        <v>12969</v>
      </c>
      <c r="E224" t="s">
        <v>227</v>
      </c>
    </row>
    <row r="225" spans="1:5">
      <c r="A225">
        <f>HYPERLINK("http://www.twitter.com/realDonaldTrump/status/816324295781740544", "816324295781740544")</f>
        <v>0</v>
      </c>
      <c r="B225" s="2">
        <v>42738.6973726852</v>
      </c>
      <c r="C225">
        <v>53962</v>
      </c>
      <c r="D225">
        <v>15979</v>
      </c>
      <c r="E225" t="s">
        <v>228</v>
      </c>
    </row>
    <row r="226" spans="1:5">
      <c r="A226">
        <f>HYPERLINK("http://www.twitter.com/realDonaldTrump/status/816300003442495488", "816300003442495488")</f>
        <v>0</v>
      </c>
      <c r="B226" s="2">
        <v>42738.6303356482</v>
      </c>
      <c r="C226">
        <v>43639</v>
      </c>
      <c r="D226">
        <v>9749</v>
      </c>
      <c r="E226" t="s">
        <v>229</v>
      </c>
    </row>
    <row r="227" spans="1:5">
      <c r="A227">
        <f>HYPERLINK("http://www.twitter.com/realDonaldTrump/status/816298944456232960", "816298944456232960")</f>
        <v>0</v>
      </c>
      <c r="B227" s="2">
        <v>42738.6274189815</v>
      </c>
      <c r="C227">
        <v>43909</v>
      </c>
      <c r="D227">
        <v>11087</v>
      </c>
      <c r="E227" t="s">
        <v>230</v>
      </c>
    </row>
    <row r="228" spans="1:5">
      <c r="A228">
        <f>HYPERLINK("http://www.twitter.com/realDonaldTrump/status/816265668958031872", "816265668958031872")</f>
        <v>0</v>
      </c>
      <c r="B228" s="2">
        <v>42738.5355902778</v>
      </c>
      <c r="C228">
        <v>54431</v>
      </c>
      <c r="D228">
        <v>12863</v>
      </c>
      <c r="E228" t="s">
        <v>231</v>
      </c>
    </row>
    <row r="229" spans="1:5">
      <c r="A229">
        <f>HYPERLINK("http://www.twitter.com/realDonaldTrump/status/816264484629184513", "816264484629184513")</f>
        <v>0</v>
      </c>
      <c r="B229" s="2">
        <v>42738.5323263889</v>
      </c>
      <c r="C229">
        <v>59979</v>
      </c>
      <c r="D229">
        <v>14776</v>
      </c>
      <c r="E229" t="s">
        <v>232</v>
      </c>
    </row>
    <row r="230" spans="1:5">
      <c r="A230">
        <f>HYPERLINK("http://www.twitter.com/realDonaldTrump/status/816260343391514624", "816260343391514624")</f>
        <v>0</v>
      </c>
      <c r="B230" s="2">
        <v>42738.5208912037</v>
      </c>
      <c r="C230">
        <v>74634</v>
      </c>
      <c r="D230">
        <v>19322</v>
      </c>
      <c r="E230" t="s">
        <v>233</v>
      </c>
    </row>
    <row r="231" spans="1:5">
      <c r="A231">
        <f>HYPERLINK("http://www.twitter.com/realDonaldTrump/status/816068355555815424", "816068355555815424")</f>
        <v>0</v>
      </c>
      <c r="B231" s="2">
        <v>42737.9911111111</v>
      </c>
      <c r="C231">
        <v>65906</v>
      </c>
      <c r="D231">
        <v>17927</v>
      </c>
      <c r="E231" t="s">
        <v>234</v>
      </c>
    </row>
    <row r="232" spans="1:5">
      <c r="A232">
        <f>HYPERLINK("http://www.twitter.com/realDonaldTrump/status/816057920223846400", "816057920223846400")</f>
        <v>0</v>
      </c>
      <c r="B232" s="2">
        <v>42737.9623148148</v>
      </c>
      <c r="C232">
        <v>93634</v>
      </c>
      <c r="D232">
        <v>26752</v>
      </c>
      <c r="E232" t="s">
        <v>235</v>
      </c>
    </row>
    <row r="233" spans="1:5">
      <c r="A233">
        <f>HYPERLINK("http://www.twitter.com/realDonaldTrump/status/815992069412057088", "815992069412057088")</f>
        <v>0</v>
      </c>
      <c r="B233" s="2">
        <v>42737.7806018519</v>
      </c>
      <c r="C233">
        <v>64098</v>
      </c>
      <c r="D233">
        <v>13774</v>
      </c>
      <c r="E233" t="s">
        <v>236</v>
      </c>
    </row>
    <row r="234" spans="1:5">
      <c r="A234">
        <f>HYPERLINK("http://www.twitter.com/realDonaldTrump/status/815990335318982656", "815990335318982656")</f>
        <v>0</v>
      </c>
      <c r="B234" s="2">
        <v>42737.7758101852</v>
      </c>
      <c r="C234">
        <v>48298</v>
      </c>
      <c r="D234">
        <v>9255</v>
      </c>
      <c r="E234" t="s">
        <v>237</v>
      </c>
    </row>
    <row r="235" spans="1:5">
      <c r="A235">
        <f>HYPERLINK("http://www.twitter.com/realDonaldTrump/status/815989154555297792", "815989154555297792")</f>
        <v>0</v>
      </c>
      <c r="B235" s="2">
        <v>42737.7725578704</v>
      </c>
      <c r="C235">
        <v>14126</v>
      </c>
      <c r="D235">
        <v>4027</v>
      </c>
      <c r="E235" t="s">
        <v>238</v>
      </c>
    </row>
    <row r="236" spans="1:5">
      <c r="A236">
        <f>HYPERLINK("http://www.twitter.com/realDonaldTrump/status/815973752785793024", "815973752785793024")</f>
        <v>0</v>
      </c>
      <c r="B236" s="2">
        <v>42737.7300578704</v>
      </c>
      <c r="C236">
        <v>64674</v>
      </c>
      <c r="D236">
        <v>17809</v>
      </c>
      <c r="E236" t="s">
        <v>239</v>
      </c>
    </row>
    <row r="237" spans="1:5">
      <c r="A237">
        <f>HYPERLINK("http://www.twitter.com/realDonaldTrump/status/815930688889352192", "815930688889352192")</f>
        <v>0</v>
      </c>
      <c r="B237" s="2">
        <v>42737.6112268519</v>
      </c>
      <c r="C237">
        <v>127034</v>
      </c>
      <c r="D237">
        <v>29961</v>
      </c>
      <c r="E237" t="s">
        <v>240</v>
      </c>
    </row>
    <row r="238" spans="1:5">
      <c r="A238">
        <f>HYPERLINK("http://www.twitter.com/realDonaldTrump/status/815449933453127681", "815449933453127681")</f>
        <v>0</v>
      </c>
      <c r="B238" s="2">
        <v>42736.2845949074</v>
      </c>
      <c r="C238">
        <v>0</v>
      </c>
      <c r="D238">
        <v>13404</v>
      </c>
      <c r="E238" t="s">
        <v>241</v>
      </c>
    </row>
    <row r="239" spans="1:5">
      <c r="A239">
        <f>HYPERLINK("http://www.twitter.com/realDonaldTrump/status/815449868739211265", "815449868739211265")</f>
        <v>0</v>
      </c>
      <c r="B239" s="2">
        <v>42736.2844097222</v>
      </c>
      <c r="C239">
        <v>0</v>
      </c>
      <c r="D239">
        <v>6929</v>
      </c>
      <c r="E239" t="s">
        <v>242</v>
      </c>
    </row>
    <row r="240" spans="1:5">
      <c r="A240">
        <f>HYPERLINK("http://www.twitter.com/realDonaldTrump/status/815433444591304704", "815433444591304704")</f>
        <v>0</v>
      </c>
      <c r="B240" s="2">
        <v>42736.2390856482</v>
      </c>
      <c r="C240">
        <v>0</v>
      </c>
      <c r="D240">
        <v>7022</v>
      </c>
      <c r="E240" t="s">
        <v>243</v>
      </c>
    </row>
    <row r="241" spans="1:5">
      <c r="A241">
        <f>HYPERLINK("http://www.twitter.com/realDonaldTrump/status/815433217595547648", "815433217595547648")</f>
        <v>0</v>
      </c>
      <c r="B241" s="2">
        <v>42736.2384606482</v>
      </c>
      <c r="C241">
        <v>0</v>
      </c>
      <c r="D241">
        <v>7254</v>
      </c>
      <c r="E241" t="s">
        <v>244</v>
      </c>
    </row>
    <row r="242" spans="1:5">
      <c r="A242">
        <f>HYPERLINK("http://www.twitter.com/realDonaldTrump/status/815432169464197121", "815432169464197121")</f>
        <v>0</v>
      </c>
      <c r="B242" s="2">
        <v>42736.2355671296</v>
      </c>
      <c r="C242">
        <v>0</v>
      </c>
      <c r="D242">
        <v>5614</v>
      </c>
      <c r="E242" t="s">
        <v>245</v>
      </c>
    </row>
    <row r="243" spans="1:5">
      <c r="A243">
        <f>HYPERLINK("http://www.twitter.com/realDonaldTrump/status/815422340540547073", "815422340540547073")</f>
        <v>0</v>
      </c>
      <c r="B243" s="2">
        <v>42736.2084490741</v>
      </c>
      <c r="C243">
        <v>128254</v>
      </c>
      <c r="D243">
        <v>33374</v>
      </c>
      <c r="E243" t="s">
        <v>246</v>
      </c>
    </row>
    <row r="244" spans="1:5">
      <c r="A244">
        <f>HYPERLINK("http://www.twitter.com/realDonaldTrump/status/815271067749060609", "815271067749060609")</f>
        <v>0</v>
      </c>
      <c r="B244" s="2">
        <v>42735.7910185185</v>
      </c>
      <c r="C244">
        <v>0</v>
      </c>
      <c r="D244">
        <v>9556</v>
      </c>
      <c r="E244" t="s">
        <v>247</v>
      </c>
    </row>
    <row r="245" spans="1:5">
      <c r="A245">
        <f>HYPERLINK("http://www.twitter.com/realDonaldTrump/status/815270850916208644", "815270850916208644")</f>
        <v>0</v>
      </c>
      <c r="B245" s="2">
        <v>42735.7904166667</v>
      </c>
      <c r="C245">
        <v>55807</v>
      </c>
      <c r="D245">
        <v>9556</v>
      </c>
      <c r="E245" t="s">
        <v>248</v>
      </c>
    </row>
    <row r="246" spans="1:5">
      <c r="A246">
        <f>HYPERLINK("http://www.twitter.com/realDonaldTrump/status/815185071317676033", "815185071317676033")</f>
        <v>0</v>
      </c>
      <c r="B246" s="2">
        <v>42735.5537152778</v>
      </c>
      <c r="C246">
        <v>352402</v>
      </c>
      <c r="D246">
        <v>143014</v>
      </c>
      <c r="E246" t="s">
        <v>249</v>
      </c>
    </row>
    <row r="247" spans="1:5">
      <c r="A247">
        <f>HYPERLINK("http://www.twitter.com/realDonaldTrump/status/814958820980039681", "814958820980039681")</f>
        <v>0</v>
      </c>
      <c r="B247" s="2">
        <v>42734.929375</v>
      </c>
      <c r="C247">
        <v>84699</v>
      </c>
      <c r="D247">
        <v>23334</v>
      </c>
      <c r="E247" t="s">
        <v>250</v>
      </c>
    </row>
    <row r="248" spans="1:5">
      <c r="A248">
        <f>HYPERLINK("http://www.twitter.com/realDonaldTrump/status/814920722208296960", "814920722208296960")</f>
        <v>0</v>
      </c>
      <c r="B248" s="2">
        <v>42734.8242476852</v>
      </c>
      <c r="C248">
        <v>25359</v>
      </c>
      <c r="D248">
        <v>7378</v>
      </c>
      <c r="E248" t="s">
        <v>251</v>
      </c>
    </row>
    <row r="249" spans="1:5">
      <c r="A249">
        <f>HYPERLINK("http://www.twitter.com/realDonaldTrump/status/814919370711461890", "814919370711461890")</f>
        <v>0</v>
      </c>
      <c r="B249" s="2">
        <v>42734.8205208333</v>
      </c>
      <c r="C249">
        <v>96863</v>
      </c>
      <c r="D249">
        <v>32765</v>
      </c>
      <c r="E249" t="s">
        <v>252</v>
      </c>
    </row>
    <row r="250" spans="1:5">
      <c r="A250">
        <f>HYPERLINK("http://www.twitter.com/realDonaldTrump/status/814484710025994241", "814484710025994241")</f>
        <v>0</v>
      </c>
      <c r="B250" s="2">
        <v>42733.6210763889</v>
      </c>
      <c r="C250">
        <v>45813</v>
      </c>
      <c r="D250">
        <v>11374</v>
      </c>
      <c r="E250" t="s">
        <v>253</v>
      </c>
    </row>
    <row r="251" spans="1:5">
      <c r="A251">
        <f>HYPERLINK("http://www.twitter.com/realDonaldTrump/status/814231064847728640", "814231064847728640")</f>
        <v>0</v>
      </c>
      <c r="B251" s="2">
        <v>42732.9211574074</v>
      </c>
      <c r="C251">
        <v>52061</v>
      </c>
      <c r="D251">
        <v>13981</v>
      </c>
      <c r="E251" t="s">
        <v>254</v>
      </c>
    </row>
    <row r="252" spans="1:5">
      <c r="A252">
        <f>HYPERLINK("http://www.twitter.com/realDonaldTrump/status/814114980983427073", "814114980983427073")</f>
        <v>0</v>
      </c>
      <c r="B252" s="2">
        <v>42732.6008217593</v>
      </c>
      <c r="C252">
        <v>118250</v>
      </c>
      <c r="D252">
        <v>34752</v>
      </c>
      <c r="E252" t="s">
        <v>255</v>
      </c>
    </row>
    <row r="253" spans="1:5">
      <c r="A253">
        <f>HYPERLINK("http://www.twitter.com/realDonaldTrump/status/814113616110751744", "814113616110751744")</f>
        <v>0</v>
      </c>
      <c r="B253" s="2">
        <v>42732.5970601852</v>
      </c>
      <c r="C253">
        <v>107076</v>
      </c>
      <c r="D253">
        <v>30402</v>
      </c>
      <c r="E253" t="s">
        <v>256</v>
      </c>
    </row>
    <row r="254" spans="1:5">
      <c r="A254">
        <f>HYPERLINK("http://www.twitter.com/realDonaldTrump/status/814110460761018368", "814110460761018368")</f>
        <v>0</v>
      </c>
      <c r="B254" s="2">
        <v>42732.5883449074</v>
      </c>
      <c r="C254">
        <v>118454</v>
      </c>
      <c r="D254">
        <v>31964</v>
      </c>
      <c r="E254" t="s">
        <v>257</v>
      </c>
    </row>
    <row r="255" spans="1:5">
      <c r="A255">
        <f>HYPERLINK("http://www.twitter.com/realDonaldTrump/status/813945096269860866", "813945096269860866")</f>
        <v>0</v>
      </c>
      <c r="B255" s="2">
        <v>42732.132025463</v>
      </c>
      <c r="C255">
        <v>78843</v>
      </c>
      <c r="D255">
        <v>19261</v>
      </c>
      <c r="E255" t="s">
        <v>258</v>
      </c>
    </row>
    <row r="256" spans="1:5">
      <c r="A256">
        <f>HYPERLINK("http://www.twitter.com/realDonaldTrump/status/813865160163098628", "813865160163098628")</f>
        <v>0</v>
      </c>
      <c r="B256" s="2">
        <v>42731.9114467593</v>
      </c>
      <c r="C256">
        <v>100320</v>
      </c>
      <c r="D256">
        <v>23337</v>
      </c>
      <c r="E256" t="s">
        <v>259</v>
      </c>
    </row>
    <row r="257" spans="1:5">
      <c r="A257">
        <f>HYPERLINK("http://www.twitter.com/realDonaldTrump/status/813581917215977473", "813581917215977473")</f>
        <v>0</v>
      </c>
      <c r="B257" s="2">
        <v>42731.129849537</v>
      </c>
      <c r="C257">
        <v>67730</v>
      </c>
      <c r="D257">
        <v>15299</v>
      </c>
      <c r="E257" t="s">
        <v>260</v>
      </c>
    </row>
    <row r="258" spans="1:5">
      <c r="A258">
        <f>HYPERLINK("http://www.twitter.com/realDonaldTrump/status/813578484572450816", "813578484572450816")</f>
        <v>0</v>
      </c>
      <c r="B258" s="2">
        <v>42731.1203703704</v>
      </c>
      <c r="C258">
        <v>71910</v>
      </c>
      <c r="D258">
        <v>17504</v>
      </c>
      <c r="E258" t="s">
        <v>261</v>
      </c>
    </row>
    <row r="259" spans="1:5">
      <c r="A259">
        <f>HYPERLINK("http://www.twitter.com/realDonaldTrump/status/813527932165558273", "813527932165558273")</f>
        <v>0</v>
      </c>
      <c r="B259" s="2">
        <v>42730.9808796296</v>
      </c>
      <c r="C259">
        <v>128952</v>
      </c>
      <c r="D259">
        <v>30294</v>
      </c>
      <c r="E259" t="s">
        <v>262</v>
      </c>
    </row>
    <row r="260" spans="1:5">
      <c r="A260">
        <f>HYPERLINK("http://www.twitter.com/realDonaldTrump/status/813500123053490176", "813500123053490176")</f>
        <v>0</v>
      </c>
      <c r="B260" s="2">
        <v>42730.9041435185</v>
      </c>
      <c r="C260">
        <v>78054</v>
      </c>
      <c r="D260">
        <v>22221</v>
      </c>
      <c r="E260" t="s">
        <v>263</v>
      </c>
    </row>
    <row r="261" spans="1:5">
      <c r="A261">
        <f>HYPERLINK("http://www.twitter.com/realDonaldTrump/status/813498739923054593", "813498739923054593")</f>
        <v>0</v>
      </c>
      <c r="B261" s="2">
        <v>42730.9003240741</v>
      </c>
      <c r="C261">
        <v>91714</v>
      </c>
      <c r="D261">
        <v>22367</v>
      </c>
      <c r="E261" t="s">
        <v>264</v>
      </c>
    </row>
    <row r="262" spans="1:5">
      <c r="A262">
        <f>HYPERLINK("http://www.twitter.com/realDonaldTrump/status/813079058896535552", "813079058896535552")</f>
        <v>0</v>
      </c>
      <c r="B262" s="2">
        <v>42729.7422222222</v>
      </c>
      <c r="C262">
        <v>213462</v>
      </c>
      <c r="D262">
        <v>50600</v>
      </c>
      <c r="E262" t="s">
        <v>265</v>
      </c>
    </row>
    <row r="263" spans="1:5">
      <c r="A263">
        <f>HYPERLINK("http://www.twitter.com/realDonaldTrump/status/813003030186622976", "813003030186622976")</f>
        <v>0</v>
      </c>
      <c r="B263" s="2">
        <v>42729.5324189815</v>
      </c>
      <c r="C263">
        <v>152308</v>
      </c>
      <c r="D263">
        <v>42890</v>
      </c>
      <c r="E263" t="s">
        <v>266</v>
      </c>
    </row>
    <row r="264" spans="1:5">
      <c r="A264">
        <f>HYPERLINK("http://www.twitter.com/realDonaldTrump/status/812775995837218816", "812775995837218816")</f>
        <v>0</v>
      </c>
      <c r="B264" s="2">
        <v>42728.9059259259</v>
      </c>
      <c r="C264">
        <v>84903</v>
      </c>
      <c r="D264">
        <v>22223</v>
      </c>
      <c r="E264" t="s">
        <v>267</v>
      </c>
    </row>
    <row r="265" spans="1:5">
      <c r="A265">
        <f>HYPERLINK("http://www.twitter.com/realDonaldTrump/status/812773204561379330", "812773204561379330")</f>
        <v>0</v>
      </c>
      <c r="B265" s="2">
        <v>42728.8982291667</v>
      </c>
      <c r="C265">
        <v>83846</v>
      </c>
      <c r="D265">
        <v>19918</v>
      </c>
      <c r="E265" t="s">
        <v>268</v>
      </c>
    </row>
    <row r="266" spans="1:5">
      <c r="A266">
        <f>HYPERLINK("http://www.twitter.com/realDonaldTrump/status/812764662500622336", "812764662500622336")</f>
        <v>0</v>
      </c>
      <c r="B266" s="2">
        <v>42728.8746527778</v>
      </c>
      <c r="C266">
        <v>63149</v>
      </c>
      <c r="D266">
        <v>16750</v>
      </c>
      <c r="E266" t="s">
        <v>269</v>
      </c>
    </row>
    <row r="267" spans="1:5">
      <c r="A267">
        <f>HYPERLINK("http://www.twitter.com/realDonaldTrump/status/812450976670121985", "812450976670121985")</f>
        <v>0</v>
      </c>
      <c r="B267" s="2">
        <v>42728.0090509259</v>
      </c>
      <c r="C267">
        <v>113579</v>
      </c>
      <c r="D267">
        <v>31976</v>
      </c>
      <c r="E267" t="s">
        <v>270</v>
      </c>
    </row>
    <row r="268" spans="1:5">
      <c r="A268">
        <f>HYPERLINK("http://www.twitter.com/realDonaldTrump/status/812408189492797442", "812408189492797442")</f>
        <v>0</v>
      </c>
      <c r="B268" s="2">
        <v>42727.8909722222</v>
      </c>
      <c r="C268">
        <v>66261</v>
      </c>
      <c r="D268">
        <v>18121</v>
      </c>
      <c r="E268" t="s">
        <v>271</v>
      </c>
    </row>
    <row r="269" spans="1:5">
      <c r="A269">
        <f>HYPERLINK("http://www.twitter.com/realDonaldTrump/status/812406855469252608", "812406855469252608")</f>
        <v>0</v>
      </c>
      <c r="B269" s="2">
        <v>42727.8872916667</v>
      </c>
      <c r="C269">
        <v>52431</v>
      </c>
      <c r="D269">
        <v>18937</v>
      </c>
      <c r="E269" t="s">
        <v>272</v>
      </c>
    </row>
    <row r="270" spans="1:5">
      <c r="A270">
        <f>HYPERLINK("http://www.twitter.com/realDonaldTrump/status/812390964740427776", "812390964740427776")</f>
        <v>0</v>
      </c>
      <c r="B270" s="2">
        <v>42727.8434490741</v>
      </c>
      <c r="C270">
        <v>99826</v>
      </c>
      <c r="D270">
        <v>34132</v>
      </c>
      <c r="E270" t="s">
        <v>273</v>
      </c>
    </row>
    <row r="271" spans="1:5">
      <c r="A271">
        <f>HYPERLINK("http://www.twitter.com/realDonaldTrump/status/812266152684650496", "812266152684650496")</f>
        <v>0</v>
      </c>
      <c r="B271" s="2">
        <v>42727.4990277778</v>
      </c>
      <c r="C271">
        <v>64841</v>
      </c>
      <c r="D271">
        <v>14650</v>
      </c>
      <c r="E271" t="s">
        <v>274</v>
      </c>
    </row>
    <row r="272" spans="1:5">
      <c r="A272">
        <f>HYPERLINK("http://www.twitter.com/realDonaldTrump/status/812264762981675008", "812264762981675008")</f>
        <v>0</v>
      </c>
      <c r="B272" s="2">
        <v>42727.4951967593</v>
      </c>
      <c r="C272">
        <v>54452</v>
      </c>
      <c r="D272">
        <v>15596</v>
      </c>
      <c r="E272" t="s">
        <v>275</v>
      </c>
    </row>
    <row r="273" spans="1:5">
      <c r="A273">
        <f>HYPERLINK("http://www.twitter.com/realDonaldTrump/status/812115501791006720", "812115501791006720")</f>
        <v>0</v>
      </c>
      <c r="B273" s="2">
        <v>42727.0833101852</v>
      </c>
      <c r="C273">
        <v>120852</v>
      </c>
      <c r="D273">
        <v>31594</v>
      </c>
      <c r="E273" t="s">
        <v>276</v>
      </c>
    </row>
    <row r="274" spans="1:5">
      <c r="A274">
        <f>HYPERLINK("http://www.twitter.com/realDonaldTrump/status/812061677160202240", "812061677160202240")</f>
        <v>0</v>
      </c>
      <c r="B274" s="2">
        <v>42726.9347800926</v>
      </c>
      <c r="C274">
        <v>62992</v>
      </c>
      <c r="D274">
        <v>15043</v>
      </c>
      <c r="E274" t="s">
        <v>277</v>
      </c>
    </row>
    <row r="275" spans="1:5">
      <c r="A275">
        <f>HYPERLINK("http://www.twitter.com/realDonaldTrump/status/811977223326625792", "811977223326625792")</f>
        <v>0</v>
      </c>
      <c r="B275" s="2">
        <v>42726.7017361111</v>
      </c>
      <c r="C275">
        <v>73261</v>
      </c>
      <c r="D275">
        <v>21380</v>
      </c>
      <c r="E275" t="s">
        <v>278</v>
      </c>
    </row>
    <row r="276" spans="1:5">
      <c r="A276">
        <f>HYPERLINK("http://www.twitter.com/realDonaldTrump/status/811975049431416832", "811975049431416832")</f>
        <v>0</v>
      </c>
      <c r="B276" s="2">
        <v>42726.6957407407</v>
      </c>
      <c r="C276">
        <v>74429</v>
      </c>
      <c r="D276">
        <v>19564</v>
      </c>
      <c r="E276" t="s">
        <v>279</v>
      </c>
    </row>
    <row r="277" spans="1:5">
      <c r="A277">
        <f>HYPERLINK("http://www.twitter.com/realDonaldTrump/status/811928543366148096", "811928543366148096")</f>
        <v>0</v>
      </c>
      <c r="B277" s="2">
        <v>42726.5674074074</v>
      </c>
      <c r="C277">
        <v>35879</v>
      </c>
      <c r="D277">
        <v>10416</v>
      </c>
      <c r="E277" t="s">
        <v>280</v>
      </c>
    </row>
    <row r="278" spans="1:5">
      <c r="A278">
        <f>HYPERLINK("http://www.twitter.com/realDonaldTrump/status/811778176120668160", "811778176120668160")</f>
        <v>0</v>
      </c>
      <c r="B278" s="2">
        <v>42726.1524652778</v>
      </c>
      <c r="C278">
        <v>66532</v>
      </c>
      <c r="D278">
        <v>13152</v>
      </c>
      <c r="E278" t="s">
        <v>281</v>
      </c>
    </row>
    <row r="279" spans="1:5">
      <c r="A279">
        <f>HYPERLINK("http://www.twitter.com/realDonaldTrump/status/811564284706689024", "811564284706689024")</f>
        <v>0</v>
      </c>
      <c r="B279" s="2">
        <v>42725.5622453704</v>
      </c>
      <c r="C279">
        <v>82958</v>
      </c>
      <c r="D279">
        <v>20508</v>
      </c>
      <c r="E279" t="s">
        <v>282</v>
      </c>
    </row>
    <row r="280" spans="1:5">
      <c r="A280">
        <f>HYPERLINK("http://www.twitter.com/realDonaldTrump/status/811562990285848576", "811562990285848576")</f>
        <v>0</v>
      </c>
      <c r="B280" s="2">
        <v>42725.5586689815</v>
      </c>
      <c r="C280">
        <v>54683</v>
      </c>
      <c r="D280">
        <v>12113</v>
      </c>
      <c r="E280" t="s">
        <v>283</v>
      </c>
    </row>
    <row r="281" spans="1:5">
      <c r="A281">
        <f>HYPERLINK("http://www.twitter.com/realDonaldTrump/status/811560662853939200", "811560662853939200")</f>
        <v>0</v>
      </c>
      <c r="B281" s="2">
        <v>42725.5522453704</v>
      </c>
      <c r="C281">
        <v>69513</v>
      </c>
      <c r="D281">
        <v>16127</v>
      </c>
      <c r="E281" t="s">
        <v>284</v>
      </c>
    </row>
    <row r="282" spans="1:5">
      <c r="A282">
        <f>HYPERLINK("http://www.twitter.com/realDonaldTrump/status/811307169043849216", "811307169043849216")</f>
        <v>0</v>
      </c>
      <c r="B282" s="2">
        <v>42724.8527430556</v>
      </c>
      <c r="C282">
        <v>68639</v>
      </c>
      <c r="D282">
        <v>15736</v>
      </c>
      <c r="E282" t="s">
        <v>285</v>
      </c>
    </row>
    <row r="283" spans="1:5">
      <c r="A283">
        <f>HYPERLINK("http://www.twitter.com/realDonaldTrump/status/811196778779463684", "811196778779463684")</f>
        <v>0</v>
      </c>
      <c r="B283" s="2">
        <v>42724.548125</v>
      </c>
      <c r="C283">
        <v>42585</v>
      </c>
      <c r="D283">
        <v>8985</v>
      </c>
      <c r="E283" t="s">
        <v>286</v>
      </c>
    </row>
    <row r="284" spans="1:5">
      <c r="A284">
        <f>HYPERLINK("http://www.twitter.com/realDonaldTrump/status/811195441710764032", "811195441710764032")</f>
        <v>0</v>
      </c>
      <c r="B284" s="2">
        <v>42724.5444328704</v>
      </c>
      <c r="C284">
        <v>79380</v>
      </c>
      <c r="D284">
        <v>18892</v>
      </c>
      <c r="E284" t="s">
        <v>287</v>
      </c>
    </row>
    <row r="285" spans="1:5">
      <c r="A285">
        <f>HYPERLINK("http://www.twitter.com/realDonaldTrump/status/811041034323054592", "811041034323054592")</f>
        <v>0</v>
      </c>
      <c r="B285" s="2">
        <v>42724.1183449074</v>
      </c>
      <c r="C285">
        <v>74394</v>
      </c>
      <c r="D285">
        <v>15500</v>
      </c>
      <c r="E285" t="s">
        <v>288</v>
      </c>
    </row>
    <row r="286" spans="1:5">
      <c r="A286">
        <f>HYPERLINK("http://www.twitter.com/realDonaldTrump/status/811039925571354624", "811039925571354624")</f>
        <v>0</v>
      </c>
      <c r="B286" s="2">
        <v>42724.1152893519</v>
      </c>
      <c r="C286">
        <v>50672</v>
      </c>
      <c r="D286">
        <v>10479</v>
      </c>
      <c r="E286" t="s">
        <v>289</v>
      </c>
    </row>
    <row r="287" spans="1:5">
      <c r="A287">
        <f>HYPERLINK("http://www.twitter.com/realDonaldTrump/status/811021135483699201", "811021135483699201")</f>
        <v>0</v>
      </c>
      <c r="B287" s="2">
        <v>42724.0634375</v>
      </c>
      <c r="C287">
        <v>0</v>
      </c>
      <c r="D287">
        <v>9240</v>
      </c>
      <c r="E287" t="s">
        <v>290</v>
      </c>
    </row>
    <row r="288" spans="1:5">
      <c r="A288">
        <f>HYPERLINK("http://www.twitter.com/realDonaldTrump/status/810996052241293312", "810996052241293312")</f>
        <v>0</v>
      </c>
      <c r="B288" s="2">
        <v>42723.994224537</v>
      </c>
      <c r="C288">
        <v>224525</v>
      </c>
      <c r="D288">
        <v>59749</v>
      </c>
      <c r="E288" t="s">
        <v>291</v>
      </c>
    </row>
    <row r="289" spans="1:5">
      <c r="A289">
        <f>HYPERLINK("http://www.twitter.com/realDonaldTrump/status/810988379051610112", "810988379051610112")</f>
        <v>0</v>
      </c>
      <c r="B289" s="2">
        <v>42723.9730439815</v>
      </c>
      <c r="C289">
        <v>115238</v>
      </c>
      <c r="D289">
        <v>39672</v>
      </c>
      <c r="E289" t="s">
        <v>292</v>
      </c>
    </row>
    <row r="290" spans="1:5">
      <c r="A290">
        <f>HYPERLINK("http://www.twitter.com/realDonaldTrump/status/810604216771284992", "810604216771284992")</f>
        <v>0</v>
      </c>
      <c r="B290" s="2">
        <v>42722.912962963</v>
      </c>
      <c r="C290">
        <v>136161</v>
      </c>
      <c r="D290">
        <v>36669</v>
      </c>
      <c r="E290" t="s">
        <v>293</v>
      </c>
    </row>
    <row r="291" spans="1:5">
      <c r="A291">
        <f>HYPERLINK("http://www.twitter.com/realDonaldTrump/status/810288321880555520", "810288321880555520")</f>
        <v>0</v>
      </c>
      <c r="B291" s="2">
        <v>42722.0412615741</v>
      </c>
      <c r="C291">
        <v>65957</v>
      </c>
      <c r="D291">
        <v>18073</v>
      </c>
      <c r="E291" t="s">
        <v>294</v>
      </c>
    </row>
    <row r="292" spans="1:5">
      <c r="A292">
        <f>HYPERLINK("http://www.twitter.com/realDonaldTrump/status/810276411177107456", "810276411177107456")</f>
        <v>0</v>
      </c>
      <c r="B292" s="2">
        <v>42722.0083912037</v>
      </c>
      <c r="C292">
        <v>54988</v>
      </c>
      <c r="D292">
        <v>13009</v>
      </c>
      <c r="E292" t="s">
        <v>295</v>
      </c>
    </row>
    <row r="293" spans="1:5">
      <c r="A293">
        <f>HYPERLINK("http://www.twitter.com/realDonaldTrump/status/810232514749075456", "810232514749075456")</f>
        <v>0</v>
      </c>
      <c r="B293" s="2">
        <v>42721.8872569444</v>
      </c>
      <c r="C293">
        <v>0</v>
      </c>
      <c r="D293">
        <v>3755</v>
      </c>
      <c r="E293" t="s">
        <v>296</v>
      </c>
    </row>
    <row r="294" spans="1:5">
      <c r="A294">
        <f>HYPERLINK("http://www.twitter.com/realDonaldTrump/status/810121703288410112", "810121703288410112")</f>
        <v>0</v>
      </c>
      <c r="B294" s="2">
        <v>42721.5814814815</v>
      </c>
      <c r="C294">
        <v>61179</v>
      </c>
      <c r="D294">
        <v>19510</v>
      </c>
      <c r="E294" t="s">
        <v>297</v>
      </c>
    </row>
    <row r="295" spans="1:5">
      <c r="A295">
        <f>HYPERLINK("http://www.twitter.com/realDonaldTrump/status/810112407309844480", "810112407309844480")</f>
        <v>0</v>
      </c>
      <c r="B295" s="2">
        <v>42721.5558217593</v>
      </c>
      <c r="C295">
        <v>40320</v>
      </c>
      <c r="D295">
        <v>8241</v>
      </c>
      <c r="E295" t="s">
        <v>298</v>
      </c>
    </row>
    <row r="296" spans="1:5">
      <c r="A296">
        <f>HYPERLINK("http://www.twitter.com/realDonaldTrump/status/810109131537481728", "810109131537481728")</f>
        <v>0</v>
      </c>
      <c r="B296" s="2">
        <v>42721.5467824074</v>
      </c>
      <c r="C296">
        <v>35305</v>
      </c>
      <c r="D296">
        <v>7111</v>
      </c>
      <c r="E296" t="s">
        <v>299</v>
      </c>
    </row>
    <row r="297" spans="1:5">
      <c r="A297">
        <f>HYPERLINK("http://www.twitter.com/realDonaldTrump/status/810108542921408512", "810108542921408512")</f>
        <v>0</v>
      </c>
      <c r="B297" s="2">
        <v>42721.545162037</v>
      </c>
      <c r="C297">
        <v>36116</v>
      </c>
      <c r="D297">
        <v>6428</v>
      </c>
      <c r="E297" t="s">
        <v>300</v>
      </c>
    </row>
    <row r="298" spans="1:5">
      <c r="A298">
        <f>HYPERLINK("http://www.twitter.com/realDonaldTrump/status/809969373754654721", "809969373754654721")</f>
        <v>0</v>
      </c>
      <c r="B298" s="2">
        <v>42721.1611226852</v>
      </c>
      <c r="C298">
        <v>43431</v>
      </c>
      <c r="D298">
        <v>11090</v>
      </c>
      <c r="E298" t="s">
        <v>301</v>
      </c>
    </row>
    <row r="299" spans="1:5">
      <c r="A299">
        <f>HYPERLINK("http://www.twitter.com/realDonaldTrump/status/809803893920165892", "809803893920165892")</f>
        <v>0</v>
      </c>
      <c r="B299" s="2">
        <v>42720.7044907407</v>
      </c>
      <c r="C299">
        <v>27856</v>
      </c>
      <c r="D299">
        <v>7051</v>
      </c>
      <c r="E299" t="s">
        <v>302</v>
      </c>
    </row>
    <row r="300" spans="1:5">
      <c r="A300">
        <f>HYPERLINK("http://www.twitter.com/realDonaldTrump/status/809790978332786689", "809790978332786689")</f>
        <v>0</v>
      </c>
      <c r="B300" s="2">
        <v>42720.6688541667</v>
      </c>
      <c r="C300">
        <v>70993</v>
      </c>
      <c r="D300">
        <v>18245</v>
      </c>
      <c r="E300" t="s">
        <v>303</v>
      </c>
    </row>
    <row r="301" spans="1:5">
      <c r="A301">
        <f>HYPERLINK("http://www.twitter.com/realDonaldTrump/status/809717035353722880", "809717035353722880")</f>
        <v>0</v>
      </c>
      <c r="B301" s="2">
        <v>42720.4648032407</v>
      </c>
      <c r="C301">
        <v>109836</v>
      </c>
      <c r="D301">
        <v>33728</v>
      </c>
      <c r="E301" t="s">
        <v>304</v>
      </c>
    </row>
    <row r="302" spans="1:5">
      <c r="A302">
        <f>HYPERLINK("http://www.twitter.com/realDonaldTrump/status/809571983428120577", "809571983428120577")</f>
        <v>0</v>
      </c>
      <c r="B302" s="2">
        <v>42720.064537037</v>
      </c>
      <c r="C302">
        <v>38252</v>
      </c>
      <c r="D302">
        <v>8934</v>
      </c>
      <c r="E302" t="s">
        <v>305</v>
      </c>
    </row>
    <row r="303" spans="1:5">
      <c r="A303">
        <f>HYPERLINK("http://www.twitter.com/realDonaldTrump/status/809525257371578369", "809525257371578369")</f>
        <v>0</v>
      </c>
      <c r="B303" s="2">
        <v>42719.9356018519</v>
      </c>
      <c r="C303">
        <v>22307</v>
      </c>
      <c r="D303">
        <v>5586</v>
      </c>
      <c r="E303" t="s">
        <v>306</v>
      </c>
    </row>
    <row r="304" spans="1:5">
      <c r="A304">
        <f>HYPERLINK("http://www.twitter.com/realDonaldTrump/status/809403760099422208", "809403760099422208")</f>
        <v>0</v>
      </c>
      <c r="B304" s="2">
        <v>42719.6003356481</v>
      </c>
      <c r="C304">
        <v>124655</v>
      </c>
      <c r="D304">
        <v>40912</v>
      </c>
      <c r="E304" t="s">
        <v>307</v>
      </c>
    </row>
    <row r="305" spans="1:5">
      <c r="A305">
        <f>HYPERLINK("http://www.twitter.com/realDonaldTrump/status/809389774066814976", "809389774066814976")</f>
        <v>0</v>
      </c>
      <c r="B305" s="2">
        <v>42719.5617361111</v>
      </c>
      <c r="C305">
        <v>61110</v>
      </c>
      <c r="D305">
        <v>13844</v>
      </c>
      <c r="E305" t="s">
        <v>308</v>
      </c>
    </row>
    <row r="306" spans="1:5">
      <c r="A306">
        <f>HYPERLINK("http://www.twitter.com/realDonaldTrump/status/809384826193276928", "809384826193276928")</f>
        <v>0</v>
      </c>
      <c r="B306" s="2">
        <v>42719.5480787037</v>
      </c>
      <c r="C306">
        <v>57262</v>
      </c>
      <c r="D306">
        <v>10769</v>
      </c>
      <c r="E306" t="s">
        <v>309</v>
      </c>
    </row>
    <row r="307" spans="1:5">
      <c r="A307">
        <f>HYPERLINK("http://www.twitter.com/realDonaldTrump/status/809383989018497024", "809383989018497024")</f>
        <v>0</v>
      </c>
      <c r="B307" s="2">
        <v>42719.545775463</v>
      </c>
      <c r="C307">
        <v>37549</v>
      </c>
      <c r="D307">
        <v>8953</v>
      </c>
      <c r="E307" t="s">
        <v>310</v>
      </c>
    </row>
    <row r="308" spans="1:5">
      <c r="A308">
        <f>HYPERLINK("http://www.twitter.com/realDonaldTrump/status/809097603010981888", "809097603010981888")</f>
        <v>0</v>
      </c>
      <c r="B308" s="2">
        <v>42718.7554976852</v>
      </c>
      <c r="C308">
        <v>58167</v>
      </c>
      <c r="D308">
        <v>14201</v>
      </c>
      <c r="E308" t="s">
        <v>311</v>
      </c>
    </row>
    <row r="309" spans="1:5">
      <c r="A309">
        <f>HYPERLINK("http://www.twitter.com/realDonaldTrump/status/808881429715316737", "808881429715316737")</f>
        <v>0</v>
      </c>
      <c r="B309" s="2">
        <v>42718.1589699074</v>
      </c>
      <c r="C309">
        <v>42808</v>
      </c>
      <c r="D309">
        <v>9721</v>
      </c>
      <c r="E309" t="s">
        <v>312</v>
      </c>
    </row>
    <row r="310" spans="1:5">
      <c r="A310">
        <f>HYPERLINK("http://www.twitter.com/realDonaldTrump/status/808837073423794176", "808837073423794176")</f>
        <v>0</v>
      </c>
      <c r="B310" s="2">
        <v>42718.0365740741</v>
      </c>
      <c r="C310">
        <v>0</v>
      </c>
      <c r="D310">
        <v>3633</v>
      </c>
      <c r="E310" t="s">
        <v>313</v>
      </c>
    </row>
    <row r="311" spans="1:5">
      <c r="A311">
        <f>HYPERLINK("http://www.twitter.com/realDonaldTrump/status/808787048144453632", "808787048144453632")</f>
        <v>0</v>
      </c>
      <c r="B311" s="2">
        <v>42717.8985300926</v>
      </c>
      <c r="C311">
        <v>23454</v>
      </c>
      <c r="D311">
        <v>6270</v>
      </c>
      <c r="E311" t="s">
        <v>314</v>
      </c>
    </row>
    <row r="312" spans="1:5">
      <c r="A312">
        <f>HYPERLINK("http://www.twitter.com/realDonaldTrump/status/808653723639697408", "808653723639697408")</f>
        <v>0</v>
      </c>
      <c r="B312" s="2">
        <v>42717.530625</v>
      </c>
      <c r="C312">
        <v>59181</v>
      </c>
      <c r="D312">
        <v>14713</v>
      </c>
      <c r="E312" t="s">
        <v>315</v>
      </c>
    </row>
    <row r="313" spans="1:5">
      <c r="A313">
        <f>HYPERLINK("http://www.twitter.com/realDonaldTrump/status/808642018612310016", "808642018612310016")</f>
        <v>0</v>
      </c>
      <c r="B313" s="2">
        <v>42717.4983217593</v>
      </c>
      <c r="C313">
        <v>78128</v>
      </c>
      <c r="D313">
        <v>18328</v>
      </c>
      <c r="E313" t="s">
        <v>316</v>
      </c>
    </row>
    <row r="314" spans="1:5">
      <c r="A314">
        <f>HYPERLINK("http://www.twitter.com/realDonaldTrump/status/808638507161882624", "808638507161882624")</f>
        <v>0</v>
      </c>
      <c r="B314" s="2">
        <v>42717.4886342593</v>
      </c>
      <c r="C314">
        <v>77316</v>
      </c>
      <c r="D314">
        <v>23257</v>
      </c>
      <c r="E314" t="s">
        <v>317</v>
      </c>
    </row>
    <row r="315" spans="1:5">
      <c r="A315">
        <f>HYPERLINK("http://www.twitter.com/realDonaldTrump/status/808532286664822784", "808532286664822784")</f>
        <v>0</v>
      </c>
      <c r="B315" s="2">
        <v>42717.1955208333</v>
      </c>
      <c r="C315">
        <v>47436</v>
      </c>
      <c r="D315">
        <v>10496</v>
      </c>
      <c r="E315" t="s">
        <v>318</v>
      </c>
    </row>
    <row r="316" spans="1:5">
      <c r="A316">
        <f>HYPERLINK("http://www.twitter.com/realDonaldTrump/status/808529888630239232", "808529888630239232")</f>
        <v>0</v>
      </c>
      <c r="B316" s="2">
        <v>42717.188900463</v>
      </c>
      <c r="C316">
        <v>43160</v>
      </c>
      <c r="D316">
        <v>9739</v>
      </c>
      <c r="E316" t="s">
        <v>319</v>
      </c>
    </row>
    <row r="317" spans="1:5">
      <c r="A317">
        <f>HYPERLINK("http://www.twitter.com/realDonaldTrump/status/808528428123254785", "808528428123254785")</f>
        <v>0</v>
      </c>
      <c r="B317" s="2">
        <v>42717.1848726852</v>
      </c>
      <c r="C317">
        <v>56196</v>
      </c>
      <c r="D317">
        <v>12138</v>
      </c>
      <c r="E317" t="s">
        <v>320</v>
      </c>
    </row>
    <row r="318" spans="1:5">
      <c r="A318">
        <f>HYPERLINK("http://www.twitter.com/realDonaldTrump/status/808469755749339136", "808469755749339136")</f>
        <v>0</v>
      </c>
      <c r="B318" s="2">
        <v>42717.022974537</v>
      </c>
      <c r="C318">
        <v>63541</v>
      </c>
      <c r="D318">
        <v>16778</v>
      </c>
      <c r="E318" t="s">
        <v>321</v>
      </c>
    </row>
    <row r="319" spans="1:5">
      <c r="A319">
        <f>HYPERLINK("http://www.twitter.com/realDonaldTrump/status/808456602076545025", "808456602076545025")</f>
        <v>0</v>
      </c>
      <c r="B319" s="2">
        <v>42716.9866666667</v>
      </c>
      <c r="C319">
        <v>105522</v>
      </c>
      <c r="D319">
        <v>29787</v>
      </c>
      <c r="E319" t="s">
        <v>322</v>
      </c>
    </row>
    <row r="320" spans="1:5">
      <c r="A320">
        <f>HYPERLINK("http://www.twitter.com/realDonaldTrump/status/808437742904418304", "808437742904418304")</f>
        <v>0</v>
      </c>
      <c r="B320" s="2">
        <v>42716.9346296296</v>
      </c>
      <c r="C320">
        <v>27127</v>
      </c>
      <c r="D320">
        <v>7835</v>
      </c>
      <c r="E320" t="s">
        <v>323</v>
      </c>
    </row>
    <row r="321" spans="1:5">
      <c r="A321">
        <f>HYPERLINK("http://www.twitter.com/realDonaldTrump/status/808301935728230404", "808301935728230404")</f>
        <v>0</v>
      </c>
      <c r="B321" s="2">
        <v>42716.5598726852</v>
      </c>
      <c r="C321">
        <v>60440</v>
      </c>
      <c r="D321">
        <v>16422</v>
      </c>
      <c r="E321" t="s">
        <v>324</v>
      </c>
    </row>
    <row r="322" spans="1:5">
      <c r="A322">
        <f>HYPERLINK("http://www.twitter.com/realDonaldTrump/status/808300706914594816", "808300706914594816")</f>
        <v>0</v>
      </c>
      <c r="B322" s="2">
        <v>42716.5564814815</v>
      </c>
      <c r="C322">
        <v>60333</v>
      </c>
      <c r="D322">
        <v>15876</v>
      </c>
      <c r="E322" t="s">
        <v>325</v>
      </c>
    </row>
    <row r="323" spans="1:5">
      <c r="A323">
        <f>HYPERLINK("http://www.twitter.com/realDonaldTrump/status/808299841147248640", "808299841147248640")</f>
        <v>0</v>
      </c>
      <c r="B323" s="2">
        <v>42716.5540972222</v>
      </c>
      <c r="C323">
        <v>108744</v>
      </c>
      <c r="D323">
        <v>34429</v>
      </c>
      <c r="E323" t="s">
        <v>326</v>
      </c>
    </row>
    <row r="324" spans="1:5">
      <c r="A324">
        <f>HYPERLINK("http://www.twitter.com/realDonaldTrump/status/808114703922843649", "808114703922843649")</f>
        <v>0</v>
      </c>
      <c r="B324" s="2">
        <v>42716.0432175926</v>
      </c>
      <c r="C324">
        <v>72408</v>
      </c>
      <c r="D324">
        <v>20038</v>
      </c>
      <c r="E324" t="s">
        <v>327</v>
      </c>
    </row>
    <row r="325" spans="1:5">
      <c r="A325">
        <f>HYPERLINK("http://www.twitter.com/realDonaldTrump/status/808107215492091904", "808107215492091904")</f>
        <v>0</v>
      </c>
      <c r="B325" s="2">
        <v>42716.0225462963</v>
      </c>
      <c r="C325">
        <v>27987</v>
      </c>
      <c r="D325">
        <v>5406</v>
      </c>
      <c r="E325" t="s">
        <v>328</v>
      </c>
    </row>
    <row r="326" spans="1:5">
      <c r="A326">
        <f>HYPERLINK("http://www.twitter.com/realDonaldTrump/status/807970490635743237", "807970490635743237")</f>
        <v>0</v>
      </c>
      <c r="B326" s="2">
        <v>42715.6452546296</v>
      </c>
      <c r="C326">
        <v>52697</v>
      </c>
      <c r="D326">
        <v>12365</v>
      </c>
      <c r="E326" t="s">
        <v>329</v>
      </c>
    </row>
    <row r="327" spans="1:5">
      <c r="A327">
        <f>HYPERLINK("http://www.twitter.com/realDonaldTrump/status/807945982633709570", "807945982633709570")</f>
        <v>0</v>
      </c>
      <c r="B327" s="2">
        <v>42715.5776273148</v>
      </c>
      <c r="C327">
        <v>51310</v>
      </c>
      <c r="D327">
        <v>9895</v>
      </c>
      <c r="E327" t="s">
        <v>330</v>
      </c>
    </row>
    <row r="328" spans="1:5">
      <c r="A328">
        <f>HYPERLINK("http://www.twitter.com/realDonaldTrump/status/807935995316408322", "807935995316408322")</f>
        <v>0</v>
      </c>
      <c r="B328" s="2">
        <v>42715.5500694444</v>
      </c>
      <c r="C328">
        <v>79515</v>
      </c>
      <c r="D328">
        <v>13157</v>
      </c>
      <c r="E328" t="s">
        <v>331</v>
      </c>
    </row>
    <row r="329" spans="1:5">
      <c r="A329">
        <f>HYPERLINK("http://www.twitter.com/realDonaldTrump/status/807932020236124160", "807932020236124160")</f>
        <v>0</v>
      </c>
      <c r="B329" s="2">
        <v>42715.5390972222</v>
      </c>
      <c r="C329">
        <v>30292</v>
      </c>
      <c r="D329">
        <v>5647</v>
      </c>
      <c r="E329" t="s">
        <v>332</v>
      </c>
    </row>
    <row r="330" spans="1:5">
      <c r="A330">
        <f>HYPERLINK("http://www.twitter.com/realDonaldTrump/status/807663539116802048", "807663539116802048")</f>
        <v>0</v>
      </c>
      <c r="B330" s="2">
        <v>42714.7982407407</v>
      </c>
      <c r="C330">
        <v>0</v>
      </c>
      <c r="D330">
        <v>5899</v>
      </c>
      <c r="E330" t="s">
        <v>333</v>
      </c>
    </row>
    <row r="331" spans="1:5">
      <c r="A331">
        <f>HYPERLINK("http://www.twitter.com/realDonaldTrump/status/807663477322027008", "807663477322027008")</f>
        <v>0</v>
      </c>
      <c r="B331" s="2">
        <v>42714.7980671296</v>
      </c>
      <c r="C331">
        <v>27818</v>
      </c>
      <c r="D331">
        <v>7261</v>
      </c>
      <c r="E331" t="s">
        <v>334</v>
      </c>
    </row>
    <row r="332" spans="1:5">
      <c r="A332">
        <f>HYPERLINK("http://www.twitter.com/realDonaldTrump/status/807656426374103041", "807656426374103041")</f>
        <v>0</v>
      </c>
      <c r="B332" s="2">
        <v>42714.7786111111</v>
      </c>
      <c r="C332">
        <v>0</v>
      </c>
      <c r="D332">
        <v>6665</v>
      </c>
      <c r="E332" t="s">
        <v>335</v>
      </c>
    </row>
    <row r="333" spans="1:5">
      <c r="A333">
        <f>HYPERLINK("http://www.twitter.com/realDonaldTrump/status/807589280071684096", "807589280071684096")</f>
        <v>0</v>
      </c>
      <c r="B333" s="2">
        <v>42714.5933217593</v>
      </c>
      <c r="C333">
        <v>31669</v>
      </c>
      <c r="D333">
        <v>12431</v>
      </c>
      <c r="E333" t="s">
        <v>336</v>
      </c>
    </row>
    <row r="334" spans="1:5">
      <c r="A334">
        <f>HYPERLINK("http://www.twitter.com/realDonaldTrump/status/807588632877998081", "807588632877998081")</f>
        <v>0</v>
      </c>
      <c r="B334" s="2">
        <v>42714.5915393519</v>
      </c>
      <c r="C334">
        <v>75364</v>
      </c>
      <c r="D334">
        <v>25328</v>
      </c>
      <c r="E334" t="s">
        <v>337</v>
      </c>
    </row>
    <row r="335" spans="1:5">
      <c r="A335">
        <f>HYPERLINK("http://www.twitter.com/realDonaldTrump/status/807565127021109252", "807565127021109252")</f>
        <v>0</v>
      </c>
      <c r="B335" s="2">
        <v>42714.5266666667</v>
      </c>
      <c r="C335">
        <v>106787</v>
      </c>
      <c r="D335">
        <v>18740</v>
      </c>
      <c r="E335" t="s">
        <v>338</v>
      </c>
    </row>
    <row r="336" spans="1:5">
      <c r="A336">
        <f>HYPERLINK("http://www.twitter.com/realDonaldTrump/status/807547249681166336", "807547249681166336")</f>
        <v>0</v>
      </c>
      <c r="B336" s="2">
        <v>42714.477337963</v>
      </c>
      <c r="C336">
        <v>49926</v>
      </c>
      <c r="D336">
        <v>11315</v>
      </c>
      <c r="E336" t="s">
        <v>339</v>
      </c>
    </row>
    <row r="337" spans="1:5">
      <c r="A337">
        <f>HYPERLINK("http://www.twitter.com/realDonaldTrump/status/807545243608420352", "807545243608420352")</f>
        <v>0</v>
      </c>
      <c r="B337" s="2">
        <v>42714.4718055556</v>
      </c>
      <c r="C337">
        <v>30260</v>
      </c>
      <c r="D337">
        <v>7208</v>
      </c>
      <c r="E337" t="s">
        <v>340</v>
      </c>
    </row>
    <row r="338" spans="1:5">
      <c r="A338">
        <f>HYPERLINK("http://www.twitter.com/realDonaldTrump/status/807427326522884096", "807427326522884096")</f>
        <v>0</v>
      </c>
      <c r="B338" s="2">
        <v>42714.146412037</v>
      </c>
      <c r="C338">
        <v>38351</v>
      </c>
      <c r="D338">
        <v>9170</v>
      </c>
      <c r="E338" t="s">
        <v>341</v>
      </c>
    </row>
    <row r="339" spans="1:5">
      <c r="A339">
        <f>HYPERLINK("http://www.twitter.com/realDonaldTrump/status/807347429062443009", "807347429062443009")</f>
        <v>0</v>
      </c>
      <c r="B339" s="2">
        <v>42713.9259375</v>
      </c>
      <c r="C339">
        <v>36528</v>
      </c>
      <c r="D339">
        <v>9080</v>
      </c>
      <c r="E339" t="s">
        <v>342</v>
      </c>
    </row>
    <row r="340" spans="1:5">
      <c r="A340">
        <f>HYPERLINK("http://www.twitter.com/realDonaldTrump/status/807309464705630208", "807309464705630208")</f>
        <v>0</v>
      </c>
      <c r="B340" s="2">
        <v>42713.8211805556</v>
      </c>
      <c r="C340">
        <v>23115</v>
      </c>
      <c r="D340">
        <v>5368</v>
      </c>
      <c r="E340" t="s">
        <v>343</v>
      </c>
    </row>
    <row r="341" spans="1:5">
      <c r="A341">
        <f>HYPERLINK("http://www.twitter.com/realDonaldTrump/status/807057700857188355", "807057700857188355")</f>
        <v>0</v>
      </c>
      <c r="B341" s="2">
        <v>42713.1264351852</v>
      </c>
      <c r="C341">
        <v>40833</v>
      </c>
      <c r="D341">
        <v>9451</v>
      </c>
      <c r="E341" t="s">
        <v>344</v>
      </c>
    </row>
    <row r="342" spans="1:5">
      <c r="A342">
        <f>HYPERLINK("http://www.twitter.com/realDonaldTrump/status/806999846674698240", "806999846674698240")</f>
        <v>0</v>
      </c>
      <c r="B342" s="2">
        <v>42712.9667939815</v>
      </c>
      <c r="C342">
        <v>21091</v>
      </c>
      <c r="D342">
        <v>5916</v>
      </c>
      <c r="E342" t="s">
        <v>345</v>
      </c>
    </row>
    <row r="343" spans="1:5">
      <c r="A343">
        <f>HYPERLINK("http://www.twitter.com/realDonaldTrump/status/806995622117122048", "806995622117122048")</f>
        <v>0</v>
      </c>
      <c r="B343" s="2">
        <v>42712.9551388889</v>
      </c>
      <c r="C343">
        <v>21937</v>
      </c>
      <c r="D343">
        <v>4089</v>
      </c>
      <c r="E343" t="s">
        <v>346</v>
      </c>
    </row>
    <row r="344" spans="1:5">
      <c r="A344">
        <f>HYPERLINK("http://www.twitter.com/realDonaldTrump/status/806970576359325696", "806970576359325696")</f>
        <v>0</v>
      </c>
      <c r="B344" s="2">
        <v>42712.8860185185</v>
      </c>
      <c r="C344">
        <v>95748</v>
      </c>
      <c r="D344">
        <v>20251</v>
      </c>
      <c r="E344" t="s">
        <v>347</v>
      </c>
    </row>
    <row r="345" spans="1:5">
      <c r="A345">
        <f>HYPERLINK("http://www.twitter.com/realDonaldTrump/status/806678853305384960", "806678853305384960")</f>
        <v>0</v>
      </c>
      <c r="B345" s="2">
        <v>42712.0810185185</v>
      </c>
      <c r="C345">
        <v>57547</v>
      </c>
      <c r="D345">
        <v>14105</v>
      </c>
      <c r="E345" t="s">
        <v>348</v>
      </c>
    </row>
    <row r="346" spans="1:5">
      <c r="A346">
        <f>HYPERLINK("http://www.twitter.com/realDonaldTrump/status/806660011904614408", "806660011904614408")</f>
        <v>0</v>
      </c>
      <c r="B346" s="2">
        <v>42712.0290277778</v>
      </c>
      <c r="C346">
        <v>50083</v>
      </c>
      <c r="D346">
        <v>12869</v>
      </c>
      <c r="E346" t="s">
        <v>349</v>
      </c>
    </row>
    <row r="347" spans="1:5">
      <c r="A347">
        <f>HYPERLINK("http://www.twitter.com/realDonaldTrump/status/806583438748815361", "806583438748815361")</f>
        <v>0</v>
      </c>
      <c r="B347" s="2">
        <v>42711.8177314815</v>
      </c>
      <c r="C347">
        <v>27376</v>
      </c>
      <c r="D347">
        <v>6348</v>
      </c>
      <c r="E347" t="s">
        <v>350</v>
      </c>
    </row>
    <row r="348" spans="1:5">
      <c r="A348">
        <f>HYPERLINK("http://www.twitter.com/realDonaldTrump/status/806568460620857349", "806568460620857349")</f>
        <v>0</v>
      </c>
      <c r="B348" s="2">
        <v>42711.7763888889</v>
      </c>
      <c r="C348">
        <v>77495</v>
      </c>
      <c r="D348">
        <v>18638</v>
      </c>
      <c r="E348" t="s">
        <v>351</v>
      </c>
    </row>
    <row r="349" spans="1:5">
      <c r="A349">
        <f>HYPERLINK("http://www.twitter.com/realDonaldTrump/status/806473064703725568", "806473064703725568")</f>
        <v>0</v>
      </c>
      <c r="B349" s="2">
        <v>42711.5131481482</v>
      </c>
      <c r="C349">
        <v>32327</v>
      </c>
      <c r="D349">
        <v>5359</v>
      </c>
      <c r="E349" t="s">
        <v>352</v>
      </c>
    </row>
    <row r="350" spans="1:5">
      <c r="A350">
        <f>HYPERLINK("http://www.twitter.com/realDonaldTrump/status/806340792247795715", "806340792247795715")</f>
        <v>0</v>
      </c>
      <c r="B350" s="2">
        <v>42711.1481481481</v>
      </c>
      <c r="C350">
        <v>36368</v>
      </c>
      <c r="D350">
        <v>7687</v>
      </c>
      <c r="E350" t="s">
        <v>353</v>
      </c>
    </row>
    <row r="351" spans="1:5">
      <c r="A351">
        <f>HYPERLINK("http://www.twitter.com/realDonaldTrump/status/806246271405162500", "806246271405162500")</f>
        <v>0</v>
      </c>
      <c r="B351" s="2">
        <v>42710.8873263889</v>
      </c>
      <c r="C351">
        <v>70595</v>
      </c>
      <c r="D351">
        <v>14238</v>
      </c>
      <c r="E351" t="s">
        <v>354</v>
      </c>
    </row>
    <row r="352" spans="1:5">
      <c r="A352">
        <f>HYPERLINK("http://www.twitter.com/realDonaldTrump/status/806214236053667842", "806214236053667842")</f>
        <v>0</v>
      </c>
      <c r="B352" s="2">
        <v>42710.7989236111</v>
      </c>
      <c r="C352">
        <v>48764</v>
      </c>
      <c r="D352">
        <v>13133</v>
      </c>
      <c r="E352" t="s">
        <v>355</v>
      </c>
    </row>
    <row r="353" spans="1:5">
      <c r="A353">
        <f>HYPERLINK("http://www.twitter.com/realDonaldTrump/status/806214078465245185", "806214078465245185")</f>
        <v>0</v>
      </c>
      <c r="B353" s="2">
        <v>42710.7984837963</v>
      </c>
      <c r="C353">
        <v>89355</v>
      </c>
      <c r="D353">
        <v>28903</v>
      </c>
      <c r="E353" t="s">
        <v>356</v>
      </c>
    </row>
    <row r="354" spans="1:5">
      <c r="A354">
        <f>HYPERLINK("http://www.twitter.com/realDonaldTrump/status/806177746397306883", "806177746397306883")</f>
        <v>0</v>
      </c>
      <c r="B354" s="2">
        <v>42710.6982291667</v>
      </c>
      <c r="C354">
        <v>26866</v>
      </c>
      <c r="D354">
        <v>6550</v>
      </c>
      <c r="E354" t="s">
        <v>357</v>
      </c>
    </row>
    <row r="355" spans="1:5">
      <c r="A355">
        <f>HYPERLINK("http://www.twitter.com/realDonaldTrump/status/806134244384899072", "806134244384899072")</f>
        <v>0</v>
      </c>
      <c r="B355" s="2">
        <v>42710.5781828704</v>
      </c>
      <c r="C355">
        <v>142255</v>
      </c>
      <c r="D355">
        <v>43193</v>
      </c>
      <c r="E355" t="s">
        <v>358</v>
      </c>
    </row>
    <row r="356" spans="1:5">
      <c r="A356">
        <f>HYPERLINK("http://www.twitter.com/realDonaldTrump/status/805911307270713348", "805911307270713348")</f>
        <v>0</v>
      </c>
      <c r="B356" s="2">
        <v>42709.9629976852</v>
      </c>
      <c r="C356">
        <v>27111</v>
      </c>
      <c r="D356">
        <v>8191</v>
      </c>
      <c r="E356" t="s">
        <v>359</v>
      </c>
    </row>
    <row r="357" spans="1:5">
      <c r="A357">
        <f>HYPERLINK("http://www.twitter.com/realDonaldTrump/status/805804034309427200", "805804034309427200")</f>
        <v>0</v>
      </c>
      <c r="B357" s="2">
        <v>42709.6669791667</v>
      </c>
      <c r="C357">
        <v>141920</v>
      </c>
      <c r="D357">
        <v>38831</v>
      </c>
      <c r="E357" t="s">
        <v>360</v>
      </c>
    </row>
    <row r="358" spans="1:5">
      <c r="A358">
        <f>HYPERLINK("http://www.twitter.com/realDonaldTrump/status/805772007220645888", "805772007220645888")</f>
        <v>0</v>
      </c>
      <c r="B358" s="2">
        <v>42709.578599537</v>
      </c>
      <c r="C358">
        <v>107263</v>
      </c>
      <c r="D358">
        <v>27280</v>
      </c>
      <c r="E358" t="s">
        <v>361</v>
      </c>
    </row>
    <row r="359" spans="1:5">
      <c r="A359">
        <f>HYPERLINK("http://www.twitter.com/realDonaldTrump/status/805539770864693253", "805539770864693253")</f>
        <v>0</v>
      </c>
      <c r="B359" s="2">
        <v>42708.9377546296</v>
      </c>
      <c r="C359">
        <v>52245</v>
      </c>
      <c r="D359">
        <v>14540</v>
      </c>
      <c r="E359" t="s">
        <v>362</v>
      </c>
    </row>
    <row r="360" spans="1:5">
      <c r="A360">
        <f>HYPERLINK("http://www.twitter.com/realDonaldTrump/status/805538149157969924", "805538149157969924")</f>
        <v>0</v>
      </c>
      <c r="B360" s="2">
        <v>42708.933275463</v>
      </c>
      <c r="C360">
        <v>67843</v>
      </c>
      <c r="D360">
        <v>20706</v>
      </c>
      <c r="E360" t="s">
        <v>363</v>
      </c>
    </row>
    <row r="361" spans="1:5">
      <c r="A361">
        <f>HYPERLINK("http://www.twitter.com/realDonaldTrump/status/805528947190616065", "805528947190616065")</f>
        <v>0</v>
      </c>
      <c r="B361" s="2">
        <v>42708.9078819444</v>
      </c>
      <c r="C361">
        <v>31524</v>
      </c>
      <c r="D361">
        <v>6525</v>
      </c>
      <c r="E361" t="s">
        <v>364</v>
      </c>
    </row>
    <row r="362" spans="1:5">
      <c r="A362">
        <f>HYPERLINK("http://www.twitter.com/realDonaldTrump/status/805486509914779649", "805486509914779649")</f>
        <v>0</v>
      </c>
      <c r="B362" s="2">
        <v>42708.790775463</v>
      </c>
      <c r="C362">
        <v>95891</v>
      </c>
      <c r="D362">
        <v>25687</v>
      </c>
      <c r="E362" t="s">
        <v>365</v>
      </c>
    </row>
    <row r="363" spans="1:5">
      <c r="A363">
        <f>HYPERLINK("http://www.twitter.com/realDonaldTrump/status/805387038048612356", "805387038048612356")</f>
        <v>0</v>
      </c>
      <c r="B363" s="2">
        <v>42708.5162847222</v>
      </c>
      <c r="C363">
        <v>58517</v>
      </c>
      <c r="D363">
        <v>14973</v>
      </c>
      <c r="E363" t="s">
        <v>366</v>
      </c>
    </row>
    <row r="364" spans="1:5">
      <c r="A364">
        <f>HYPERLINK("http://www.twitter.com/realDonaldTrump/status/805386422807105536", "805386422807105536")</f>
        <v>0</v>
      </c>
      <c r="B364" s="2">
        <v>42708.5145949074</v>
      </c>
      <c r="C364">
        <v>42406</v>
      </c>
      <c r="D364">
        <v>10369</v>
      </c>
      <c r="E364" t="s">
        <v>367</v>
      </c>
    </row>
    <row r="365" spans="1:5">
      <c r="A365">
        <f>HYPERLINK("http://www.twitter.com/realDonaldTrump/status/805382541343653888", "805382541343653888")</f>
        <v>0</v>
      </c>
      <c r="B365" s="2">
        <v>42708.5038773148</v>
      </c>
      <c r="C365">
        <v>40678</v>
      </c>
      <c r="D365">
        <v>9705</v>
      </c>
      <c r="E365" t="s">
        <v>368</v>
      </c>
    </row>
    <row r="366" spans="1:5">
      <c r="A366">
        <f>HYPERLINK("http://www.twitter.com/realDonaldTrump/status/805380553008680961", "805380553008680961")</f>
        <v>0</v>
      </c>
      <c r="B366" s="2">
        <v>42708.4983912037</v>
      </c>
      <c r="C366">
        <v>48737</v>
      </c>
      <c r="D366">
        <v>12357</v>
      </c>
      <c r="E366" t="s">
        <v>369</v>
      </c>
    </row>
    <row r="367" spans="1:5">
      <c r="A367">
        <f>HYPERLINK("http://www.twitter.com/realDonaldTrump/status/805378393537658880", "805378393537658880")</f>
        <v>0</v>
      </c>
      <c r="B367" s="2">
        <v>42708.4924305556</v>
      </c>
      <c r="C367">
        <v>46560</v>
      </c>
      <c r="D367">
        <v>12064</v>
      </c>
      <c r="E367" t="s">
        <v>370</v>
      </c>
    </row>
    <row r="368" spans="1:5">
      <c r="A368">
        <f>HYPERLINK("http://www.twitter.com/realDonaldTrump/status/805376548882776064", "805376548882776064")</f>
        <v>0</v>
      </c>
      <c r="B368" s="2">
        <v>42708.487349537</v>
      </c>
      <c r="C368">
        <v>53661</v>
      </c>
      <c r="D368">
        <v>13769</v>
      </c>
      <c r="E368" t="s">
        <v>371</v>
      </c>
    </row>
    <row r="369" spans="1:5">
      <c r="A369">
        <f>HYPERLINK("http://www.twitter.com/realDonaldTrump/status/805278955150471168", "805278955150471168")</f>
        <v>0</v>
      </c>
      <c r="B369" s="2">
        <v>42708.2180324074</v>
      </c>
      <c r="C369">
        <v>115846</v>
      </c>
      <c r="D369">
        <v>28144</v>
      </c>
      <c r="E369" t="s">
        <v>372</v>
      </c>
    </row>
    <row r="370" spans="1:5">
      <c r="A370">
        <f>HYPERLINK("http://www.twitter.com/realDonaldTrump/status/805127720749383680", "805127720749383680")</f>
        <v>0</v>
      </c>
      <c r="B370" s="2">
        <v>42707.8007060185</v>
      </c>
      <c r="C370">
        <v>39521</v>
      </c>
      <c r="D370">
        <v>9261</v>
      </c>
      <c r="E370" t="s">
        <v>373</v>
      </c>
    </row>
    <row r="371" spans="1:5">
      <c r="A371">
        <f>HYPERLINK("http://www.twitter.com/realDonaldTrump/status/805126876779913216", "805126876779913216")</f>
        <v>0</v>
      </c>
      <c r="B371" s="2">
        <v>42707.7983796296</v>
      </c>
      <c r="C371">
        <v>39228</v>
      </c>
      <c r="D371">
        <v>9848</v>
      </c>
      <c r="E371" t="s">
        <v>374</v>
      </c>
    </row>
    <row r="372" spans="1:5">
      <c r="A372">
        <f>HYPERLINK("http://www.twitter.com/realDonaldTrump/status/805088569765359616", "805088569765359616")</f>
        <v>0</v>
      </c>
      <c r="B372" s="2">
        <v>42707.6926736111</v>
      </c>
      <c r="C372">
        <v>38040</v>
      </c>
      <c r="D372">
        <v>9379</v>
      </c>
      <c r="E372" t="s">
        <v>375</v>
      </c>
    </row>
    <row r="373" spans="1:5">
      <c r="A373">
        <f>HYPERLINK("http://www.twitter.com/realDonaldTrump/status/804884532671430658", "804884532671430658")</f>
        <v>0</v>
      </c>
      <c r="B373" s="2">
        <v>42707.1296412037</v>
      </c>
      <c r="C373">
        <v>64717</v>
      </c>
      <c r="D373">
        <v>17546</v>
      </c>
      <c r="E373" t="s">
        <v>376</v>
      </c>
    </row>
    <row r="374" spans="1:5">
      <c r="A374">
        <f>HYPERLINK("http://www.twitter.com/realDonaldTrump/status/804863098138005504", "804863098138005504")</f>
        <v>0</v>
      </c>
      <c r="B374" s="2">
        <v>42707.0704861111</v>
      </c>
      <c r="C374">
        <v>123569</v>
      </c>
      <c r="D374">
        <v>39039</v>
      </c>
      <c r="E374" t="s">
        <v>377</v>
      </c>
    </row>
    <row r="375" spans="1:5">
      <c r="A375">
        <f>HYPERLINK("http://www.twitter.com/realDonaldTrump/status/804848711599882240", "804848711599882240")</f>
        <v>0</v>
      </c>
      <c r="B375" s="2">
        <v>42707.030787037</v>
      </c>
      <c r="C375">
        <v>111608</v>
      </c>
      <c r="D375">
        <v>24846</v>
      </c>
      <c r="E375" t="s">
        <v>378</v>
      </c>
    </row>
    <row r="376" spans="1:5">
      <c r="A376">
        <f>HYPERLINK("http://www.twitter.com/realDonaldTrump/status/804516764562374656", "804516764562374656")</f>
        <v>0</v>
      </c>
      <c r="B376" s="2">
        <v>42706.1147916667</v>
      </c>
      <c r="C376">
        <v>72463</v>
      </c>
      <c r="D376">
        <v>17377</v>
      </c>
      <c r="E376" t="s">
        <v>379</v>
      </c>
    </row>
    <row r="377" spans="1:5">
      <c r="A377">
        <f>HYPERLINK("http://www.twitter.com/realDonaldTrump/status/804458095569158144", "804458095569158144")</f>
        <v>0</v>
      </c>
      <c r="B377" s="2">
        <v>42705.9528935185</v>
      </c>
      <c r="C377">
        <v>31365</v>
      </c>
      <c r="D377">
        <v>5592</v>
      </c>
      <c r="E377" t="s">
        <v>380</v>
      </c>
    </row>
    <row r="378" spans="1:5">
      <c r="A378">
        <f>HYPERLINK("http://www.twitter.com/realDonaldTrump/status/804333771021570048", "804333771021570048")</f>
        <v>0</v>
      </c>
      <c r="B378" s="2">
        <v>42705.6098263889</v>
      </c>
      <c r="C378">
        <v>57517</v>
      </c>
      <c r="D378">
        <v>9886</v>
      </c>
      <c r="E378" t="s">
        <v>381</v>
      </c>
    </row>
    <row r="379" spans="1:5">
      <c r="A379">
        <f>HYPERLINK("http://www.twitter.com/realDonaldTrump/status/804333718999539712", "804333718999539712")</f>
        <v>0</v>
      </c>
      <c r="B379" s="2">
        <v>42705.6096875</v>
      </c>
      <c r="C379">
        <v>65979</v>
      </c>
      <c r="D379">
        <v>12127</v>
      </c>
      <c r="E379" t="s">
        <v>382</v>
      </c>
    </row>
    <row r="380" spans="1:5">
      <c r="A380">
        <f>HYPERLINK("http://www.twitter.com/realDonaldTrump/status/804170300908781570", "804170300908781570")</f>
        <v>0</v>
      </c>
      <c r="B380" s="2">
        <v>42705.1587384259</v>
      </c>
      <c r="C380">
        <v>67887</v>
      </c>
      <c r="D380">
        <v>12704</v>
      </c>
      <c r="E380" t="s">
        <v>383</v>
      </c>
    </row>
    <row r="381" spans="1:5">
      <c r="A381">
        <f>HYPERLINK("http://www.twitter.com/realDonaldTrump/status/804052438546317312", "804052438546317312")</f>
        <v>0</v>
      </c>
      <c r="B381" s="2">
        <v>42704.8334953704</v>
      </c>
      <c r="C381">
        <v>52544</v>
      </c>
      <c r="D381">
        <v>14846</v>
      </c>
      <c r="E381" t="s">
        <v>384</v>
      </c>
    </row>
    <row r="382" spans="1:5">
      <c r="A382">
        <f>HYPERLINK("http://www.twitter.com/realDonaldTrump/status/804050182170116096", "804050182170116096")</f>
        <v>0</v>
      </c>
      <c r="B382" s="2">
        <v>42704.8272685185</v>
      </c>
      <c r="C382">
        <v>0</v>
      </c>
      <c r="D382">
        <v>7416</v>
      </c>
      <c r="E382" t="s">
        <v>385</v>
      </c>
    </row>
    <row r="383" spans="1:5">
      <c r="A383">
        <f>HYPERLINK("http://www.twitter.com/realDonaldTrump/status/803997374016167936", "803997374016167936")</f>
        <v>0</v>
      </c>
      <c r="B383" s="2">
        <v>42704.6815509259</v>
      </c>
      <c r="C383">
        <v>26212</v>
      </c>
      <c r="D383">
        <v>7141</v>
      </c>
      <c r="E383" t="s">
        <v>386</v>
      </c>
    </row>
    <row r="384" spans="1:5">
      <c r="A384">
        <f>HYPERLINK("http://www.twitter.com/realDonaldTrump/status/803982850081099776", "803982850081099776")</f>
        <v>0</v>
      </c>
      <c r="B384" s="2">
        <v>42704.6414699074</v>
      </c>
      <c r="C384">
        <v>30659</v>
      </c>
      <c r="D384">
        <v>8059</v>
      </c>
      <c r="E384" t="s">
        <v>387</v>
      </c>
    </row>
    <row r="385" spans="1:5">
      <c r="A385">
        <f>HYPERLINK("http://www.twitter.com/realDonaldTrump/status/803931490514075648", "803931490514075648")</f>
        <v>0</v>
      </c>
      <c r="B385" s="2">
        <v>42704.4997453704</v>
      </c>
      <c r="C385">
        <v>77903</v>
      </c>
      <c r="D385">
        <v>17651</v>
      </c>
      <c r="E385" t="s">
        <v>388</v>
      </c>
    </row>
    <row r="386" spans="1:5">
      <c r="A386">
        <f>HYPERLINK("http://www.twitter.com/realDonaldTrump/status/803930240661811200", "803930240661811200")</f>
        <v>0</v>
      </c>
      <c r="B386" s="2">
        <v>42704.4962962963</v>
      </c>
      <c r="C386">
        <v>51168</v>
      </c>
      <c r="D386">
        <v>11329</v>
      </c>
      <c r="E386" t="s">
        <v>389</v>
      </c>
    </row>
    <row r="387" spans="1:5">
      <c r="A387">
        <f>HYPERLINK("http://www.twitter.com/realDonaldTrump/status/803927774784344064", "803927774784344064")</f>
        <v>0</v>
      </c>
      <c r="B387" s="2">
        <v>42704.4894907407</v>
      </c>
      <c r="C387">
        <v>45593</v>
      </c>
      <c r="D387">
        <v>10732</v>
      </c>
      <c r="E387" t="s">
        <v>390</v>
      </c>
    </row>
    <row r="388" spans="1:5">
      <c r="A388">
        <f>HYPERLINK("http://www.twitter.com/realDonaldTrump/status/803926488579973120", "803926488579973120")</f>
        <v>0</v>
      </c>
      <c r="B388" s="2">
        <v>42704.4859375</v>
      </c>
      <c r="C388">
        <v>45436</v>
      </c>
      <c r="D388">
        <v>11387</v>
      </c>
      <c r="E388" t="s">
        <v>391</v>
      </c>
    </row>
    <row r="389" spans="1:5">
      <c r="A389">
        <f>HYPERLINK("http://www.twitter.com/realDonaldTrump/status/803921522784092160", "803921522784092160")</f>
        <v>0</v>
      </c>
      <c r="B389" s="2">
        <v>42704.4722337963</v>
      </c>
      <c r="C389">
        <v>108137</v>
      </c>
      <c r="D389">
        <v>34683</v>
      </c>
      <c r="E389" t="s">
        <v>392</v>
      </c>
    </row>
    <row r="390" spans="1:5">
      <c r="A390">
        <f>HYPERLINK("http://www.twitter.com/realDonaldTrump/status/803808454620094465", "803808454620094465")</f>
        <v>0</v>
      </c>
      <c r="B390" s="2">
        <v>42704.1602314815</v>
      </c>
      <c r="C390">
        <v>84113</v>
      </c>
      <c r="D390">
        <v>18816</v>
      </c>
      <c r="E390" t="s">
        <v>393</v>
      </c>
    </row>
    <row r="391" spans="1:5">
      <c r="A391">
        <f>HYPERLINK("http://www.twitter.com/realDonaldTrump/status/803805823503925250", "803805823503925250")</f>
        <v>0</v>
      </c>
      <c r="B391" s="2">
        <v>42704.152962963</v>
      </c>
      <c r="C391">
        <v>70612</v>
      </c>
      <c r="D391">
        <v>15706</v>
      </c>
      <c r="E391" t="s">
        <v>394</v>
      </c>
    </row>
    <row r="392" spans="1:5">
      <c r="A392">
        <f>HYPERLINK("http://www.twitter.com/realDonaldTrump/status/803744769566339072", "803744769566339072")</f>
        <v>0</v>
      </c>
      <c r="B392" s="2">
        <v>42703.9844907407</v>
      </c>
      <c r="C392">
        <v>27875</v>
      </c>
      <c r="D392">
        <v>6652</v>
      </c>
      <c r="E392" t="s">
        <v>395</v>
      </c>
    </row>
    <row r="393" spans="1:5">
      <c r="A393">
        <f>HYPERLINK("http://www.twitter.com/realDonaldTrump/status/803704881278230528", "803704881278230528")</f>
        <v>0</v>
      </c>
      <c r="B393" s="2">
        <v>42703.8744212963</v>
      </c>
      <c r="C393">
        <v>24623</v>
      </c>
      <c r="D393">
        <v>6713</v>
      </c>
      <c r="E393" t="s">
        <v>396</v>
      </c>
    </row>
    <row r="394" spans="1:5">
      <c r="A394">
        <f>HYPERLINK("http://www.twitter.com/realDonaldTrump/status/803701545426681856", "803701545426681856")</f>
        <v>0</v>
      </c>
      <c r="B394" s="2">
        <v>42703.8652199074</v>
      </c>
      <c r="C394">
        <v>0</v>
      </c>
      <c r="D394">
        <v>5871</v>
      </c>
      <c r="E394" t="s">
        <v>397</v>
      </c>
    </row>
    <row r="395" spans="1:5">
      <c r="A395">
        <f>HYPERLINK("http://www.twitter.com/realDonaldTrump/status/803692055897788424", "803692055897788424")</f>
        <v>0</v>
      </c>
      <c r="B395" s="2">
        <v>42703.8390277778</v>
      </c>
      <c r="C395">
        <v>107405</v>
      </c>
      <c r="D395">
        <v>28542</v>
      </c>
      <c r="E395" t="s">
        <v>398</v>
      </c>
    </row>
    <row r="396" spans="1:5">
      <c r="A396">
        <f>HYPERLINK("http://www.twitter.com/realDonaldTrump/status/803567993036754944", "803567993036754944")</f>
        <v>0</v>
      </c>
      <c r="B396" s="2">
        <v>42703.4966782407</v>
      </c>
      <c r="C396">
        <v>214890</v>
      </c>
      <c r="D396">
        <v>73282</v>
      </c>
      <c r="E396" t="s">
        <v>399</v>
      </c>
    </row>
    <row r="397" spans="1:5">
      <c r="A397">
        <f>HYPERLINK("http://www.twitter.com/realDonaldTrump/status/803562827776720896", "803562827776720896")</f>
        <v>0</v>
      </c>
      <c r="B397" s="2">
        <v>42703.4824305556</v>
      </c>
      <c r="C397">
        <v>73630</v>
      </c>
      <c r="D397">
        <v>19110</v>
      </c>
      <c r="E397" t="s">
        <v>400</v>
      </c>
    </row>
    <row r="398" spans="1:5">
      <c r="A398">
        <f>HYPERLINK("http://www.twitter.com/realDonaldTrump/status/803558077144399873", "803558077144399873")</f>
        <v>0</v>
      </c>
      <c r="B398" s="2">
        <v>42703.4693171296</v>
      </c>
      <c r="C398">
        <v>98441</v>
      </c>
      <c r="D398">
        <v>21803</v>
      </c>
      <c r="E398" t="s">
        <v>401</v>
      </c>
    </row>
    <row r="399" spans="1:5">
      <c r="A399">
        <f>HYPERLINK("http://www.twitter.com/realDonaldTrump/status/803434300846862336", "803434300846862336")</f>
        <v>0</v>
      </c>
      <c r="B399" s="2">
        <v>42703.1277662037</v>
      </c>
      <c r="C399">
        <v>92183</v>
      </c>
      <c r="D399">
        <v>25346</v>
      </c>
      <c r="E399" t="s">
        <v>402</v>
      </c>
    </row>
    <row r="400" spans="1:5">
      <c r="A400">
        <f>HYPERLINK("http://www.twitter.com/realDonaldTrump/status/803423503978532864", "803423503978532864")</f>
        <v>0</v>
      </c>
      <c r="B400" s="2">
        <v>42703.097962963</v>
      </c>
      <c r="C400">
        <v>33862</v>
      </c>
      <c r="D400">
        <v>9229</v>
      </c>
      <c r="E400" t="s">
        <v>403</v>
      </c>
    </row>
    <row r="401" spans="1:5">
      <c r="A401">
        <f>HYPERLINK("http://www.twitter.com/realDonaldTrump/status/803423203620245504", "803423203620245504")</f>
        <v>0</v>
      </c>
      <c r="B401" s="2">
        <v>42703.0971412037</v>
      </c>
      <c r="C401">
        <v>32728</v>
      </c>
      <c r="D401">
        <v>7767</v>
      </c>
      <c r="E401" t="s">
        <v>404</v>
      </c>
    </row>
    <row r="402" spans="1:5">
      <c r="A402">
        <f>HYPERLINK("http://www.twitter.com/realDonaldTrump/status/803422200594309120", "803422200594309120")</f>
        <v>0</v>
      </c>
      <c r="B402" s="2">
        <v>42703.094375</v>
      </c>
      <c r="C402">
        <v>31372</v>
      </c>
      <c r="D402">
        <v>7716</v>
      </c>
      <c r="E402" t="s">
        <v>405</v>
      </c>
    </row>
    <row r="403" spans="1:5">
      <c r="A403">
        <f>HYPERLINK("http://www.twitter.com/realDonaldTrump/status/803421742815412224", "803421742815412224")</f>
        <v>0</v>
      </c>
      <c r="B403" s="2">
        <v>42703.0931018519</v>
      </c>
      <c r="C403">
        <v>30245</v>
      </c>
      <c r="D403">
        <v>7966</v>
      </c>
      <c r="E403" t="s">
        <v>406</v>
      </c>
    </row>
    <row r="404" spans="1:5">
      <c r="A404">
        <f>HYPERLINK("http://www.twitter.com/realDonaldTrump/status/803343150907617284", "803343150907617284")</f>
        <v>0</v>
      </c>
      <c r="B404" s="2">
        <v>42702.8762384259</v>
      </c>
      <c r="C404">
        <v>69476</v>
      </c>
      <c r="D404">
        <v>13949</v>
      </c>
      <c r="E404" t="s">
        <v>407</v>
      </c>
    </row>
    <row r="405" spans="1:5">
      <c r="A405">
        <f>HYPERLINK("http://www.twitter.com/realDonaldTrump/status/803237535178772481", "803237535178772481")</f>
        <v>0</v>
      </c>
      <c r="B405" s="2">
        <v>42702.5847916667</v>
      </c>
      <c r="C405">
        <v>84858</v>
      </c>
      <c r="D405">
        <v>24753</v>
      </c>
      <c r="E405" t="s">
        <v>408</v>
      </c>
    </row>
    <row r="406" spans="1:5">
      <c r="A406">
        <f>HYPERLINK("http://www.twitter.com/realDonaldTrump/status/803033642545115140", "803033642545115140")</f>
        <v>0</v>
      </c>
      <c r="B406" s="2">
        <v>42702.0221527778</v>
      </c>
      <c r="C406">
        <v>102195</v>
      </c>
      <c r="D406">
        <v>31340</v>
      </c>
      <c r="E406" t="s">
        <v>409</v>
      </c>
    </row>
    <row r="407" spans="1:5">
      <c r="A407">
        <f>HYPERLINK("http://www.twitter.com/realDonaldTrump/status/802975667197386752", "802975667197386752")</f>
        <v>0</v>
      </c>
      <c r="B407" s="2">
        <v>42701.8621759259</v>
      </c>
      <c r="C407">
        <v>48704</v>
      </c>
      <c r="D407">
        <v>10887</v>
      </c>
      <c r="E407" t="s">
        <v>410</v>
      </c>
    </row>
    <row r="408" spans="1:5">
      <c r="A408">
        <f>HYPERLINK("http://www.twitter.com/realDonaldTrump/status/802973848022847489", "802973848022847489")</f>
        <v>0</v>
      </c>
      <c r="B408" s="2">
        <v>42701.8571527778</v>
      </c>
      <c r="C408">
        <v>48574</v>
      </c>
      <c r="D408">
        <v>11609</v>
      </c>
      <c r="E408" t="s">
        <v>411</v>
      </c>
    </row>
    <row r="409" spans="1:5">
      <c r="A409">
        <f>HYPERLINK("http://www.twitter.com/realDonaldTrump/status/802972944532209664", "802972944532209664")</f>
        <v>0</v>
      </c>
      <c r="B409" s="2">
        <v>42701.8546643518</v>
      </c>
      <c r="C409">
        <v>163381</v>
      </c>
      <c r="D409">
        <v>53832</v>
      </c>
      <c r="E409" t="s">
        <v>412</v>
      </c>
    </row>
    <row r="410" spans="1:5">
      <c r="A410">
        <f>HYPERLINK("http://www.twitter.com/realDonaldTrump/status/802866941820071937", "802866941820071937")</f>
        <v>0</v>
      </c>
      <c r="B410" s="2">
        <v>42701.5621527778</v>
      </c>
      <c r="C410">
        <v>74932</v>
      </c>
      <c r="D410">
        <v>17320</v>
      </c>
      <c r="E410" t="s">
        <v>413</v>
      </c>
    </row>
    <row r="411" spans="1:5">
      <c r="A411">
        <f>HYPERLINK("http://www.twitter.com/realDonaldTrump/status/802865382490968064", "802865382490968064")</f>
        <v>0</v>
      </c>
      <c r="B411" s="2">
        <v>42701.5578472222</v>
      </c>
      <c r="C411">
        <v>50394</v>
      </c>
      <c r="D411">
        <v>12723</v>
      </c>
      <c r="E411" t="s">
        <v>414</v>
      </c>
    </row>
    <row r="412" spans="1:5">
      <c r="A412">
        <f>HYPERLINK("http://www.twitter.com/realDonaldTrump/status/802864075822788608", "802864075822788608")</f>
        <v>0</v>
      </c>
      <c r="B412" s="2">
        <v>42701.5542361111</v>
      </c>
      <c r="C412">
        <v>39442</v>
      </c>
      <c r="D412">
        <v>9619</v>
      </c>
      <c r="E412" t="s">
        <v>415</v>
      </c>
    </row>
    <row r="413" spans="1:5">
      <c r="A413">
        <f>HYPERLINK("http://www.twitter.com/realDonaldTrump/status/802861553905238017", "802861553905238017")</f>
        <v>0</v>
      </c>
      <c r="B413" s="2">
        <v>42701.5472800926</v>
      </c>
      <c r="C413">
        <v>38329</v>
      </c>
      <c r="D413">
        <v>9138</v>
      </c>
      <c r="E413" t="s">
        <v>416</v>
      </c>
    </row>
    <row r="414" spans="1:5">
      <c r="A414">
        <f>HYPERLINK("http://www.twitter.com/realDonaldTrump/status/802859802749784064", "802859802749784064")</f>
        <v>0</v>
      </c>
      <c r="B414" s="2">
        <v>42701.5424537037</v>
      </c>
      <c r="C414">
        <v>41469</v>
      </c>
      <c r="D414">
        <v>10047</v>
      </c>
      <c r="E414" t="s">
        <v>417</v>
      </c>
    </row>
    <row r="415" spans="1:5">
      <c r="A415">
        <f>HYPERLINK("http://www.twitter.com/realDonaldTrump/status/802858273284255744", "802858273284255744")</f>
        <v>0</v>
      </c>
      <c r="B415" s="2">
        <v>42701.5382291667</v>
      </c>
      <c r="C415">
        <v>44551</v>
      </c>
      <c r="D415">
        <v>11349</v>
      </c>
      <c r="E415" t="s">
        <v>418</v>
      </c>
    </row>
    <row r="416" spans="1:5">
      <c r="A416">
        <f>HYPERLINK("http://www.twitter.com/realDonaldTrump/status/802849330176659456", "802849330176659456")</f>
        <v>0</v>
      </c>
      <c r="B416" s="2">
        <v>42701.5135532407</v>
      </c>
      <c r="C416">
        <v>97473</v>
      </c>
      <c r="D416">
        <v>26942</v>
      </c>
      <c r="E416" t="s">
        <v>419</v>
      </c>
    </row>
    <row r="417" spans="1:5">
      <c r="A417">
        <f>HYPERLINK("http://www.twitter.com/realDonaldTrump/status/802723588759375873", "802723588759375873")</f>
        <v>0</v>
      </c>
      <c r="B417" s="2">
        <v>42701.1665740741</v>
      </c>
      <c r="C417">
        <v>101126</v>
      </c>
      <c r="D417">
        <v>31791</v>
      </c>
      <c r="E417" t="s">
        <v>420</v>
      </c>
    </row>
    <row r="418" spans="1:5">
      <c r="A418">
        <f>HYPERLINK("http://www.twitter.com/realDonaldTrump/status/802671162383802368", "802671162383802368")</f>
        <v>0</v>
      </c>
      <c r="B418" s="2">
        <v>42701.0218981481</v>
      </c>
      <c r="C418">
        <v>98797</v>
      </c>
      <c r="D418">
        <v>32301</v>
      </c>
      <c r="E418" t="s">
        <v>421</v>
      </c>
    </row>
    <row r="419" spans="1:5">
      <c r="A419">
        <f>HYPERLINK("http://www.twitter.com/realDonaldTrump/status/802499192237080576", "802499192237080576")</f>
        <v>0</v>
      </c>
      <c r="B419" s="2">
        <v>42700.547349537</v>
      </c>
      <c r="C419">
        <v>210895</v>
      </c>
      <c r="D419">
        <v>100343</v>
      </c>
      <c r="E419" t="s">
        <v>422</v>
      </c>
    </row>
    <row r="420" spans="1:5">
      <c r="A420">
        <f>HYPERLINK("http://www.twitter.com/realDonaldTrump/status/801805564577808385", "801805564577808385")</f>
        <v>0</v>
      </c>
      <c r="B420" s="2">
        <v>42698.6333101852</v>
      </c>
      <c r="C420">
        <v>139723</v>
      </c>
      <c r="D420">
        <v>31052</v>
      </c>
      <c r="E420" t="s">
        <v>423</v>
      </c>
    </row>
    <row r="421" spans="1:5">
      <c r="A421">
        <f>HYPERLINK("http://www.twitter.com/realDonaldTrump/status/801629061831331840", "801629061831331840")</f>
        <v>0</v>
      </c>
      <c r="B421" s="2">
        <v>42698.14625</v>
      </c>
      <c r="C421">
        <v>186549</v>
      </c>
      <c r="D421">
        <v>49038</v>
      </c>
      <c r="E421" t="s">
        <v>424</v>
      </c>
    </row>
    <row r="422" spans="1:5">
      <c r="A422">
        <f>HYPERLINK("http://www.twitter.com/realDonaldTrump/status/801610648010575872", "801610648010575872")</f>
        <v>0</v>
      </c>
      <c r="B422" s="2">
        <v>42698.0954398148</v>
      </c>
      <c r="C422">
        <v>167937</v>
      </c>
      <c r="D422">
        <v>48804</v>
      </c>
      <c r="E422" t="s">
        <v>425</v>
      </c>
    </row>
    <row r="423" spans="1:5">
      <c r="A423">
        <f>HYPERLINK("http://www.twitter.com/realDonaldTrump/status/801219908910469120", "801219908910469120")</f>
        <v>0</v>
      </c>
      <c r="B423" s="2">
        <v>42697.0171990741</v>
      </c>
      <c r="C423">
        <v>133051</v>
      </c>
      <c r="D423">
        <v>27806</v>
      </c>
      <c r="E423" t="s">
        <v>426</v>
      </c>
    </row>
    <row r="424" spans="1:5">
      <c r="A424">
        <f>HYPERLINK("http://www.twitter.com/realDonaldTrump/status/801110690387857408", "801110690387857408")</f>
        <v>0</v>
      </c>
      <c r="B424" s="2">
        <v>42696.7158217593</v>
      </c>
      <c r="C424">
        <v>140906</v>
      </c>
      <c r="D424">
        <v>27226</v>
      </c>
      <c r="E424" t="s">
        <v>427</v>
      </c>
    </row>
    <row r="425" spans="1:5">
      <c r="A425">
        <f>HYPERLINK("http://www.twitter.com/realDonaldTrump/status/801087976889520128", "801087976889520128")</f>
        <v>0</v>
      </c>
      <c r="B425" s="2">
        <v>42696.6531365741</v>
      </c>
      <c r="C425">
        <v>34129</v>
      </c>
      <c r="D425">
        <v>7258</v>
      </c>
      <c r="E425" t="s">
        <v>428</v>
      </c>
    </row>
    <row r="426" spans="1:5">
      <c r="A426">
        <f>HYPERLINK("http://www.twitter.com/realDonaldTrump/status/801057586162319360", "801057586162319360")</f>
        <v>0</v>
      </c>
      <c r="B426" s="2">
        <v>42696.5692824074</v>
      </c>
      <c r="C426">
        <v>38175</v>
      </c>
      <c r="D426">
        <v>10582</v>
      </c>
      <c r="E426" t="s">
        <v>429</v>
      </c>
    </row>
    <row r="427" spans="1:5">
      <c r="A427">
        <f>HYPERLINK("http://www.twitter.com/realDonaldTrump/status/801057215226544128", "801057215226544128")</f>
        <v>0</v>
      </c>
      <c r="B427" s="2">
        <v>42696.5682523148</v>
      </c>
      <c r="C427">
        <v>31389</v>
      </c>
      <c r="D427">
        <v>8673</v>
      </c>
      <c r="E427" t="s">
        <v>430</v>
      </c>
    </row>
    <row r="428" spans="1:5">
      <c r="A428">
        <f>HYPERLINK("http://www.twitter.com/realDonaldTrump/status/801029194906038272", "801029194906038272")</f>
        <v>0</v>
      </c>
      <c r="B428" s="2">
        <v>42696.4909375</v>
      </c>
      <c r="C428">
        <v>81288</v>
      </c>
      <c r="D428">
        <v>17191</v>
      </c>
      <c r="E428" t="s">
        <v>431</v>
      </c>
    </row>
    <row r="429" spans="1:5">
      <c r="A429">
        <f>HYPERLINK("http://www.twitter.com/realDonaldTrump/status/801026635579424768", "801026635579424768")</f>
        <v>0</v>
      </c>
      <c r="B429" s="2">
        <v>42696.4838657407</v>
      </c>
      <c r="C429">
        <v>50228</v>
      </c>
      <c r="D429">
        <v>12040</v>
      </c>
      <c r="E429" t="s">
        <v>432</v>
      </c>
    </row>
    <row r="430" spans="1:5">
      <c r="A430">
        <f>HYPERLINK("http://www.twitter.com/realDonaldTrump/status/801025256487940096", "801025256487940096")</f>
        <v>0</v>
      </c>
      <c r="B430" s="2">
        <v>42696.4800694444</v>
      </c>
      <c r="C430">
        <v>39219</v>
      </c>
      <c r="D430">
        <v>9506</v>
      </c>
      <c r="E430" t="s">
        <v>433</v>
      </c>
    </row>
    <row r="431" spans="1:5">
      <c r="A431">
        <f>HYPERLINK("http://www.twitter.com/realDonaldTrump/status/801021596228091905", "801021596228091905")</f>
        <v>0</v>
      </c>
      <c r="B431" s="2">
        <v>42696.4699652778</v>
      </c>
      <c r="C431">
        <v>69006</v>
      </c>
      <c r="D431">
        <v>17494</v>
      </c>
      <c r="E431" t="s">
        <v>434</v>
      </c>
    </row>
    <row r="432" spans="1:5">
      <c r="A432">
        <f>HYPERLINK("http://www.twitter.com/realDonaldTrump/status/800887087780294656", "800887087780294656")</f>
        <v>0</v>
      </c>
      <c r="B432" s="2">
        <v>42696.0987962963</v>
      </c>
      <c r="C432">
        <v>66796</v>
      </c>
      <c r="D432">
        <v>22480</v>
      </c>
      <c r="E432" t="s">
        <v>435</v>
      </c>
    </row>
    <row r="433" spans="1:5">
      <c r="A433">
        <f>HYPERLINK("http://www.twitter.com/realDonaldTrump/status/800885097775955974", "800885097775955974")</f>
        <v>0</v>
      </c>
      <c r="B433" s="2">
        <v>42696.0932986111</v>
      </c>
      <c r="C433">
        <v>79983</v>
      </c>
      <c r="D433">
        <v>19030</v>
      </c>
      <c r="E433" t="s">
        <v>436</v>
      </c>
    </row>
    <row r="434" spans="1:5">
      <c r="A434">
        <f>HYPERLINK("http://www.twitter.com/realDonaldTrump/status/800850810490023937", "800850810490023937")</f>
        <v>0</v>
      </c>
      <c r="B434" s="2">
        <v>42695.9986805556</v>
      </c>
      <c r="C434">
        <v>102882</v>
      </c>
      <c r="D434">
        <v>42164</v>
      </c>
      <c r="E434" t="s">
        <v>437</v>
      </c>
    </row>
    <row r="435" spans="1:5">
      <c r="A435">
        <f>HYPERLINK("http://www.twitter.com/realDonaldTrump/status/800339165829283840", "800339165829283840")</f>
        <v>0</v>
      </c>
      <c r="B435" s="2">
        <v>42694.5868171296</v>
      </c>
      <c r="C435">
        <v>56006</v>
      </c>
      <c r="D435">
        <v>11518</v>
      </c>
      <c r="E435" t="s">
        <v>438</v>
      </c>
    </row>
    <row r="436" spans="1:5">
      <c r="A436">
        <f>HYPERLINK("http://www.twitter.com/realDonaldTrump/status/800332639844659201", "800332639844659201")</f>
        <v>0</v>
      </c>
      <c r="B436" s="2">
        <v>42694.5688078704</v>
      </c>
      <c r="C436">
        <v>83109</v>
      </c>
      <c r="D436">
        <v>21869</v>
      </c>
      <c r="E436" t="s">
        <v>439</v>
      </c>
    </row>
    <row r="437" spans="1:5">
      <c r="A437">
        <f>HYPERLINK("http://www.twitter.com/realDonaldTrump/status/800329364986626048", "800329364986626048")</f>
        <v>0</v>
      </c>
      <c r="B437" s="2">
        <v>42694.5597685185</v>
      </c>
      <c r="C437">
        <v>69389</v>
      </c>
      <c r="D437">
        <v>16124</v>
      </c>
      <c r="E437" t="s">
        <v>440</v>
      </c>
    </row>
    <row r="438" spans="1:5">
      <c r="A438">
        <f>HYPERLINK("http://www.twitter.com/realDonaldTrump/status/800303776615854080", "800303776615854080")</f>
        <v>0</v>
      </c>
      <c r="B438" s="2">
        <v>42694.4891550926</v>
      </c>
      <c r="C438">
        <v>68590</v>
      </c>
      <c r="D438">
        <v>14063</v>
      </c>
      <c r="E438" t="s">
        <v>441</v>
      </c>
    </row>
    <row r="439" spans="1:5">
      <c r="A439">
        <f>HYPERLINK("http://www.twitter.com/realDonaldTrump/status/800298286204723200", "800298286204723200")</f>
        <v>0</v>
      </c>
      <c r="B439" s="2">
        <v>42694.4740046296</v>
      </c>
      <c r="C439">
        <v>105155</v>
      </c>
      <c r="D439">
        <v>25717</v>
      </c>
      <c r="E439" t="s">
        <v>442</v>
      </c>
    </row>
    <row r="440" spans="1:5">
      <c r="A440">
        <f>HYPERLINK("http://www.twitter.com/realDonaldTrump/status/799974635274194947", "799974635274194947")</f>
        <v>0</v>
      </c>
      <c r="B440" s="2">
        <v>42693.5809027778</v>
      </c>
      <c r="C440">
        <v>150949</v>
      </c>
      <c r="D440">
        <v>44065</v>
      </c>
      <c r="E440" t="s">
        <v>443</v>
      </c>
    </row>
    <row r="441" spans="1:5">
      <c r="A441">
        <f>HYPERLINK("http://www.twitter.com/realDonaldTrump/status/799972624713420804", "799972624713420804")</f>
        <v>0</v>
      </c>
      <c r="B441" s="2">
        <v>42693.5753587963</v>
      </c>
      <c r="C441">
        <v>123335</v>
      </c>
      <c r="D441">
        <v>34161</v>
      </c>
      <c r="E441" t="s">
        <v>444</v>
      </c>
    </row>
    <row r="442" spans="1:5">
      <c r="A442">
        <f>HYPERLINK("http://www.twitter.com/realDonaldTrump/status/799970371705380864", "799970371705380864")</f>
        <v>0</v>
      </c>
      <c r="B442" s="2">
        <v>42693.5691435185</v>
      </c>
      <c r="C442">
        <v>63092</v>
      </c>
      <c r="D442">
        <v>13106</v>
      </c>
      <c r="E442" t="s">
        <v>445</v>
      </c>
    </row>
    <row r="443" spans="1:5">
      <c r="A443">
        <f>HYPERLINK("http://www.twitter.com/realDonaldTrump/status/799969130237542400", "799969130237542400")</f>
        <v>0</v>
      </c>
      <c r="B443" s="2">
        <v>42693.5657175926</v>
      </c>
      <c r="C443">
        <v>91274</v>
      </c>
      <c r="D443">
        <v>16438</v>
      </c>
      <c r="E443" t="s">
        <v>446</v>
      </c>
    </row>
    <row r="444" spans="1:5">
      <c r="A444">
        <f>HYPERLINK("http://www.twitter.com/realDonaldTrump/status/799742847310319616", "799742847310319616")</f>
        <v>0</v>
      </c>
      <c r="B444" s="2">
        <v>42692.9412847222</v>
      </c>
      <c r="C444">
        <v>122266</v>
      </c>
      <c r="D444">
        <v>26752</v>
      </c>
      <c r="E444" t="s">
        <v>447</v>
      </c>
    </row>
    <row r="445" spans="1:5">
      <c r="A445">
        <f>HYPERLINK("http://www.twitter.com/realDonaldTrump/status/799656577250848768", "799656577250848768")</f>
        <v>0</v>
      </c>
      <c r="B445" s="2">
        <v>42692.7032291667</v>
      </c>
      <c r="C445">
        <v>0</v>
      </c>
      <c r="D445">
        <v>7798</v>
      </c>
      <c r="E445" t="s">
        <v>448</v>
      </c>
    </row>
    <row r="446" spans="1:5">
      <c r="A446">
        <f>HYPERLINK("http://www.twitter.com/realDonaldTrump/status/799435824622252032", "799435824622252032")</f>
        <v>0</v>
      </c>
      <c r="B446" s="2">
        <v>42692.0940740741</v>
      </c>
      <c r="C446">
        <v>118408</v>
      </c>
      <c r="D446">
        <v>29417</v>
      </c>
      <c r="E446" t="s">
        <v>449</v>
      </c>
    </row>
    <row r="447" spans="1:5">
      <c r="A447">
        <f>HYPERLINK("http://www.twitter.com/realDonaldTrump/status/799432403727028224", "799432403727028224")</f>
        <v>0</v>
      </c>
      <c r="B447" s="2">
        <v>42692.0846296296</v>
      </c>
      <c r="C447">
        <v>167177</v>
      </c>
      <c r="D447">
        <v>49498</v>
      </c>
      <c r="E447" t="s">
        <v>450</v>
      </c>
    </row>
    <row r="448" spans="1:5">
      <c r="A448">
        <f>HYPERLINK("http://www.twitter.com/realDonaldTrump/status/799232214793760768", "799232214793760768")</f>
        <v>0</v>
      </c>
      <c r="B448" s="2">
        <v>42691.5322106481</v>
      </c>
      <c r="C448">
        <v>96986</v>
      </c>
      <c r="D448">
        <v>21314</v>
      </c>
      <c r="E448" t="s">
        <v>451</v>
      </c>
    </row>
    <row r="449" spans="1:5">
      <c r="A449">
        <f>HYPERLINK("http://www.twitter.com/realDonaldTrump/status/798864532433211392", "798864532433211392")</f>
        <v>0</v>
      </c>
      <c r="B449" s="2">
        <v>42690.5176041667</v>
      </c>
      <c r="C449">
        <v>91051</v>
      </c>
      <c r="D449">
        <v>24267</v>
      </c>
      <c r="E449" t="s">
        <v>452</v>
      </c>
    </row>
    <row r="450" spans="1:5">
      <c r="A450">
        <f>HYPERLINK("http://www.twitter.com/realDonaldTrump/status/798862483255652352", "798862483255652352")</f>
        <v>0</v>
      </c>
      <c r="B450" s="2">
        <v>42690.5119444444</v>
      </c>
      <c r="C450">
        <v>89206</v>
      </c>
      <c r="D450">
        <v>25850</v>
      </c>
      <c r="E450" t="s">
        <v>453</v>
      </c>
    </row>
    <row r="451" spans="1:5">
      <c r="A451">
        <f>HYPERLINK("http://www.twitter.com/realDonaldTrump/status/798861300453539840", "798861300453539840")</f>
        <v>0</v>
      </c>
      <c r="B451" s="2">
        <v>42690.5086805556</v>
      </c>
      <c r="C451">
        <v>77922</v>
      </c>
      <c r="D451">
        <v>20956</v>
      </c>
      <c r="E451" t="s">
        <v>454</v>
      </c>
    </row>
    <row r="452" spans="1:5">
      <c r="A452">
        <f>HYPERLINK("http://www.twitter.com/realDonaldTrump/status/798850338384023552", "798850338384023552")</f>
        <v>0</v>
      </c>
      <c r="B452" s="2">
        <v>42690.4784375</v>
      </c>
      <c r="C452">
        <v>100425</v>
      </c>
      <c r="D452">
        <v>31295</v>
      </c>
      <c r="E452" t="s">
        <v>455</v>
      </c>
    </row>
    <row r="453" spans="1:5">
      <c r="A453">
        <f>HYPERLINK("http://www.twitter.com/realDonaldTrump/status/798721142525665280", "798721142525665280")</f>
        <v>0</v>
      </c>
      <c r="B453" s="2">
        <v>42690.1219212963</v>
      </c>
      <c r="C453">
        <v>120181</v>
      </c>
      <c r="D453">
        <v>27689</v>
      </c>
      <c r="E453" t="s">
        <v>456</v>
      </c>
    </row>
    <row r="454" spans="1:5">
      <c r="A454">
        <f>HYPERLINK("http://www.twitter.com/realDonaldTrump/status/798521053551140864", "798521053551140864")</f>
        <v>0</v>
      </c>
      <c r="B454" s="2">
        <v>42689.5697800926</v>
      </c>
      <c r="C454">
        <v>128658</v>
      </c>
      <c r="D454">
        <v>39444</v>
      </c>
      <c r="E454" t="s">
        <v>457</v>
      </c>
    </row>
    <row r="455" spans="1:5">
      <c r="A455">
        <f>HYPERLINK("http://www.twitter.com/realDonaldTrump/status/798519600413601792", "798519600413601792")</f>
        <v>0</v>
      </c>
      <c r="B455" s="2">
        <v>42689.565775463</v>
      </c>
      <c r="C455">
        <v>180068</v>
      </c>
      <c r="D455">
        <v>50072</v>
      </c>
      <c r="E455" t="s">
        <v>458</v>
      </c>
    </row>
    <row r="456" spans="1:5">
      <c r="A456">
        <f>HYPERLINK("http://www.twitter.com/realDonaldTrump/status/797873313561198593", "797873313561198593")</f>
        <v>0</v>
      </c>
      <c r="B456" s="2">
        <v>42687.7823611111</v>
      </c>
      <c r="C456">
        <v>113710</v>
      </c>
      <c r="D456">
        <v>23558</v>
      </c>
      <c r="E456" t="s">
        <v>459</v>
      </c>
    </row>
    <row r="457" spans="1:5">
      <c r="A457">
        <f>HYPERLINK("http://www.twitter.com/realDonaldTrump/status/797839801735114752", "797839801735114752")</f>
        <v>0</v>
      </c>
      <c r="B457" s="2">
        <v>42687.6898842593</v>
      </c>
      <c r="C457">
        <v>78443</v>
      </c>
      <c r="D457">
        <v>16485</v>
      </c>
      <c r="E457" t="s">
        <v>460</v>
      </c>
    </row>
    <row r="458" spans="1:5">
      <c r="A458">
        <f>HYPERLINK("http://www.twitter.com/realDonaldTrump/status/797832229800050688", "797832229800050688")</f>
        <v>0</v>
      </c>
      <c r="B458" s="2">
        <v>42687.6689930556</v>
      </c>
      <c r="C458">
        <v>94012</v>
      </c>
      <c r="D458">
        <v>29527</v>
      </c>
      <c r="E458" t="s">
        <v>461</v>
      </c>
    </row>
    <row r="459" spans="1:5">
      <c r="A459">
        <f>HYPERLINK("http://www.twitter.com/realDonaldTrump/status/797823553244712960", "797823553244712960")</f>
        <v>0</v>
      </c>
      <c r="B459" s="2">
        <v>42687.6450462963</v>
      </c>
      <c r="C459">
        <v>125230</v>
      </c>
      <c r="D459">
        <v>22776</v>
      </c>
      <c r="E459" t="s">
        <v>462</v>
      </c>
    </row>
    <row r="460" spans="1:5">
      <c r="A460">
        <f>HYPERLINK("http://www.twitter.com/realDonaldTrump/status/797822192931262470", "797822192931262470")</f>
        <v>0</v>
      </c>
      <c r="B460" s="2">
        <v>42687.6412962963</v>
      </c>
      <c r="C460">
        <v>107956</v>
      </c>
      <c r="D460">
        <v>18207</v>
      </c>
      <c r="E460" t="s">
        <v>463</v>
      </c>
    </row>
    <row r="461" spans="1:5">
      <c r="A461">
        <f>HYPERLINK("http://www.twitter.com/realDonaldTrump/status/797812630312382464", "797812630312382464")</f>
        <v>0</v>
      </c>
      <c r="B461" s="2">
        <v>42687.6149074074</v>
      </c>
      <c r="C461">
        <v>111261</v>
      </c>
      <c r="D461">
        <v>15568</v>
      </c>
      <c r="E461" t="s">
        <v>464</v>
      </c>
    </row>
    <row r="462" spans="1:5">
      <c r="A462">
        <f>HYPERLINK("http://www.twitter.com/realDonaldTrump/status/797812048805695488", "797812048805695488")</f>
        <v>0</v>
      </c>
      <c r="B462" s="2">
        <v>42687.6132986111</v>
      </c>
      <c r="C462">
        <v>87453</v>
      </c>
      <c r="D462">
        <v>22299</v>
      </c>
      <c r="E462" t="s">
        <v>465</v>
      </c>
    </row>
    <row r="463" spans="1:5">
      <c r="A463">
        <f>HYPERLINK("http://www.twitter.com/realDonaldTrump/status/797805407179866112", "797805407179866112")</f>
        <v>0</v>
      </c>
      <c r="B463" s="2">
        <v>42687.5949768519</v>
      </c>
      <c r="C463">
        <v>127836</v>
      </c>
      <c r="D463">
        <v>35228</v>
      </c>
      <c r="E463" t="s">
        <v>466</v>
      </c>
    </row>
    <row r="464" spans="1:5">
      <c r="A464">
        <f>HYPERLINK("http://www.twitter.com/realDonaldTrump/status/797455295928791040", "797455295928791040")</f>
        <v>0</v>
      </c>
      <c r="B464" s="2">
        <v>42686.6288541667</v>
      </c>
      <c r="C464">
        <v>202598</v>
      </c>
      <c r="D464">
        <v>53968</v>
      </c>
      <c r="E464" t="s">
        <v>467</v>
      </c>
    </row>
    <row r="465" spans="1:5">
      <c r="A465">
        <f>HYPERLINK("http://www.twitter.com/realDonaldTrump/status/797098212599496704", "797098212599496704")</f>
        <v>0</v>
      </c>
      <c r="B465" s="2">
        <v>42685.6434837963</v>
      </c>
      <c r="C465">
        <v>169590</v>
      </c>
      <c r="D465">
        <v>47438</v>
      </c>
      <c r="E465" t="s">
        <v>468</v>
      </c>
    </row>
    <row r="466" spans="1:5">
      <c r="A466">
        <f>HYPERLINK("http://www.twitter.com/realDonaldTrump/status/797069763801387008", "797069763801387008")</f>
        <v>0</v>
      </c>
      <c r="B466" s="2">
        <v>42685.5649884259</v>
      </c>
      <c r="C466">
        <v>178956</v>
      </c>
      <c r="D466">
        <v>33544</v>
      </c>
      <c r="E466" t="s">
        <v>469</v>
      </c>
    </row>
    <row r="467" spans="1:5">
      <c r="A467">
        <f>HYPERLINK("http://www.twitter.com/realDonaldTrump/status/797034721075228672", "797034721075228672")</f>
        <v>0</v>
      </c>
      <c r="B467" s="2">
        <v>42685.468287037</v>
      </c>
      <c r="C467">
        <v>222635</v>
      </c>
      <c r="D467">
        <v>56429</v>
      </c>
      <c r="E467" t="s">
        <v>470</v>
      </c>
    </row>
    <row r="468" spans="1:5">
      <c r="A468">
        <f>HYPERLINK("http://www.twitter.com/realDonaldTrump/status/796900183955095552", "796900183955095552")</f>
        <v>0</v>
      </c>
      <c r="B468" s="2">
        <v>42685.097037037</v>
      </c>
      <c r="C468">
        <v>232534</v>
      </c>
      <c r="D468">
        <v>70029</v>
      </c>
      <c r="E468" t="s">
        <v>471</v>
      </c>
    </row>
    <row r="469" spans="1:5">
      <c r="A469">
        <f>HYPERLINK("http://www.twitter.com/realDonaldTrump/status/796897928048766976", "796897928048766976")</f>
        <v>0</v>
      </c>
      <c r="B469" s="2">
        <v>42685.0908101852</v>
      </c>
      <c r="C469">
        <v>193436</v>
      </c>
      <c r="D469">
        <v>38085</v>
      </c>
      <c r="E469" t="s">
        <v>472</v>
      </c>
    </row>
    <row r="470" spans="1:5">
      <c r="A470">
        <f>HYPERLINK("http://www.twitter.com/realDonaldTrump/status/796797436752707585", "796797436752707585")</f>
        <v>0</v>
      </c>
      <c r="B470" s="2">
        <v>42684.8135069444</v>
      </c>
      <c r="C470">
        <v>170326</v>
      </c>
      <c r="D470">
        <v>45818</v>
      </c>
      <c r="E470" t="s">
        <v>473</v>
      </c>
    </row>
    <row r="471" spans="1:5">
      <c r="A471">
        <f>HYPERLINK("http://www.twitter.com/realDonaldTrump/status/796315640307060738", "796315640307060738")</f>
        <v>0</v>
      </c>
      <c r="B471" s="2">
        <v>42683.4840046296</v>
      </c>
      <c r="C471">
        <v>635460</v>
      </c>
      <c r="D471">
        <v>222450</v>
      </c>
      <c r="E471" t="s">
        <v>474</v>
      </c>
    </row>
    <row r="472" spans="1:5">
      <c r="A472">
        <f>HYPERLINK("http://www.twitter.com/realDonaldTrump/status/796182637622816768", "796182637622816768")</f>
        <v>0</v>
      </c>
      <c r="B472" s="2">
        <v>42683.1169791667</v>
      </c>
      <c r="C472">
        <v>191663</v>
      </c>
      <c r="D472">
        <v>45617</v>
      </c>
      <c r="E472" t="s">
        <v>475</v>
      </c>
    </row>
    <row r="473" spans="1:5">
      <c r="A473">
        <f>HYPERLINK("http://www.twitter.com/realDonaldTrump/status/796164216294084608", "796164216294084608")</f>
        <v>0</v>
      </c>
      <c r="B473" s="2">
        <v>42683.0661458333</v>
      </c>
      <c r="C473">
        <v>0</v>
      </c>
      <c r="D473">
        <v>17709</v>
      </c>
      <c r="E473" t="s">
        <v>476</v>
      </c>
    </row>
    <row r="474" spans="1:5">
      <c r="A474">
        <f>HYPERLINK("http://www.twitter.com/realDonaldTrump/status/796130340180029441", "796130340180029441")</f>
        <v>0</v>
      </c>
      <c r="B474" s="2">
        <v>42682.9726736111</v>
      </c>
      <c r="C474">
        <v>0</v>
      </c>
      <c r="D474">
        <v>19997</v>
      </c>
      <c r="E474" t="s">
        <v>477</v>
      </c>
    </row>
    <row r="475" spans="1:5">
      <c r="A475">
        <f>HYPERLINK("http://www.twitter.com/realDonaldTrump/status/796130213826621440", "796130213826621440")</f>
        <v>0</v>
      </c>
      <c r="B475" s="2">
        <v>42682.9723263889</v>
      </c>
      <c r="C475">
        <v>0</v>
      </c>
      <c r="D475">
        <v>11735</v>
      </c>
      <c r="E475" t="s">
        <v>478</v>
      </c>
    </row>
    <row r="476" spans="1:5">
      <c r="A476">
        <f>HYPERLINK("http://www.twitter.com/realDonaldTrump/status/796126077647196160", "796126077647196160")</f>
        <v>0</v>
      </c>
      <c r="B476" s="2">
        <v>42682.9609027778</v>
      </c>
      <c r="C476">
        <v>65950</v>
      </c>
      <c r="D476">
        <v>25390</v>
      </c>
      <c r="E476" t="s">
        <v>479</v>
      </c>
    </row>
    <row r="477" spans="1:5">
      <c r="A477">
        <f>HYPERLINK("http://www.twitter.com/realDonaldTrump/status/796102830352465921", "796102830352465921")</f>
        <v>0</v>
      </c>
      <c r="B477" s="2">
        <v>42682.8967592593</v>
      </c>
      <c r="C477">
        <v>117392</v>
      </c>
      <c r="D477">
        <v>36052</v>
      </c>
      <c r="E477" t="s">
        <v>480</v>
      </c>
    </row>
    <row r="478" spans="1:5">
      <c r="A478">
        <f>HYPERLINK("http://www.twitter.com/realDonaldTrump/status/796102093727793152", "796102093727793152")</f>
        <v>0</v>
      </c>
      <c r="B478" s="2">
        <v>42682.8947222222</v>
      </c>
      <c r="C478">
        <v>47578</v>
      </c>
      <c r="D478">
        <v>21646</v>
      </c>
      <c r="E478" t="s">
        <v>481</v>
      </c>
    </row>
    <row r="479" spans="1:5">
      <c r="A479">
        <f>HYPERLINK("http://www.twitter.com/realDonaldTrump/status/796099494442057728", "796099494442057728")</f>
        <v>0</v>
      </c>
      <c r="B479" s="2">
        <v>42682.8875462963</v>
      </c>
      <c r="C479">
        <v>125921</v>
      </c>
      <c r="D479">
        <v>24846</v>
      </c>
      <c r="E479" t="s">
        <v>482</v>
      </c>
    </row>
    <row r="480" spans="1:5">
      <c r="A480">
        <f>HYPERLINK("http://www.twitter.com/realDonaldTrump/status/796055597594578944", "796055597594578944")</f>
        <v>0</v>
      </c>
      <c r="B480" s="2">
        <v>42682.7664236111</v>
      </c>
      <c r="C480">
        <v>61399</v>
      </c>
      <c r="D480">
        <v>25319</v>
      </c>
      <c r="E480" t="s">
        <v>483</v>
      </c>
    </row>
    <row r="481" spans="1:5">
      <c r="A481">
        <f>HYPERLINK("http://www.twitter.com/realDonaldTrump/status/796050609254395905", "796050609254395905")</f>
        <v>0</v>
      </c>
      <c r="B481" s="2">
        <v>42682.752650463</v>
      </c>
      <c r="C481">
        <v>62367</v>
      </c>
      <c r="D481">
        <v>24030</v>
      </c>
      <c r="E481" t="s">
        <v>484</v>
      </c>
    </row>
    <row r="482" spans="1:5">
      <c r="A482">
        <f>HYPERLINK("http://www.twitter.com/realDonaldTrump/status/796029413318082560", "796029413318082560")</f>
        <v>0</v>
      </c>
      <c r="B482" s="2">
        <v>42682.6941666667</v>
      </c>
      <c r="C482">
        <v>67745</v>
      </c>
      <c r="D482">
        <v>29485</v>
      </c>
      <c r="E482" t="s">
        <v>485</v>
      </c>
    </row>
    <row r="483" spans="1:5">
      <c r="A483">
        <f>HYPERLINK("http://www.twitter.com/realDonaldTrump/status/795954831718498305", "795954831718498305")</f>
        <v>0</v>
      </c>
      <c r="B483" s="2">
        <v>42682.4883564815</v>
      </c>
      <c r="C483">
        <v>574858</v>
      </c>
      <c r="D483">
        <v>347061</v>
      </c>
      <c r="E483" t="s">
        <v>486</v>
      </c>
    </row>
    <row r="484" spans="1:5">
      <c r="A484">
        <f>HYPERLINK("http://www.twitter.com/realDonaldTrump/status/795879172795203584", "795879172795203584")</f>
        <v>0</v>
      </c>
      <c r="B484" s="2">
        <v>42682.2795833333</v>
      </c>
      <c r="C484">
        <v>54613</v>
      </c>
      <c r="D484">
        <v>17404</v>
      </c>
      <c r="E484" t="s">
        <v>487</v>
      </c>
    </row>
    <row r="485" spans="1:5">
      <c r="A485">
        <f>HYPERLINK("http://www.twitter.com/realDonaldTrump/status/795845594032013312", "795845594032013312")</f>
        <v>0</v>
      </c>
      <c r="B485" s="2">
        <v>42682.1869212963</v>
      </c>
      <c r="C485">
        <v>0</v>
      </c>
      <c r="D485">
        <v>10666</v>
      </c>
      <c r="E485" t="s">
        <v>488</v>
      </c>
    </row>
    <row r="486" spans="1:5">
      <c r="A486">
        <f>HYPERLINK("http://www.twitter.com/realDonaldTrump/status/795845126744604673", "795845126744604673")</f>
        <v>0</v>
      </c>
      <c r="B486" s="2">
        <v>42682.185625</v>
      </c>
      <c r="C486">
        <v>0</v>
      </c>
      <c r="D486">
        <v>7001</v>
      </c>
      <c r="E486" t="s">
        <v>489</v>
      </c>
    </row>
    <row r="487" spans="1:5">
      <c r="A487">
        <f>HYPERLINK("http://www.twitter.com/realDonaldTrump/status/795834203430645760", "795834203430645760")</f>
        <v>0</v>
      </c>
      <c r="B487" s="2">
        <v>42682.1554861111</v>
      </c>
      <c r="C487">
        <v>32335</v>
      </c>
      <c r="D487">
        <v>9169</v>
      </c>
      <c r="E487" t="s">
        <v>490</v>
      </c>
    </row>
    <row r="488" spans="1:5">
      <c r="A488">
        <f>HYPERLINK("http://www.twitter.com/realDonaldTrump/status/795782371895349250", "795782371895349250")</f>
        <v>0</v>
      </c>
      <c r="B488" s="2">
        <v>42682.0124652778</v>
      </c>
      <c r="C488">
        <v>44315</v>
      </c>
      <c r="D488">
        <v>13333</v>
      </c>
      <c r="E488" t="s">
        <v>491</v>
      </c>
    </row>
    <row r="489" spans="1:5">
      <c r="A489">
        <f>HYPERLINK("http://www.twitter.com/realDonaldTrump/status/795781945607278592", "795781945607278592")</f>
        <v>0</v>
      </c>
      <c r="B489" s="2">
        <v>42682.0112847222</v>
      </c>
      <c r="C489">
        <v>36826</v>
      </c>
      <c r="D489">
        <v>13881</v>
      </c>
      <c r="E489" t="s">
        <v>492</v>
      </c>
    </row>
    <row r="490" spans="1:5">
      <c r="A490">
        <f>HYPERLINK("http://www.twitter.com/realDonaldTrump/status/795779987152523264", "795779987152523264")</f>
        <v>0</v>
      </c>
      <c r="B490" s="2">
        <v>42682.0058796296</v>
      </c>
      <c r="C490">
        <v>29475</v>
      </c>
      <c r="D490">
        <v>9083</v>
      </c>
      <c r="E490" t="s">
        <v>493</v>
      </c>
    </row>
    <row r="491" spans="1:5">
      <c r="A491">
        <f>HYPERLINK("http://www.twitter.com/realDonaldTrump/status/795770006306861057", "795770006306861057")</f>
        <v>0</v>
      </c>
      <c r="B491" s="2">
        <v>42681.9783333333</v>
      </c>
      <c r="C491">
        <v>31282</v>
      </c>
      <c r="D491">
        <v>10161</v>
      </c>
      <c r="E491" t="s">
        <v>494</v>
      </c>
    </row>
    <row r="492" spans="1:5">
      <c r="A492">
        <f>HYPERLINK("http://www.twitter.com/realDonaldTrump/status/795753162623815680", "795753162623815680")</f>
        <v>0</v>
      </c>
      <c r="B492" s="2">
        <v>42681.9318634259</v>
      </c>
      <c r="C492">
        <v>36820</v>
      </c>
      <c r="D492">
        <v>12468</v>
      </c>
      <c r="E492" t="s">
        <v>495</v>
      </c>
    </row>
    <row r="493" spans="1:5">
      <c r="A493">
        <f>HYPERLINK("http://www.twitter.com/realDonaldTrump/status/795741975022604293", "795741975022604293")</f>
        <v>0</v>
      </c>
      <c r="B493" s="2">
        <v>42681.9009837963</v>
      </c>
      <c r="C493">
        <v>37228</v>
      </c>
      <c r="D493">
        <v>15992</v>
      </c>
      <c r="E493" t="s">
        <v>496</v>
      </c>
    </row>
    <row r="494" spans="1:5">
      <c r="A494">
        <f>HYPERLINK("http://www.twitter.com/realDonaldTrump/status/795741423756840960", "795741423756840960")</f>
        <v>0</v>
      </c>
      <c r="B494" s="2">
        <v>42681.8994675926</v>
      </c>
      <c r="C494">
        <v>24077</v>
      </c>
      <c r="D494">
        <v>9573</v>
      </c>
      <c r="E494" t="s">
        <v>497</v>
      </c>
    </row>
    <row r="495" spans="1:5">
      <c r="A495">
        <f>HYPERLINK("http://www.twitter.com/realDonaldTrump/status/795740720388866048", "795740720388866048")</f>
        <v>0</v>
      </c>
      <c r="B495" s="2">
        <v>42681.8975231481</v>
      </c>
      <c r="C495">
        <v>18103</v>
      </c>
      <c r="D495">
        <v>7205</v>
      </c>
      <c r="E495" t="s">
        <v>498</v>
      </c>
    </row>
    <row r="496" spans="1:5">
      <c r="A496">
        <f>HYPERLINK("http://www.twitter.com/realDonaldTrump/status/795733366842806272", "795733366842806272")</f>
        <v>0</v>
      </c>
      <c r="B496" s="2">
        <v>42681.8772337963</v>
      </c>
      <c r="C496">
        <v>31094</v>
      </c>
      <c r="D496">
        <v>10828</v>
      </c>
      <c r="E496" t="s">
        <v>499</v>
      </c>
    </row>
    <row r="497" spans="1:5">
      <c r="A497">
        <f>HYPERLINK("http://www.twitter.com/realDonaldTrump/status/795710386855088129", "795710386855088129")</f>
        <v>0</v>
      </c>
      <c r="B497" s="2">
        <v>42681.8138194444</v>
      </c>
      <c r="C497">
        <v>26429</v>
      </c>
      <c r="D497">
        <v>8436</v>
      </c>
      <c r="E497" t="s">
        <v>500</v>
      </c>
    </row>
    <row r="498" spans="1:5">
      <c r="A498">
        <f>HYPERLINK("http://www.twitter.com/realDonaldTrump/status/795709959245856768", "795709959245856768")</f>
        <v>0</v>
      </c>
      <c r="B498" s="2">
        <v>42681.8126388889</v>
      </c>
      <c r="C498">
        <v>41100</v>
      </c>
      <c r="D498">
        <v>14610</v>
      </c>
      <c r="E498" t="s">
        <v>501</v>
      </c>
    </row>
    <row r="499" spans="1:5">
      <c r="A499">
        <f>HYPERLINK("http://www.twitter.com/realDonaldTrump/status/795674761309417472", "795674761309417472")</f>
        <v>0</v>
      </c>
      <c r="B499" s="2">
        <v>42681.7155092593</v>
      </c>
      <c r="C499">
        <v>36216</v>
      </c>
      <c r="D499">
        <v>14002</v>
      </c>
      <c r="E499" t="s">
        <v>502</v>
      </c>
    </row>
    <row r="500" spans="1:5">
      <c r="A500">
        <f>HYPERLINK("http://www.twitter.com/realDonaldTrump/status/795515037632921601", "795515037632921601")</f>
        <v>0</v>
      </c>
      <c r="B500" s="2">
        <v>42681.2747569444</v>
      </c>
      <c r="C500">
        <v>33863</v>
      </c>
      <c r="D500">
        <v>12601</v>
      </c>
      <c r="E500" t="s">
        <v>503</v>
      </c>
    </row>
    <row r="501" spans="1:5">
      <c r="A501">
        <f>HYPERLINK("http://www.twitter.com/realDonaldTrump/status/795479521520717825", "795479521520717825")</f>
        <v>0</v>
      </c>
      <c r="B501" s="2">
        <v>42681.1767476852</v>
      </c>
      <c r="C501">
        <v>48605</v>
      </c>
      <c r="D501">
        <v>18648</v>
      </c>
      <c r="E501" t="s">
        <v>504</v>
      </c>
    </row>
    <row r="502" spans="1:5">
      <c r="A502">
        <f>HYPERLINK("http://www.twitter.com/realDonaldTrump/status/795443728282505216", "795443728282505216")</f>
        <v>0</v>
      </c>
      <c r="B502" s="2">
        <v>42681.0779861111</v>
      </c>
      <c r="C502">
        <v>39367</v>
      </c>
      <c r="D502">
        <v>15769</v>
      </c>
      <c r="E502" t="s">
        <v>505</v>
      </c>
    </row>
    <row r="503" spans="1:5">
      <c r="A503">
        <f>HYPERLINK("http://www.twitter.com/realDonaldTrump/status/795417907476000768", "795417907476000768")</f>
        <v>0</v>
      </c>
      <c r="B503" s="2">
        <v>42681.006724537</v>
      </c>
      <c r="C503">
        <v>37246</v>
      </c>
      <c r="D503">
        <v>15140</v>
      </c>
      <c r="E503" t="s">
        <v>506</v>
      </c>
    </row>
    <row r="504" spans="1:5">
      <c r="A504">
        <f>HYPERLINK("http://www.twitter.com/realDonaldTrump/status/795411058357837825", "795411058357837825")</f>
        <v>0</v>
      </c>
      <c r="B504" s="2">
        <v>42680.9878240741</v>
      </c>
      <c r="C504">
        <v>25481</v>
      </c>
      <c r="D504">
        <v>9604</v>
      </c>
      <c r="E504" t="s">
        <v>507</v>
      </c>
    </row>
    <row r="505" spans="1:5">
      <c r="A505">
        <f>HYPERLINK("http://www.twitter.com/realDonaldTrump/status/795402627701964800", "795402627701964800")</f>
        <v>0</v>
      </c>
      <c r="B505" s="2">
        <v>42680.9645601852</v>
      </c>
      <c r="C505">
        <v>27367</v>
      </c>
      <c r="D505">
        <v>10226</v>
      </c>
      <c r="E505" t="s">
        <v>508</v>
      </c>
    </row>
    <row r="506" spans="1:5">
      <c r="A506">
        <f>HYPERLINK("http://www.twitter.com/realDonaldTrump/status/795346759119736832", "795346759119736832")</f>
        <v>0</v>
      </c>
      <c r="B506" s="2">
        <v>42680.8103935185</v>
      </c>
      <c r="C506">
        <v>26727</v>
      </c>
      <c r="D506">
        <v>9243</v>
      </c>
      <c r="E506" t="s">
        <v>509</v>
      </c>
    </row>
    <row r="507" spans="1:5">
      <c r="A507">
        <f>HYPERLINK("http://www.twitter.com/realDonaldTrump/status/795327323016953857", "795327323016953857")</f>
        <v>0</v>
      </c>
      <c r="B507" s="2">
        <v>42680.7567592593</v>
      </c>
      <c r="C507">
        <v>0</v>
      </c>
      <c r="D507">
        <v>8497</v>
      </c>
      <c r="E507" t="s">
        <v>510</v>
      </c>
    </row>
    <row r="508" spans="1:5">
      <c r="A508">
        <f>HYPERLINK("http://www.twitter.com/realDonaldTrump/status/795311315304714242", "795311315304714242")</f>
        <v>0</v>
      </c>
      <c r="B508" s="2">
        <v>42680.7125925926</v>
      </c>
      <c r="C508">
        <v>19504</v>
      </c>
      <c r="D508">
        <v>8557</v>
      </c>
      <c r="E508" t="s">
        <v>511</v>
      </c>
    </row>
    <row r="509" spans="1:5">
      <c r="A509">
        <f>HYPERLINK("http://www.twitter.com/realDonaldTrump/status/795145824586137600", "795145824586137600")</f>
        <v>0</v>
      </c>
      <c r="B509" s="2">
        <v>42680.2559259259</v>
      </c>
      <c r="C509">
        <v>32001</v>
      </c>
      <c r="D509">
        <v>11050</v>
      </c>
      <c r="E509" t="s">
        <v>512</v>
      </c>
    </row>
    <row r="510" spans="1:5">
      <c r="A510">
        <f>HYPERLINK("http://www.twitter.com/realDonaldTrump/status/795120273070686208", "795120273070686208")</f>
        <v>0</v>
      </c>
      <c r="B510" s="2">
        <v>42680.1854166667</v>
      </c>
      <c r="C510">
        <v>0</v>
      </c>
      <c r="D510">
        <v>5331</v>
      </c>
      <c r="E510" t="s">
        <v>513</v>
      </c>
    </row>
    <row r="511" spans="1:5">
      <c r="A511">
        <f>HYPERLINK("http://www.twitter.com/realDonaldTrump/status/795084117192810496", "795084117192810496")</f>
        <v>0</v>
      </c>
      <c r="B511" s="2">
        <v>42680.0856481481</v>
      </c>
      <c r="C511">
        <v>47283</v>
      </c>
      <c r="D511">
        <v>18754</v>
      </c>
      <c r="E511" t="s">
        <v>514</v>
      </c>
    </row>
    <row r="512" spans="1:5">
      <c r="A512">
        <f>HYPERLINK("http://www.twitter.com/realDonaldTrump/status/795058179168055296", "795058179168055296")</f>
        <v>0</v>
      </c>
      <c r="B512" s="2">
        <v>42680.0140740741</v>
      </c>
      <c r="C512">
        <v>17864</v>
      </c>
      <c r="D512">
        <v>4748</v>
      </c>
      <c r="E512" t="s">
        <v>515</v>
      </c>
    </row>
    <row r="513" spans="1:5">
      <c r="A513">
        <f>HYPERLINK("http://www.twitter.com/realDonaldTrump/status/795057936565313536", "795057936565313536")</f>
        <v>0</v>
      </c>
      <c r="B513" s="2">
        <v>42680.0134027778</v>
      </c>
      <c r="C513">
        <v>18493</v>
      </c>
      <c r="D513">
        <v>6943</v>
      </c>
      <c r="E513" t="s">
        <v>516</v>
      </c>
    </row>
    <row r="514" spans="1:5">
      <c r="A514">
        <f>HYPERLINK("http://www.twitter.com/realDonaldTrump/status/795019500345233408", "795019500345233408")</f>
        <v>0</v>
      </c>
      <c r="B514" s="2">
        <v>42679.907337963</v>
      </c>
      <c r="C514">
        <v>22145</v>
      </c>
      <c r="D514">
        <v>10909</v>
      </c>
      <c r="E514" t="s">
        <v>517</v>
      </c>
    </row>
    <row r="515" spans="1:5">
      <c r="A515">
        <f>HYPERLINK("http://www.twitter.com/realDonaldTrump/status/795017781423067136", "795017781423067136")</f>
        <v>0</v>
      </c>
      <c r="B515" s="2">
        <v>42679.9025925926</v>
      </c>
      <c r="C515">
        <v>16671</v>
      </c>
      <c r="D515">
        <v>8166</v>
      </c>
      <c r="E515" t="s">
        <v>518</v>
      </c>
    </row>
    <row r="516" spans="1:5">
      <c r="A516">
        <f>HYPERLINK("http://www.twitter.com/realDonaldTrump/status/795017350688935936", "795017350688935936")</f>
        <v>0</v>
      </c>
      <c r="B516" s="2">
        <v>42679.901400463</v>
      </c>
      <c r="C516">
        <v>21532</v>
      </c>
      <c r="D516">
        <v>12691</v>
      </c>
      <c r="E516" t="s">
        <v>519</v>
      </c>
    </row>
    <row r="517" spans="1:5">
      <c r="A517">
        <f>HYPERLINK("http://www.twitter.com/realDonaldTrump/status/795014711716757504", "795014711716757504")</f>
        <v>0</v>
      </c>
      <c r="B517" s="2">
        <v>42679.8941203704</v>
      </c>
      <c r="C517">
        <v>21119</v>
      </c>
      <c r="D517">
        <v>6799</v>
      </c>
      <c r="E517" t="s">
        <v>520</v>
      </c>
    </row>
    <row r="518" spans="1:5">
      <c r="A518">
        <f>HYPERLINK("http://www.twitter.com/realDonaldTrump/status/794996097370427392", "794996097370427392")</f>
        <v>0</v>
      </c>
      <c r="B518" s="2">
        <v>42679.8427546296</v>
      </c>
      <c r="C518">
        <v>32322</v>
      </c>
      <c r="D518">
        <v>11042</v>
      </c>
      <c r="E518" t="s">
        <v>521</v>
      </c>
    </row>
    <row r="519" spans="1:5">
      <c r="A519">
        <f>HYPERLINK("http://www.twitter.com/realDonaldTrump/status/794994280829952000", "794994280829952000")</f>
        <v>0</v>
      </c>
      <c r="B519" s="2">
        <v>42679.8377430556</v>
      </c>
      <c r="C519">
        <v>23528</v>
      </c>
      <c r="D519">
        <v>8246</v>
      </c>
      <c r="E519" t="s">
        <v>522</v>
      </c>
    </row>
    <row r="520" spans="1:5">
      <c r="A520">
        <f>HYPERLINK("http://www.twitter.com/realDonaldTrump/status/794943632176451584", "794943632176451584")</f>
        <v>0</v>
      </c>
      <c r="B520" s="2">
        <v>42679.697974537</v>
      </c>
      <c r="C520">
        <v>16584</v>
      </c>
      <c r="D520">
        <v>5834</v>
      </c>
      <c r="E520" t="s">
        <v>523</v>
      </c>
    </row>
    <row r="521" spans="1:5">
      <c r="A521">
        <f>HYPERLINK("http://www.twitter.com/realDonaldTrump/status/794895332941381633", "794895332941381633")</f>
        <v>0</v>
      </c>
      <c r="B521" s="2">
        <v>42679.5646990741</v>
      </c>
      <c r="C521">
        <v>115839</v>
      </c>
      <c r="D521">
        <v>59528</v>
      </c>
      <c r="E521" t="s">
        <v>10</v>
      </c>
    </row>
    <row r="522" spans="1:5">
      <c r="A522">
        <f>HYPERLINK("http://www.twitter.com/realDonaldTrump/status/794734211559292928", "794734211559292928")</f>
        <v>0</v>
      </c>
      <c r="B522" s="2">
        <v>42679.1200925926</v>
      </c>
      <c r="C522">
        <v>28435</v>
      </c>
      <c r="D522">
        <v>10307</v>
      </c>
      <c r="E522" t="s">
        <v>524</v>
      </c>
    </row>
    <row r="523" spans="1:5">
      <c r="A523">
        <f>HYPERLINK("http://www.twitter.com/realDonaldTrump/status/794690094594740224", "794690094594740224")</f>
        <v>0</v>
      </c>
      <c r="B523" s="2">
        <v>42678.9983449074</v>
      </c>
      <c r="C523">
        <v>16849</v>
      </c>
      <c r="D523">
        <v>5470</v>
      </c>
      <c r="E523" t="s">
        <v>525</v>
      </c>
    </row>
    <row r="524" spans="1:5">
      <c r="A524">
        <f>HYPERLINK("http://www.twitter.com/realDonaldTrump/status/794688416663437312", "794688416663437312")</f>
        <v>0</v>
      </c>
      <c r="B524" s="2">
        <v>42678.9937152778</v>
      </c>
      <c r="C524">
        <v>19791</v>
      </c>
      <c r="D524">
        <v>6675</v>
      </c>
      <c r="E524" t="s">
        <v>526</v>
      </c>
    </row>
    <row r="525" spans="1:5">
      <c r="A525">
        <f>HYPERLINK("http://www.twitter.com/realDonaldTrump/status/794683513853382656", "794683513853382656")</f>
        <v>0</v>
      </c>
      <c r="B525" s="2">
        <v>42678.9801851852</v>
      </c>
      <c r="C525">
        <v>65351</v>
      </c>
      <c r="D525">
        <v>34047</v>
      </c>
      <c r="E525" t="s">
        <v>527</v>
      </c>
    </row>
    <row r="526" spans="1:5">
      <c r="A526">
        <f>HYPERLINK("http://www.twitter.com/realDonaldTrump/status/794679364289986560", "794679364289986560")</f>
        <v>0</v>
      </c>
      <c r="B526" s="2">
        <v>42678.9687384259</v>
      </c>
      <c r="C526">
        <v>25520</v>
      </c>
      <c r="D526">
        <v>9626</v>
      </c>
      <c r="E526" t="s">
        <v>528</v>
      </c>
    </row>
    <row r="527" spans="1:5">
      <c r="A527">
        <f>HYPERLINK("http://www.twitter.com/realDonaldTrump/status/794638650382368768", "794638650382368768")</f>
        <v>0</v>
      </c>
      <c r="B527" s="2">
        <v>42678.8563888889</v>
      </c>
      <c r="C527">
        <v>13689</v>
      </c>
      <c r="D527">
        <v>3770</v>
      </c>
      <c r="E527" t="s">
        <v>529</v>
      </c>
    </row>
    <row r="528" spans="1:5">
      <c r="A528">
        <f>HYPERLINK("http://www.twitter.com/realDonaldTrump/status/794617042888491008", "794617042888491008")</f>
        <v>0</v>
      </c>
      <c r="B528" s="2">
        <v>42678.7967592593</v>
      </c>
      <c r="C528">
        <v>102444</v>
      </c>
      <c r="D528">
        <v>41751</v>
      </c>
      <c r="E528" t="s">
        <v>530</v>
      </c>
    </row>
    <row r="529" spans="1:5">
      <c r="A529">
        <f>HYPERLINK("http://www.twitter.com/realDonaldTrump/status/794614251709169664", "794614251709169664")</f>
        <v>0</v>
      </c>
      <c r="B529" s="2">
        <v>42678.7890625</v>
      </c>
      <c r="C529">
        <v>26479</v>
      </c>
      <c r="D529">
        <v>17361</v>
      </c>
      <c r="E529" t="s">
        <v>531</v>
      </c>
    </row>
    <row r="530" spans="1:5">
      <c r="A530">
        <f>HYPERLINK("http://www.twitter.com/realDonaldTrump/status/794611850499489793", "794611850499489793")</f>
        <v>0</v>
      </c>
      <c r="B530" s="2">
        <v>42678.7824305556</v>
      </c>
      <c r="C530">
        <v>20908</v>
      </c>
      <c r="D530">
        <v>7497</v>
      </c>
      <c r="E530" t="s">
        <v>532</v>
      </c>
    </row>
    <row r="531" spans="1:5">
      <c r="A531">
        <f>HYPERLINK("http://www.twitter.com/realDonaldTrump/status/794577092453212160", "794577092453212160")</f>
        <v>0</v>
      </c>
      <c r="B531" s="2">
        <v>42678.6865277778</v>
      </c>
      <c r="C531">
        <v>15998</v>
      </c>
      <c r="D531">
        <v>8031</v>
      </c>
      <c r="E531" t="s">
        <v>533</v>
      </c>
    </row>
    <row r="532" spans="1:5">
      <c r="A532">
        <f>HYPERLINK("http://www.twitter.com/realDonaldTrump/status/794576519955939328", "794576519955939328")</f>
        <v>0</v>
      </c>
      <c r="B532" s="2">
        <v>42678.6849421296</v>
      </c>
      <c r="C532">
        <v>0</v>
      </c>
      <c r="D532">
        <v>12189</v>
      </c>
      <c r="E532" t="s">
        <v>534</v>
      </c>
    </row>
    <row r="533" spans="1:5">
      <c r="A533">
        <f>HYPERLINK("http://www.twitter.com/realDonaldTrump/status/794574267878928384", "794574267878928384")</f>
        <v>0</v>
      </c>
      <c r="B533" s="2">
        <v>42678.6787268519</v>
      </c>
      <c r="C533">
        <v>15054</v>
      </c>
      <c r="D533">
        <v>7515</v>
      </c>
      <c r="E533" t="s">
        <v>535</v>
      </c>
    </row>
    <row r="534" spans="1:5">
      <c r="A534">
        <f>HYPERLINK("http://www.twitter.com/realDonaldTrump/status/794562979652128772", "794562979652128772")</f>
        <v>0</v>
      </c>
      <c r="B534" s="2">
        <v>42678.6475810185</v>
      </c>
      <c r="C534">
        <v>12996</v>
      </c>
      <c r="D534">
        <v>4169</v>
      </c>
      <c r="E534" t="s">
        <v>536</v>
      </c>
    </row>
    <row r="535" spans="1:5">
      <c r="A535">
        <f>HYPERLINK("http://www.twitter.com/realDonaldTrump/status/794367345359732740", "794367345359732740")</f>
        <v>0</v>
      </c>
      <c r="B535" s="2">
        <v>42678.1077314815</v>
      </c>
      <c r="C535">
        <v>31888</v>
      </c>
      <c r="D535">
        <v>11899</v>
      </c>
      <c r="E535" t="s">
        <v>537</v>
      </c>
    </row>
    <row r="536" spans="1:5">
      <c r="A536">
        <f>HYPERLINK("http://www.twitter.com/realDonaldTrump/status/794320826237644805", "794320826237644805")</f>
        <v>0</v>
      </c>
      <c r="B536" s="2">
        <v>42677.9793634259</v>
      </c>
      <c r="C536">
        <v>0</v>
      </c>
      <c r="D536">
        <v>16303</v>
      </c>
      <c r="E536" t="s">
        <v>538</v>
      </c>
    </row>
    <row r="537" spans="1:5">
      <c r="A537">
        <f>HYPERLINK("http://www.twitter.com/realDonaldTrump/status/794290058685661184", "794290058685661184")</f>
        <v>0</v>
      </c>
      <c r="B537" s="2">
        <v>42677.8944560185</v>
      </c>
      <c r="C537">
        <v>18678</v>
      </c>
      <c r="D537">
        <v>6432</v>
      </c>
      <c r="E537" t="s">
        <v>539</v>
      </c>
    </row>
    <row r="538" spans="1:5">
      <c r="A538">
        <f>HYPERLINK("http://www.twitter.com/realDonaldTrump/status/794281898570825728", "794281898570825728")</f>
        <v>0</v>
      </c>
      <c r="B538" s="2">
        <v>42677.8719444444</v>
      </c>
      <c r="C538">
        <v>36566</v>
      </c>
      <c r="D538">
        <v>19985</v>
      </c>
      <c r="E538" t="s">
        <v>540</v>
      </c>
    </row>
    <row r="539" spans="1:5">
      <c r="A539">
        <f>HYPERLINK("http://www.twitter.com/realDonaldTrump/status/794281211963338752", "794281211963338752")</f>
        <v>0</v>
      </c>
      <c r="B539" s="2">
        <v>42677.8700462963</v>
      </c>
      <c r="C539">
        <v>33267</v>
      </c>
      <c r="D539">
        <v>12315</v>
      </c>
      <c r="E539" t="s">
        <v>541</v>
      </c>
    </row>
    <row r="540" spans="1:5">
      <c r="A540">
        <f>HYPERLINK("http://www.twitter.com/realDonaldTrump/status/794259252613414915", "794259252613414915")</f>
        <v>0</v>
      </c>
      <c r="B540" s="2">
        <v>42677.8094560185</v>
      </c>
      <c r="C540">
        <v>55683</v>
      </c>
      <c r="D540">
        <v>16838</v>
      </c>
      <c r="E540" t="s">
        <v>542</v>
      </c>
    </row>
    <row r="541" spans="1:5">
      <c r="A541">
        <f>HYPERLINK("http://www.twitter.com/realDonaldTrump/status/794197242471124992", "794197242471124992")</f>
        <v>0</v>
      </c>
      <c r="B541" s="2">
        <v>42677.6383333333</v>
      </c>
      <c r="C541">
        <v>72572</v>
      </c>
      <c r="D541">
        <v>27962</v>
      </c>
      <c r="E541" t="s">
        <v>543</v>
      </c>
    </row>
    <row r="542" spans="1:5">
      <c r="A542">
        <f>HYPERLINK("http://www.twitter.com/realDonaldTrump/status/794155725152980992", "794155725152980992")</f>
        <v>0</v>
      </c>
      <c r="B542" s="2">
        <v>42677.5237731481</v>
      </c>
      <c r="C542">
        <v>46172</v>
      </c>
      <c r="D542">
        <v>15645</v>
      </c>
      <c r="E542" t="s">
        <v>544</v>
      </c>
    </row>
    <row r="543" spans="1:5">
      <c r="A543">
        <f>HYPERLINK("http://www.twitter.com/realDonaldTrump/status/794154017983238145", "794154017983238145")</f>
        <v>0</v>
      </c>
      <c r="B543" s="2">
        <v>42677.5190625</v>
      </c>
      <c r="C543">
        <v>46353</v>
      </c>
      <c r="D543">
        <v>12105</v>
      </c>
      <c r="E543" t="s">
        <v>545</v>
      </c>
    </row>
    <row r="544" spans="1:5">
      <c r="A544">
        <f>HYPERLINK("http://www.twitter.com/realDonaldTrump/status/794025263604625409", "794025263604625409")</f>
        <v>0</v>
      </c>
      <c r="B544" s="2">
        <v>42677.1637615741</v>
      </c>
      <c r="C544">
        <v>29100</v>
      </c>
      <c r="D544">
        <v>11052</v>
      </c>
      <c r="E544" t="s">
        <v>546</v>
      </c>
    </row>
    <row r="545" spans="1:5">
      <c r="A545">
        <f>HYPERLINK("http://www.twitter.com/realDonaldTrump/status/794022452233781248", "794022452233781248")</f>
        <v>0</v>
      </c>
      <c r="B545" s="2">
        <v>42677.1560069444</v>
      </c>
      <c r="C545">
        <v>0</v>
      </c>
      <c r="D545">
        <v>9648</v>
      </c>
      <c r="E545" t="s">
        <v>547</v>
      </c>
    </row>
    <row r="546" spans="1:5">
      <c r="A546">
        <f>HYPERLINK("http://www.twitter.com/realDonaldTrump/status/793959470585913345", "793959470585913345")</f>
        <v>0</v>
      </c>
      <c r="B546" s="2">
        <v>42676.9822106482</v>
      </c>
      <c r="C546">
        <v>37379</v>
      </c>
      <c r="D546">
        <v>17933</v>
      </c>
      <c r="E546" t="s">
        <v>548</v>
      </c>
    </row>
    <row r="547" spans="1:5">
      <c r="A547">
        <f>HYPERLINK("http://www.twitter.com/realDonaldTrump/status/793928267250171904", "793928267250171904")</f>
        <v>0</v>
      </c>
      <c r="B547" s="2">
        <v>42676.8961111111</v>
      </c>
      <c r="C547">
        <v>45704</v>
      </c>
      <c r="D547">
        <v>16583</v>
      </c>
      <c r="E547" t="s">
        <v>549</v>
      </c>
    </row>
    <row r="548" spans="1:5">
      <c r="A548">
        <f>HYPERLINK("http://www.twitter.com/realDonaldTrump/status/793892802040041472", "793892802040041472")</f>
        <v>0</v>
      </c>
      <c r="B548" s="2">
        <v>42676.7982407407</v>
      </c>
      <c r="C548">
        <v>48379</v>
      </c>
      <c r="D548">
        <v>26487</v>
      </c>
      <c r="E548" t="s">
        <v>550</v>
      </c>
    </row>
    <row r="549" spans="1:5">
      <c r="A549">
        <f>HYPERLINK("http://www.twitter.com/realDonaldTrump/status/793890059510505472", "793890059510505472")</f>
        <v>0</v>
      </c>
      <c r="B549" s="2">
        <v>42676.7906712963</v>
      </c>
      <c r="C549">
        <v>19303</v>
      </c>
      <c r="D549">
        <v>10045</v>
      </c>
      <c r="E549" t="s">
        <v>551</v>
      </c>
    </row>
    <row r="550" spans="1:5">
      <c r="A550">
        <f>HYPERLINK("http://www.twitter.com/realDonaldTrump/status/793889694064967680", "793889694064967680")</f>
        <v>0</v>
      </c>
      <c r="B550" s="2">
        <v>42676.7896643519</v>
      </c>
      <c r="C550">
        <v>21995</v>
      </c>
      <c r="D550">
        <v>11210</v>
      </c>
      <c r="E550" t="s">
        <v>552</v>
      </c>
    </row>
    <row r="551" spans="1:5">
      <c r="A551">
        <f>HYPERLINK("http://www.twitter.com/realDonaldTrump/status/793864122987323393", "793864122987323393")</f>
        <v>0</v>
      </c>
      <c r="B551" s="2">
        <v>42676.7190972222</v>
      </c>
      <c r="C551">
        <v>33214</v>
      </c>
      <c r="D551">
        <v>12459</v>
      </c>
      <c r="E551" t="s">
        <v>553</v>
      </c>
    </row>
    <row r="552" spans="1:5">
      <c r="A552">
        <f>HYPERLINK("http://www.twitter.com/realDonaldTrump/status/793824247168765952", "793824247168765952")</f>
        <v>0</v>
      </c>
      <c r="B552" s="2">
        <v>42676.6090625</v>
      </c>
      <c r="C552">
        <v>87533</v>
      </c>
      <c r="D552">
        <v>30399</v>
      </c>
      <c r="E552" t="s">
        <v>554</v>
      </c>
    </row>
    <row r="553" spans="1:5">
      <c r="A553">
        <f>HYPERLINK("http://www.twitter.com/realDonaldTrump/status/793804514583252992", "793804514583252992")</f>
        <v>0</v>
      </c>
      <c r="B553" s="2">
        <v>42676.5546180556</v>
      </c>
      <c r="C553">
        <v>19940</v>
      </c>
      <c r="D553">
        <v>7439</v>
      </c>
      <c r="E553" t="s">
        <v>555</v>
      </c>
    </row>
    <row r="554" spans="1:5">
      <c r="A554">
        <f>HYPERLINK("http://www.twitter.com/realDonaldTrump/status/793802617428160513", "793802617428160513")</f>
        <v>0</v>
      </c>
      <c r="B554" s="2">
        <v>42676.549375</v>
      </c>
      <c r="C554">
        <v>19263</v>
      </c>
      <c r="D554">
        <v>7965</v>
      </c>
      <c r="E554" t="s">
        <v>556</v>
      </c>
    </row>
    <row r="555" spans="1:5">
      <c r="A555">
        <f>HYPERLINK("http://www.twitter.com/realDonaldTrump/status/793796754193936385", "793796754193936385")</f>
        <v>0</v>
      </c>
      <c r="B555" s="2">
        <v>42676.5331944444</v>
      </c>
      <c r="C555">
        <v>48688</v>
      </c>
      <c r="D555">
        <v>18673</v>
      </c>
      <c r="E555" t="s">
        <v>557</v>
      </c>
    </row>
    <row r="556" spans="1:5">
      <c r="A556">
        <f>HYPERLINK("http://www.twitter.com/realDonaldTrump/status/793769750056677376", "793769750056677376")</f>
        <v>0</v>
      </c>
      <c r="B556" s="2">
        <v>42676.4586805556</v>
      </c>
      <c r="C556">
        <v>51098</v>
      </c>
      <c r="D556">
        <v>17426</v>
      </c>
      <c r="E556" t="s">
        <v>558</v>
      </c>
    </row>
    <row r="557" spans="1:5">
      <c r="A557">
        <f>HYPERLINK("http://www.twitter.com/realDonaldTrump/status/793763567837253633", "793763567837253633")</f>
        <v>0</v>
      </c>
      <c r="B557" s="2">
        <v>42676.4416203704</v>
      </c>
      <c r="C557">
        <v>58708</v>
      </c>
      <c r="D557">
        <v>25532</v>
      </c>
      <c r="E557" t="s">
        <v>559</v>
      </c>
    </row>
    <row r="558" spans="1:5">
      <c r="A558">
        <f>HYPERLINK("http://www.twitter.com/realDonaldTrump/status/793659710054498304", "793659710054498304")</f>
        <v>0</v>
      </c>
      <c r="B558" s="2">
        <v>42676.1550347222</v>
      </c>
      <c r="C558">
        <v>18913</v>
      </c>
      <c r="D558">
        <v>8338</v>
      </c>
      <c r="E558" t="s">
        <v>560</v>
      </c>
    </row>
    <row r="559" spans="1:5">
      <c r="A559">
        <f>HYPERLINK("http://www.twitter.com/realDonaldTrump/status/793611795156111360", "793611795156111360")</f>
        <v>0</v>
      </c>
      <c r="B559" s="2">
        <v>42676.0228125</v>
      </c>
      <c r="C559">
        <v>32161</v>
      </c>
      <c r="D559">
        <v>12719</v>
      </c>
      <c r="E559" t="s">
        <v>561</v>
      </c>
    </row>
    <row r="560" spans="1:5">
      <c r="A560">
        <f>HYPERLINK("http://www.twitter.com/realDonaldTrump/status/793590297800404992", "793590297800404992")</f>
        <v>0</v>
      </c>
      <c r="B560" s="2">
        <v>42675.9634837963</v>
      </c>
      <c r="C560">
        <v>0</v>
      </c>
      <c r="D560">
        <v>3217</v>
      </c>
      <c r="E560" t="s">
        <v>562</v>
      </c>
    </row>
    <row r="561" spans="1:5">
      <c r="A561">
        <f>HYPERLINK("http://www.twitter.com/realDonaldTrump/status/793572802729086976", "793572802729086976")</f>
        <v>0</v>
      </c>
      <c r="B561" s="2">
        <v>42675.9152083333</v>
      </c>
      <c r="C561">
        <v>25923</v>
      </c>
      <c r="D561">
        <v>14339</v>
      </c>
      <c r="E561" t="s">
        <v>563</v>
      </c>
    </row>
    <row r="562" spans="1:5">
      <c r="A562">
        <f>HYPERLINK("http://www.twitter.com/realDonaldTrump/status/793569883409657856", "793569883409657856")</f>
        <v>0</v>
      </c>
      <c r="B562" s="2">
        <v>42675.9071527778</v>
      </c>
      <c r="C562">
        <v>17102</v>
      </c>
      <c r="D562">
        <v>8386</v>
      </c>
      <c r="E562" t="s">
        <v>564</v>
      </c>
    </row>
    <row r="563" spans="1:5">
      <c r="A563">
        <f>HYPERLINK("http://www.twitter.com/realDonaldTrump/status/793565506431168512", "793565506431168512")</f>
        <v>0</v>
      </c>
      <c r="B563" s="2">
        <v>42675.8950810185</v>
      </c>
      <c r="C563">
        <v>21725</v>
      </c>
      <c r="D563">
        <v>10645</v>
      </c>
      <c r="E563" t="s">
        <v>565</v>
      </c>
    </row>
    <row r="564" spans="1:5">
      <c r="A564">
        <f>HYPERLINK("http://www.twitter.com/realDonaldTrump/status/793563282854383617", "793563282854383617")</f>
        <v>0</v>
      </c>
      <c r="B564" s="2">
        <v>42675.8889351852</v>
      </c>
      <c r="C564">
        <v>15995</v>
      </c>
      <c r="D564">
        <v>9151</v>
      </c>
      <c r="E564" t="s">
        <v>566</v>
      </c>
    </row>
    <row r="565" spans="1:5">
      <c r="A565">
        <f>HYPERLINK("http://www.twitter.com/realDonaldTrump/status/793562498100178945", "793562498100178945")</f>
        <v>0</v>
      </c>
      <c r="B565" s="2">
        <v>42675.8867708333</v>
      </c>
      <c r="C565">
        <v>18743</v>
      </c>
      <c r="D565">
        <v>8498</v>
      </c>
      <c r="E565" t="s">
        <v>567</v>
      </c>
    </row>
    <row r="566" spans="1:5">
      <c r="A566">
        <f>HYPERLINK("http://www.twitter.com/realDonaldTrump/status/793562183573442560", "793562183573442560")</f>
        <v>0</v>
      </c>
      <c r="B566" s="2">
        <v>42675.8859027778</v>
      </c>
      <c r="C566">
        <v>18871</v>
      </c>
      <c r="D566">
        <v>10896</v>
      </c>
      <c r="E566" t="s">
        <v>568</v>
      </c>
    </row>
    <row r="567" spans="1:5">
      <c r="A567">
        <f>HYPERLINK("http://www.twitter.com/realDonaldTrump/status/793524189240188928", "793524189240188928")</f>
        <v>0</v>
      </c>
      <c r="B567" s="2">
        <v>42675.7810648148</v>
      </c>
      <c r="C567">
        <v>24238</v>
      </c>
      <c r="D567">
        <v>10577</v>
      </c>
      <c r="E567" t="s">
        <v>569</v>
      </c>
    </row>
    <row r="568" spans="1:5">
      <c r="A568">
        <f>HYPERLINK("http://www.twitter.com/realDonaldTrump/status/793503948313419776", "793503948313419776")</f>
        <v>0</v>
      </c>
      <c r="B568" s="2">
        <v>42675.7252083333</v>
      </c>
      <c r="C568">
        <v>20754</v>
      </c>
      <c r="D568">
        <v>7679</v>
      </c>
      <c r="E568" t="s">
        <v>570</v>
      </c>
    </row>
    <row r="569" spans="1:5">
      <c r="A569">
        <f>HYPERLINK("http://www.twitter.com/realDonaldTrump/status/793456094198759424", "793456094198759424")</f>
        <v>0</v>
      </c>
      <c r="B569" s="2">
        <v>42675.5931597222</v>
      </c>
      <c r="C569">
        <v>81107</v>
      </c>
      <c r="D569">
        <v>32902</v>
      </c>
      <c r="E569" t="s">
        <v>571</v>
      </c>
    </row>
    <row r="570" spans="1:5">
      <c r="A570">
        <f>HYPERLINK("http://www.twitter.com/realDonaldTrump/status/793446442031575040", "793446442031575040")</f>
        <v>0</v>
      </c>
      <c r="B570" s="2">
        <v>42675.5665162037</v>
      </c>
      <c r="C570">
        <v>17640</v>
      </c>
      <c r="D570">
        <v>8800</v>
      </c>
      <c r="E570" t="s">
        <v>572</v>
      </c>
    </row>
    <row r="571" spans="1:5">
      <c r="A571">
        <f>HYPERLINK("http://www.twitter.com/realDonaldTrump/status/793422633111023616", "793422633111023616")</f>
        <v>0</v>
      </c>
      <c r="B571" s="2">
        <v>42675.5008217593</v>
      </c>
      <c r="C571">
        <v>59909</v>
      </c>
      <c r="D571">
        <v>23891</v>
      </c>
      <c r="E571" t="s">
        <v>573</v>
      </c>
    </row>
    <row r="572" spans="1:5">
      <c r="A572">
        <f>HYPERLINK("http://www.twitter.com/realDonaldTrump/status/793421274043285504", "793421274043285504")</f>
        <v>0</v>
      </c>
      <c r="B572" s="2">
        <v>42675.4970717593</v>
      </c>
      <c r="C572">
        <v>39820</v>
      </c>
      <c r="D572">
        <v>16557</v>
      </c>
      <c r="E572" t="s">
        <v>574</v>
      </c>
    </row>
    <row r="573" spans="1:5">
      <c r="A573">
        <f>HYPERLINK("http://www.twitter.com/realDonaldTrump/status/793400131525677056", "793400131525677056")</f>
        <v>0</v>
      </c>
      <c r="B573" s="2">
        <v>42675.4387268519</v>
      </c>
      <c r="C573">
        <v>55832</v>
      </c>
      <c r="D573">
        <v>21558</v>
      </c>
      <c r="E573" t="s">
        <v>575</v>
      </c>
    </row>
    <row r="574" spans="1:5">
      <c r="A574">
        <f>HYPERLINK("http://www.twitter.com/realDonaldTrump/status/793193310219272198", "793193310219272198")</f>
        <v>0</v>
      </c>
      <c r="B574" s="2">
        <v>42674.8680092593</v>
      </c>
      <c r="C574">
        <v>24516</v>
      </c>
      <c r="D574">
        <v>8567</v>
      </c>
      <c r="E574" t="s">
        <v>576</v>
      </c>
    </row>
    <row r="575" spans="1:5">
      <c r="A575">
        <f>HYPERLINK("http://www.twitter.com/realDonaldTrump/status/793167761509851137", "793167761509851137")</f>
        <v>0</v>
      </c>
      <c r="B575" s="2">
        <v>42674.7975115741</v>
      </c>
      <c r="C575">
        <v>27879</v>
      </c>
      <c r="D575">
        <v>16075</v>
      </c>
      <c r="E575" t="s">
        <v>577</v>
      </c>
    </row>
    <row r="576" spans="1:5">
      <c r="A576">
        <f>HYPERLINK("http://www.twitter.com/realDonaldTrump/status/793165820889358338", "793165820889358338")</f>
        <v>0</v>
      </c>
      <c r="B576" s="2">
        <v>42674.7921527778</v>
      </c>
      <c r="C576">
        <v>23186</v>
      </c>
      <c r="D576">
        <v>9460</v>
      </c>
      <c r="E576" t="s">
        <v>578</v>
      </c>
    </row>
    <row r="577" spans="1:5">
      <c r="A577">
        <f>HYPERLINK("http://www.twitter.com/realDonaldTrump/status/793155579019681792", "793155579019681792")</f>
        <v>0</v>
      </c>
      <c r="B577" s="2">
        <v>42674.7638888889</v>
      </c>
      <c r="C577">
        <v>22350</v>
      </c>
      <c r="D577">
        <v>9208</v>
      </c>
      <c r="E577" t="s">
        <v>579</v>
      </c>
    </row>
    <row r="578" spans="1:5">
      <c r="A578">
        <f>HYPERLINK("http://www.twitter.com/realDonaldTrump/status/793129964476436480", "793129964476436480")</f>
        <v>0</v>
      </c>
      <c r="B578" s="2">
        <v>42674.6932060185</v>
      </c>
      <c r="C578">
        <v>43138</v>
      </c>
      <c r="D578">
        <v>13220</v>
      </c>
      <c r="E578" t="s">
        <v>580</v>
      </c>
    </row>
    <row r="579" spans="1:5">
      <c r="A579">
        <f>HYPERLINK("http://www.twitter.com/realDonaldTrump/status/793120426541056000", "793120426541056000")</f>
        <v>0</v>
      </c>
      <c r="B579" s="2">
        <v>42674.6668865741</v>
      </c>
      <c r="C579">
        <v>23237</v>
      </c>
      <c r="D579">
        <v>14561</v>
      </c>
      <c r="E579" t="s">
        <v>581</v>
      </c>
    </row>
    <row r="580" spans="1:5">
      <c r="A580">
        <f>HYPERLINK("http://www.twitter.com/realDonaldTrump/status/792939101494337540", "792939101494337540")</f>
        <v>0</v>
      </c>
      <c r="B580" s="2">
        <v>42674.1665277778</v>
      </c>
      <c r="C580">
        <v>20060</v>
      </c>
      <c r="D580">
        <v>8009</v>
      </c>
      <c r="E580" t="s">
        <v>582</v>
      </c>
    </row>
    <row r="581" spans="1:5">
      <c r="A581">
        <f>HYPERLINK("http://www.twitter.com/realDonaldTrump/status/792922071437287428", "792922071437287428")</f>
        <v>0</v>
      </c>
      <c r="B581" s="2">
        <v>42674.119537037</v>
      </c>
      <c r="C581">
        <v>29356</v>
      </c>
      <c r="D581">
        <v>12868</v>
      </c>
      <c r="E581" t="s">
        <v>583</v>
      </c>
    </row>
    <row r="582" spans="1:5">
      <c r="A582">
        <f>HYPERLINK("http://www.twitter.com/realDonaldTrump/status/792869550593146880", "792869550593146880")</f>
        <v>0</v>
      </c>
      <c r="B582" s="2">
        <v>42673.9746064815</v>
      </c>
      <c r="C582">
        <v>27955</v>
      </c>
      <c r="D582">
        <v>11136</v>
      </c>
      <c r="E582" t="s">
        <v>584</v>
      </c>
    </row>
    <row r="583" spans="1:5">
      <c r="A583">
        <f>HYPERLINK("http://www.twitter.com/realDonaldTrump/status/792868471734345728", "792868471734345728")</f>
        <v>0</v>
      </c>
      <c r="B583" s="2">
        <v>42673.9716319444</v>
      </c>
      <c r="C583">
        <v>27357</v>
      </c>
      <c r="D583">
        <v>11656</v>
      </c>
      <c r="E583" t="s">
        <v>585</v>
      </c>
    </row>
    <row r="584" spans="1:5">
      <c r="A584">
        <f>HYPERLINK("http://www.twitter.com/realDonaldTrump/status/792804645542305792", "792804645542305792")</f>
        <v>0</v>
      </c>
      <c r="B584" s="2">
        <v>42673.7954976852</v>
      </c>
      <c r="C584">
        <v>23036</v>
      </c>
      <c r="D584">
        <v>8343</v>
      </c>
      <c r="E584" t="s">
        <v>586</v>
      </c>
    </row>
    <row r="585" spans="1:5">
      <c r="A585">
        <f>HYPERLINK("http://www.twitter.com/realDonaldTrump/status/792787872789045248", "792787872789045248")</f>
        <v>0</v>
      </c>
      <c r="B585" s="2">
        <v>42673.749212963</v>
      </c>
      <c r="C585">
        <v>20551</v>
      </c>
      <c r="D585">
        <v>7891</v>
      </c>
      <c r="E585" t="s">
        <v>587</v>
      </c>
    </row>
    <row r="586" spans="1:5">
      <c r="A586">
        <f>HYPERLINK("http://www.twitter.com/realDonaldTrump/status/792734426912337920", "792734426912337920")</f>
        <v>0</v>
      </c>
      <c r="B586" s="2">
        <v>42673.6017361111</v>
      </c>
      <c r="C586">
        <v>72399</v>
      </c>
      <c r="D586">
        <v>35617</v>
      </c>
      <c r="E586" t="s">
        <v>588</v>
      </c>
    </row>
    <row r="587" spans="1:5">
      <c r="A587">
        <f>HYPERLINK("http://www.twitter.com/realDonaldTrump/status/792728791743291392", "792728791743291392")</f>
        <v>0</v>
      </c>
      <c r="B587" s="2">
        <v>42673.5861805556</v>
      </c>
      <c r="C587">
        <v>48886</v>
      </c>
      <c r="D587">
        <v>19415</v>
      </c>
      <c r="E587" t="s">
        <v>589</v>
      </c>
    </row>
    <row r="588" spans="1:5">
      <c r="A588">
        <f>HYPERLINK("http://www.twitter.com/realDonaldTrump/status/792726526127067136", "792726526127067136")</f>
        <v>0</v>
      </c>
      <c r="B588" s="2">
        <v>42673.5799305556</v>
      </c>
      <c r="C588">
        <v>64563</v>
      </c>
      <c r="D588">
        <v>21118</v>
      </c>
      <c r="E588" t="s">
        <v>590</v>
      </c>
    </row>
    <row r="589" spans="1:5">
      <c r="A589">
        <f>HYPERLINK("http://www.twitter.com/realDonaldTrump/status/792540629548933120", "792540629548933120")</f>
        <v>0</v>
      </c>
      <c r="B589" s="2">
        <v>42673.0669560185</v>
      </c>
      <c r="C589">
        <v>26804</v>
      </c>
      <c r="D589">
        <v>10791</v>
      </c>
      <c r="E589" t="s">
        <v>591</v>
      </c>
    </row>
    <row r="590" spans="1:5">
      <c r="A590">
        <f>HYPERLINK("http://www.twitter.com/realDonaldTrump/status/792537371291987968", "792537371291987968")</f>
        <v>0</v>
      </c>
      <c r="B590" s="2">
        <v>42673.057962963</v>
      </c>
      <c r="C590">
        <v>38928</v>
      </c>
      <c r="D590">
        <v>15332</v>
      </c>
      <c r="E590" t="s">
        <v>592</v>
      </c>
    </row>
    <row r="591" spans="1:5">
      <c r="A591">
        <f>HYPERLINK("http://www.twitter.com/realDonaldTrump/status/792456539151806464", "792456539151806464")</f>
        <v>0</v>
      </c>
      <c r="B591" s="2">
        <v>42672.8349074074</v>
      </c>
      <c r="C591">
        <v>60760</v>
      </c>
      <c r="D591">
        <v>23187</v>
      </c>
      <c r="E591" t="s">
        <v>593</v>
      </c>
    </row>
    <row r="592" spans="1:5">
      <c r="A592">
        <f>HYPERLINK("http://www.twitter.com/realDonaldTrump/status/792455164615544832", "792455164615544832")</f>
        <v>0</v>
      </c>
      <c r="B592" s="2">
        <v>42672.8311226852</v>
      </c>
      <c r="C592">
        <v>26388</v>
      </c>
      <c r="D592">
        <v>9713</v>
      </c>
      <c r="E592" t="s">
        <v>594</v>
      </c>
    </row>
    <row r="593" spans="1:5">
      <c r="A593">
        <f>HYPERLINK("http://www.twitter.com/realDonaldTrump/status/792411187547734016", "792411187547734016")</f>
        <v>0</v>
      </c>
      <c r="B593" s="2">
        <v>42672.7097685185</v>
      </c>
      <c r="C593">
        <v>20513</v>
      </c>
      <c r="D593">
        <v>11225</v>
      </c>
      <c r="E593" t="s">
        <v>595</v>
      </c>
    </row>
    <row r="594" spans="1:5">
      <c r="A594">
        <f>HYPERLINK("http://www.twitter.com/realDonaldTrump/status/792409386073202688", "792409386073202688")</f>
        <v>0</v>
      </c>
      <c r="B594" s="2">
        <v>42672.7047916667</v>
      </c>
      <c r="C594">
        <v>13929</v>
      </c>
      <c r="D594">
        <v>6016</v>
      </c>
      <c r="E594" t="s">
        <v>596</v>
      </c>
    </row>
    <row r="595" spans="1:5">
      <c r="A595">
        <f>HYPERLINK("http://www.twitter.com/realDonaldTrump/status/792389892298780672", "792389892298780672")</f>
        <v>0</v>
      </c>
      <c r="B595" s="2">
        <v>42672.6509953704</v>
      </c>
      <c r="C595">
        <v>31038</v>
      </c>
      <c r="D595">
        <v>11703</v>
      </c>
      <c r="E595" t="s">
        <v>597</v>
      </c>
    </row>
    <row r="596" spans="1:5">
      <c r="A596">
        <f>HYPERLINK("http://www.twitter.com/realDonaldTrump/status/792352376828993538", "792352376828993538")</f>
        <v>0</v>
      </c>
      <c r="B596" s="2">
        <v>42672.5474768519</v>
      </c>
      <c r="C596">
        <v>43068</v>
      </c>
      <c r="D596">
        <v>12550</v>
      </c>
      <c r="E596" t="s">
        <v>598</v>
      </c>
    </row>
    <row r="597" spans="1:5">
      <c r="A597">
        <f>HYPERLINK("http://www.twitter.com/realDonaldTrump/status/792217215114342400", "792217215114342400")</f>
        <v>0</v>
      </c>
      <c r="B597" s="2">
        <v>42672.1745023148</v>
      </c>
      <c r="C597">
        <v>20243</v>
      </c>
      <c r="D597">
        <v>8410</v>
      </c>
      <c r="E597" t="s">
        <v>599</v>
      </c>
    </row>
    <row r="598" spans="1:5">
      <c r="A598">
        <f>HYPERLINK("http://www.twitter.com/realDonaldTrump/status/792215485941186560", "792215485941186560")</f>
        <v>0</v>
      </c>
      <c r="B598" s="2">
        <v>42672.1697337963</v>
      </c>
      <c r="C598">
        <v>33898</v>
      </c>
      <c r="D598">
        <v>13051</v>
      </c>
      <c r="E598" t="s">
        <v>600</v>
      </c>
    </row>
    <row r="599" spans="1:5">
      <c r="A599">
        <f>HYPERLINK("http://www.twitter.com/realDonaldTrump/status/792176856086622208", "792176856086622208")</f>
        <v>0</v>
      </c>
      <c r="B599" s="2">
        <v>42672.0631365741</v>
      </c>
      <c r="C599">
        <v>42503</v>
      </c>
      <c r="D599">
        <v>15374</v>
      </c>
      <c r="E599" t="s">
        <v>601</v>
      </c>
    </row>
    <row r="600" spans="1:5">
      <c r="A600">
        <f>HYPERLINK("http://www.twitter.com/realDonaldTrump/status/792176315478609920", "792176315478609920")</f>
        <v>0</v>
      </c>
      <c r="B600" s="2">
        <v>42672.0616435185</v>
      </c>
      <c r="C600">
        <v>25120</v>
      </c>
      <c r="D600">
        <v>6299</v>
      </c>
      <c r="E600" t="s">
        <v>602</v>
      </c>
    </row>
    <row r="601" spans="1:5">
      <c r="A601">
        <f>HYPERLINK("http://www.twitter.com/realDonaldTrump/status/792083605405171712", "792083605405171712")</f>
        <v>0</v>
      </c>
      <c r="B601" s="2">
        <v>42671.8058101852</v>
      </c>
      <c r="C601">
        <v>54714</v>
      </c>
      <c r="D601">
        <v>26342</v>
      </c>
      <c r="E601" t="s">
        <v>603</v>
      </c>
    </row>
    <row r="602" spans="1:5">
      <c r="A602">
        <f>HYPERLINK("http://www.twitter.com/realDonaldTrump/status/792054354991800320", "792054354991800320")</f>
        <v>0</v>
      </c>
      <c r="B602" s="2">
        <v>42671.7250925926</v>
      </c>
      <c r="C602">
        <v>38033</v>
      </c>
      <c r="D602">
        <v>15338</v>
      </c>
      <c r="E602" t="s">
        <v>604</v>
      </c>
    </row>
    <row r="603" spans="1:5">
      <c r="A603">
        <f>HYPERLINK("http://www.twitter.com/realDonaldTrump/status/792054233721864193", "792054233721864193")</f>
        <v>0</v>
      </c>
      <c r="B603" s="2">
        <v>42671.7247569444</v>
      </c>
      <c r="C603">
        <v>0</v>
      </c>
      <c r="D603">
        <v>4435</v>
      </c>
      <c r="E603" t="s">
        <v>605</v>
      </c>
    </row>
    <row r="604" spans="1:5">
      <c r="A604">
        <f>HYPERLINK("http://www.twitter.com/realDonaldTrump/status/792049535195439104", "792049535195439104")</f>
        <v>0</v>
      </c>
      <c r="B604" s="2">
        <v>42671.7117939815</v>
      </c>
      <c r="C604">
        <v>25679</v>
      </c>
      <c r="D604">
        <v>7699</v>
      </c>
      <c r="E604" t="s">
        <v>606</v>
      </c>
    </row>
    <row r="605" spans="1:5">
      <c r="A605">
        <f>HYPERLINK("http://www.twitter.com/realDonaldTrump/status/792031499075944448", "792031499075944448")</f>
        <v>0</v>
      </c>
      <c r="B605" s="2">
        <v>42671.662025463</v>
      </c>
      <c r="C605">
        <v>49178</v>
      </c>
      <c r="D605">
        <v>17833</v>
      </c>
      <c r="E605" t="s">
        <v>607</v>
      </c>
    </row>
    <row r="606" spans="1:5">
      <c r="A606">
        <f>HYPERLINK("http://www.twitter.com/realDonaldTrump/status/792027901126406144", "792027901126406144")</f>
        <v>0</v>
      </c>
      <c r="B606" s="2">
        <v>42671.6520949074</v>
      </c>
      <c r="C606">
        <v>14210</v>
      </c>
      <c r="D606">
        <v>5629</v>
      </c>
      <c r="E606" t="s">
        <v>608</v>
      </c>
    </row>
    <row r="607" spans="1:5">
      <c r="A607">
        <f>HYPERLINK("http://www.twitter.com/realDonaldTrump/status/792024896616407040", "792024896616407040")</f>
        <v>0</v>
      </c>
      <c r="B607" s="2">
        <v>42671.6438078704</v>
      </c>
      <c r="C607">
        <v>20014</v>
      </c>
      <c r="D607">
        <v>8173</v>
      </c>
      <c r="E607" t="s">
        <v>609</v>
      </c>
    </row>
    <row r="608" spans="1:5">
      <c r="A608">
        <f>HYPERLINK("http://www.twitter.com/realDonaldTrump/status/792015309058310145", "792015309058310145")</f>
        <v>0</v>
      </c>
      <c r="B608" s="2">
        <v>42671.617349537</v>
      </c>
      <c r="C608">
        <v>0</v>
      </c>
      <c r="D608">
        <v>3506</v>
      </c>
      <c r="E608" t="s">
        <v>610</v>
      </c>
    </row>
    <row r="609" spans="1:5">
      <c r="A609">
        <f>HYPERLINK("http://www.twitter.com/realDonaldTrump/status/791818552600821761", "791818552600821761")</f>
        <v>0</v>
      </c>
      <c r="B609" s="2">
        <v>42671.0743981482</v>
      </c>
      <c r="C609">
        <v>42792</v>
      </c>
      <c r="D609">
        <v>16856</v>
      </c>
      <c r="E609" t="s">
        <v>611</v>
      </c>
    </row>
    <row r="610" spans="1:5">
      <c r="A610">
        <f>HYPERLINK("http://www.twitter.com/realDonaldTrump/status/791795308162408448", "791795308162408448")</f>
        <v>0</v>
      </c>
      <c r="B610" s="2">
        <v>42671.0102546296</v>
      </c>
      <c r="C610">
        <v>16115</v>
      </c>
      <c r="D610">
        <v>6342</v>
      </c>
      <c r="E610" t="s">
        <v>612</v>
      </c>
    </row>
    <row r="611" spans="1:5">
      <c r="A611">
        <f>HYPERLINK("http://www.twitter.com/realDonaldTrump/status/791770795165057025", "791770795165057025")</f>
        <v>0</v>
      </c>
      <c r="B611" s="2">
        <v>42670.9426157407</v>
      </c>
      <c r="C611">
        <v>27529</v>
      </c>
      <c r="D611">
        <v>16501</v>
      </c>
      <c r="E611" t="s">
        <v>613</v>
      </c>
    </row>
    <row r="612" spans="1:5">
      <c r="A612">
        <f>HYPERLINK("http://www.twitter.com/realDonaldTrump/status/791768269615169538", "791768269615169538")</f>
        <v>0</v>
      </c>
      <c r="B612" s="2">
        <v>42670.9356481481</v>
      </c>
      <c r="C612">
        <v>29266</v>
      </c>
      <c r="D612">
        <v>14837</v>
      </c>
      <c r="E612" t="s">
        <v>614</v>
      </c>
    </row>
    <row r="613" spans="1:5">
      <c r="A613">
        <f>HYPERLINK("http://www.twitter.com/realDonaldTrump/status/791767413465419777", "791767413465419777")</f>
        <v>0</v>
      </c>
      <c r="B613" s="2">
        <v>42670.933287037</v>
      </c>
      <c r="C613">
        <v>18624</v>
      </c>
      <c r="D613">
        <v>5904</v>
      </c>
      <c r="E613" t="s">
        <v>615</v>
      </c>
    </row>
    <row r="614" spans="1:5">
      <c r="A614">
        <f>HYPERLINK("http://www.twitter.com/realDonaldTrump/status/791762650195632128", "791762650195632128")</f>
        <v>0</v>
      </c>
      <c r="B614" s="2">
        <v>42670.9201388889</v>
      </c>
      <c r="C614">
        <v>29674</v>
      </c>
      <c r="D614">
        <v>13755</v>
      </c>
      <c r="E614" t="s">
        <v>616</v>
      </c>
    </row>
    <row r="615" spans="1:5">
      <c r="A615">
        <f>HYPERLINK("http://www.twitter.com/realDonaldTrump/status/791748254991912960", "791748254991912960")</f>
        <v>0</v>
      </c>
      <c r="B615" s="2">
        <v>42670.8804166667</v>
      </c>
      <c r="C615">
        <v>12987</v>
      </c>
      <c r="D615">
        <v>4466</v>
      </c>
      <c r="E615" t="s">
        <v>617</v>
      </c>
    </row>
    <row r="616" spans="1:5">
      <c r="A616">
        <f>HYPERLINK("http://www.twitter.com/realDonaldTrump/status/791746832686682112", "791746832686682112")</f>
        <v>0</v>
      </c>
      <c r="B616" s="2">
        <v>42670.8764930556</v>
      </c>
      <c r="C616">
        <v>13010</v>
      </c>
      <c r="D616">
        <v>5061</v>
      </c>
      <c r="E616" t="s">
        <v>618</v>
      </c>
    </row>
    <row r="617" spans="1:5">
      <c r="A617">
        <f>HYPERLINK("http://www.twitter.com/realDonaldTrump/status/791738173462310912", "791738173462310912")</f>
        <v>0</v>
      </c>
      <c r="B617" s="2">
        <v>42670.8525925926</v>
      </c>
      <c r="C617">
        <v>31530</v>
      </c>
      <c r="D617">
        <v>15098</v>
      </c>
      <c r="E617" t="s">
        <v>619</v>
      </c>
    </row>
    <row r="618" spans="1:5">
      <c r="A618">
        <f>HYPERLINK("http://www.twitter.com/realDonaldTrump/status/791722658358439936", "791722658358439936")</f>
        <v>0</v>
      </c>
      <c r="B618" s="2">
        <v>42670.8097800926</v>
      </c>
      <c r="C618">
        <v>17388</v>
      </c>
      <c r="D618">
        <v>7323</v>
      </c>
      <c r="E618" t="s">
        <v>620</v>
      </c>
    </row>
    <row r="619" spans="1:5">
      <c r="A619">
        <f>HYPERLINK("http://www.twitter.com/realDonaldTrump/status/791697302519947264", "791697302519947264")</f>
        <v>0</v>
      </c>
      <c r="B619" s="2">
        <v>42670.7398148148</v>
      </c>
      <c r="C619">
        <v>12672</v>
      </c>
      <c r="D619">
        <v>4458</v>
      </c>
      <c r="E619" t="s">
        <v>621</v>
      </c>
    </row>
    <row r="620" spans="1:5">
      <c r="A620">
        <f>HYPERLINK("http://www.twitter.com/realDonaldTrump/status/791653174994202624", "791653174994202624")</f>
        <v>0</v>
      </c>
      <c r="B620" s="2">
        <v>42670.6180439815</v>
      </c>
      <c r="C620">
        <v>21563</v>
      </c>
      <c r="D620">
        <v>13193</v>
      </c>
      <c r="E620" t="s">
        <v>622</v>
      </c>
    </row>
    <row r="621" spans="1:5">
      <c r="A621">
        <f>HYPERLINK("http://www.twitter.com/realDonaldTrump/status/791651860889427968", "791651860889427968")</f>
        <v>0</v>
      </c>
      <c r="B621" s="2">
        <v>42670.6144212963</v>
      </c>
      <c r="C621">
        <v>17600</v>
      </c>
      <c r="D621">
        <v>7244</v>
      </c>
      <c r="E621" t="s">
        <v>623</v>
      </c>
    </row>
    <row r="622" spans="1:5">
      <c r="A622">
        <f>HYPERLINK("http://www.twitter.com/realDonaldTrump/status/791648893725450240", "791648893725450240")</f>
        <v>0</v>
      </c>
      <c r="B622" s="2">
        <v>42670.6062384259</v>
      </c>
      <c r="C622">
        <v>24677</v>
      </c>
      <c r="D622">
        <v>11901</v>
      </c>
      <c r="E622" t="s">
        <v>624</v>
      </c>
    </row>
    <row r="623" spans="1:5">
      <c r="A623">
        <f>HYPERLINK("http://www.twitter.com/realDonaldTrump/status/791643789609865216", "791643789609865216")</f>
        <v>0</v>
      </c>
      <c r="B623" s="2">
        <v>42670.5921527778</v>
      </c>
      <c r="C623">
        <v>15469</v>
      </c>
      <c r="D623">
        <v>9264</v>
      </c>
      <c r="E623" t="s">
        <v>625</v>
      </c>
    </row>
    <row r="624" spans="1:5">
      <c r="A624">
        <f>HYPERLINK("http://www.twitter.com/realDonaldTrump/status/791643269109350400", "791643269109350400")</f>
        <v>0</v>
      </c>
      <c r="B624" s="2">
        <v>42670.5907175926</v>
      </c>
      <c r="C624">
        <v>15062</v>
      </c>
      <c r="D624">
        <v>8597</v>
      </c>
      <c r="E624" t="s">
        <v>626</v>
      </c>
    </row>
    <row r="625" spans="1:5">
      <c r="A625">
        <f>HYPERLINK("http://www.twitter.com/realDonaldTrump/status/791642669256769536", "791642669256769536")</f>
        <v>0</v>
      </c>
      <c r="B625" s="2">
        <v>42670.5890625</v>
      </c>
      <c r="C625">
        <v>23380</v>
      </c>
      <c r="D625">
        <v>12538</v>
      </c>
      <c r="E625" t="s">
        <v>627</v>
      </c>
    </row>
    <row r="626" spans="1:5">
      <c r="A626">
        <f>HYPERLINK("http://www.twitter.com/realDonaldTrump/status/791625798792974336", "791625798792974336")</f>
        <v>0</v>
      </c>
      <c r="B626" s="2">
        <v>42670.5425</v>
      </c>
      <c r="C626">
        <v>40310</v>
      </c>
      <c r="D626">
        <v>19879</v>
      </c>
      <c r="E626" t="s">
        <v>628</v>
      </c>
    </row>
    <row r="627" spans="1:5">
      <c r="A627">
        <f>HYPERLINK("http://www.twitter.com/realDonaldTrump/status/791614912833449984", "791614912833449984")</f>
        <v>0</v>
      </c>
      <c r="B627" s="2">
        <v>42670.5124652778</v>
      </c>
      <c r="C627">
        <v>30694</v>
      </c>
      <c r="D627">
        <v>14805</v>
      </c>
      <c r="E627" t="s">
        <v>629</v>
      </c>
    </row>
    <row r="628" spans="1:5">
      <c r="A628">
        <f>HYPERLINK("http://www.twitter.com/realDonaldTrump/status/791614568275570688", "791614568275570688")</f>
        <v>0</v>
      </c>
      <c r="B628" s="2">
        <v>42670.5115162037</v>
      </c>
      <c r="C628">
        <v>0</v>
      </c>
      <c r="D628">
        <v>5355</v>
      </c>
      <c r="E628" t="s">
        <v>630</v>
      </c>
    </row>
    <row r="629" spans="1:5">
      <c r="A629">
        <f>HYPERLINK("http://www.twitter.com/realDonaldTrump/status/791458860930392065", "791458860930392065")</f>
        <v>0</v>
      </c>
      <c r="B629" s="2">
        <v>42670.0818402778</v>
      </c>
      <c r="C629">
        <v>25593</v>
      </c>
      <c r="D629">
        <v>9922</v>
      </c>
      <c r="E629" t="s">
        <v>631</v>
      </c>
    </row>
    <row r="630" spans="1:5">
      <c r="A630">
        <f>HYPERLINK("http://www.twitter.com/realDonaldTrump/status/791457576030535680", "791457576030535680")</f>
        <v>0</v>
      </c>
      <c r="B630" s="2">
        <v>42670.0782986111</v>
      </c>
      <c r="C630">
        <v>26488</v>
      </c>
      <c r="D630">
        <v>10730</v>
      </c>
      <c r="E630" t="s">
        <v>632</v>
      </c>
    </row>
    <row r="631" spans="1:5">
      <c r="A631">
        <f>HYPERLINK("http://www.twitter.com/realDonaldTrump/status/791398814049456128", "791398814049456128")</f>
        <v>0</v>
      </c>
      <c r="B631" s="2">
        <v>42669.9161458333</v>
      </c>
      <c r="C631">
        <v>69736</v>
      </c>
      <c r="D631">
        <v>37023</v>
      </c>
      <c r="E631" t="s">
        <v>633</v>
      </c>
    </row>
    <row r="632" spans="1:5">
      <c r="A632">
        <f>HYPERLINK("http://www.twitter.com/realDonaldTrump/status/791351142760321024", "791351142760321024")</f>
        <v>0</v>
      </c>
      <c r="B632" s="2">
        <v>42669.7845949074</v>
      </c>
      <c r="C632">
        <v>17902</v>
      </c>
      <c r="D632">
        <v>8282</v>
      </c>
      <c r="E632" t="s">
        <v>634</v>
      </c>
    </row>
    <row r="633" spans="1:5">
      <c r="A633">
        <f>HYPERLINK("http://www.twitter.com/realDonaldTrump/status/791233632593739776", "791233632593739776")</f>
        <v>0</v>
      </c>
      <c r="B633" s="2">
        <v>42669.4603356481</v>
      </c>
      <c r="C633">
        <v>54413</v>
      </c>
      <c r="D633">
        <v>19945</v>
      </c>
      <c r="E633" t="s">
        <v>635</v>
      </c>
    </row>
    <row r="634" spans="1:5">
      <c r="A634">
        <f>HYPERLINK("http://www.twitter.com/realDonaldTrump/status/791059759663288321", "791059759663288321")</f>
        <v>0</v>
      </c>
      <c r="B634" s="2">
        <v>42668.9805324074</v>
      </c>
      <c r="C634">
        <v>25445</v>
      </c>
      <c r="D634">
        <v>9866</v>
      </c>
      <c r="E634" t="s">
        <v>636</v>
      </c>
    </row>
    <row r="635" spans="1:5">
      <c r="A635">
        <f>HYPERLINK("http://www.twitter.com/realDonaldTrump/status/791043842124439552", "791043842124439552")</f>
        <v>0</v>
      </c>
      <c r="B635" s="2">
        <v>42668.9366087963</v>
      </c>
      <c r="C635">
        <v>24836</v>
      </c>
      <c r="D635">
        <v>10195</v>
      </c>
      <c r="E635" t="s">
        <v>637</v>
      </c>
    </row>
    <row r="636" spans="1:5">
      <c r="A636">
        <f>HYPERLINK("http://www.twitter.com/realDonaldTrump/status/791037075030179840", "791037075030179840")</f>
        <v>0</v>
      </c>
      <c r="B636" s="2">
        <v>42668.9179398148</v>
      </c>
      <c r="C636">
        <v>38713</v>
      </c>
      <c r="D636">
        <v>16768</v>
      </c>
      <c r="E636" t="s">
        <v>638</v>
      </c>
    </row>
    <row r="637" spans="1:5">
      <c r="A637">
        <f>HYPERLINK("http://www.twitter.com/realDonaldTrump/status/791035128176844800", "791035128176844800")</f>
        <v>0</v>
      </c>
      <c r="B637" s="2">
        <v>42668.9125578704</v>
      </c>
      <c r="C637">
        <v>27573</v>
      </c>
      <c r="D637">
        <v>12506</v>
      </c>
      <c r="E637" t="s">
        <v>639</v>
      </c>
    </row>
    <row r="638" spans="1:5">
      <c r="A638">
        <f>HYPERLINK("http://www.twitter.com/realDonaldTrump/status/791030789001605126", "791030789001605126")</f>
        <v>0</v>
      </c>
      <c r="B638" s="2">
        <v>42668.9005902778</v>
      </c>
      <c r="C638">
        <v>22445</v>
      </c>
      <c r="D638">
        <v>8902</v>
      </c>
      <c r="E638" t="s">
        <v>640</v>
      </c>
    </row>
    <row r="639" spans="1:5">
      <c r="A639">
        <f>HYPERLINK("http://www.twitter.com/realDonaldTrump/status/791022438486343680", "791022438486343680")</f>
        <v>0</v>
      </c>
      <c r="B639" s="2">
        <v>42668.8775462963</v>
      </c>
      <c r="C639">
        <v>25770</v>
      </c>
      <c r="D639">
        <v>15720</v>
      </c>
      <c r="E639" t="s">
        <v>641</v>
      </c>
    </row>
    <row r="640" spans="1:5">
      <c r="A640">
        <f>HYPERLINK("http://www.twitter.com/realDonaldTrump/status/791017424426504192", "791017424426504192")</f>
        <v>0</v>
      </c>
      <c r="B640" s="2">
        <v>42668.8637152778</v>
      </c>
      <c r="C640">
        <v>32759</v>
      </c>
      <c r="D640">
        <v>13075</v>
      </c>
      <c r="E640" t="s">
        <v>642</v>
      </c>
    </row>
    <row r="641" spans="1:5">
      <c r="A641">
        <f>HYPERLINK("http://www.twitter.com/realDonaldTrump/status/790983039056769024", "790983039056769024")</f>
        <v>0</v>
      </c>
      <c r="B641" s="2">
        <v>42668.7688194444</v>
      </c>
      <c r="C641">
        <v>49178</v>
      </c>
      <c r="D641">
        <v>19851</v>
      </c>
      <c r="E641" t="s">
        <v>643</v>
      </c>
    </row>
    <row r="642" spans="1:5">
      <c r="A642">
        <f>HYPERLINK("http://www.twitter.com/realDonaldTrump/status/790951230906458113", "790951230906458113")</f>
        <v>0</v>
      </c>
      <c r="B642" s="2">
        <v>42668.6810532407</v>
      </c>
      <c r="C642">
        <v>31432</v>
      </c>
      <c r="D642">
        <v>17089</v>
      </c>
      <c r="E642" t="s">
        <v>644</v>
      </c>
    </row>
    <row r="643" spans="1:5">
      <c r="A643">
        <f>HYPERLINK("http://www.twitter.com/realDonaldTrump/status/790948782288596992", "790948782288596992")</f>
        <v>0</v>
      </c>
      <c r="B643" s="2">
        <v>42668.6742939815</v>
      </c>
      <c r="C643">
        <v>20967</v>
      </c>
      <c r="D643">
        <v>11936</v>
      </c>
      <c r="E643" t="s">
        <v>645</v>
      </c>
    </row>
    <row r="644" spans="1:5">
      <c r="A644">
        <f>HYPERLINK("http://www.twitter.com/realDonaldTrump/status/790936603590033408", "790936603590033408")</f>
        <v>0</v>
      </c>
      <c r="B644" s="2">
        <v>42668.6406828704</v>
      </c>
      <c r="C644">
        <v>17165</v>
      </c>
      <c r="D644">
        <v>7886</v>
      </c>
      <c r="E644" t="s">
        <v>646</v>
      </c>
    </row>
    <row r="645" spans="1:5">
      <c r="A645">
        <f>HYPERLINK("http://www.twitter.com/realDonaldTrump/status/790936360953716736", "790936360953716736")</f>
        <v>0</v>
      </c>
      <c r="B645" s="2">
        <v>42668.6400115741</v>
      </c>
      <c r="C645">
        <v>14576</v>
      </c>
      <c r="D645">
        <v>7086</v>
      </c>
      <c r="E645" t="s">
        <v>647</v>
      </c>
    </row>
    <row r="646" spans="1:5">
      <c r="A646">
        <f>HYPERLINK("http://www.twitter.com/realDonaldTrump/status/790936027871477764", "790936027871477764")</f>
        <v>0</v>
      </c>
      <c r="B646" s="2">
        <v>42668.6390972222</v>
      </c>
      <c r="C646">
        <v>23120</v>
      </c>
      <c r="D646">
        <v>12466</v>
      </c>
      <c r="E646" t="s">
        <v>648</v>
      </c>
    </row>
    <row r="647" spans="1:5">
      <c r="A647">
        <f>HYPERLINK("http://www.twitter.com/realDonaldTrump/status/790927104921767940", "790927104921767940")</f>
        <v>0</v>
      </c>
      <c r="B647" s="2">
        <v>42668.6144791667</v>
      </c>
      <c r="C647">
        <v>27992</v>
      </c>
      <c r="D647">
        <v>13061</v>
      </c>
      <c r="E647" t="s">
        <v>649</v>
      </c>
    </row>
    <row r="648" spans="1:5">
      <c r="A648">
        <f>HYPERLINK("http://www.twitter.com/realDonaldTrump/status/790925669937123328", "790925669937123328")</f>
        <v>0</v>
      </c>
      <c r="B648" s="2">
        <v>42668.6105208333</v>
      </c>
      <c r="C648">
        <v>14346</v>
      </c>
      <c r="D648">
        <v>8188</v>
      </c>
      <c r="E648" t="s">
        <v>650</v>
      </c>
    </row>
    <row r="649" spans="1:5">
      <c r="A649">
        <f>HYPERLINK("http://www.twitter.com/realDonaldTrump/status/790924363348541445", "790924363348541445")</f>
        <v>0</v>
      </c>
      <c r="B649" s="2">
        <v>42668.6069097222</v>
      </c>
      <c r="C649">
        <v>17610</v>
      </c>
      <c r="D649">
        <v>9289</v>
      </c>
      <c r="E649" t="s">
        <v>651</v>
      </c>
    </row>
    <row r="650" spans="1:5">
      <c r="A650">
        <f>HYPERLINK("http://www.twitter.com/realDonaldTrump/status/790923701193768960", "790923701193768960")</f>
        <v>0</v>
      </c>
      <c r="B650" s="2">
        <v>42668.6050810185</v>
      </c>
      <c r="C650">
        <v>15761</v>
      </c>
      <c r="D650">
        <v>8376</v>
      </c>
      <c r="E650" t="s">
        <v>652</v>
      </c>
    </row>
    <row r="651" spans="1:5">
      <c r="A651">
        <f>HYPERLINK("http://www.twitter.com/realDonaldTrump/status/790730455129714688", "790730455129714688")</f>
        <v>0</v>
      </c>
      <c r="B651" s="2">
        <v>42668.0718287037</v>
      </c>
      <c r="C651">
        <v>34625</v>
      </c>
      <c r="D651">
        <v>15356</v>
      </c>
      <c r="E651" t="s">
        <v>653</v>
      </c>
    </row>
    <row r="652" spans="1:5">
      <c r="A652">
        <f>HYPERLINK("http://www.twitter.com/realDonaldTrump/status/790726388978515968", "790726388978515968")</f>
        <v>0</v>
      </c>
      <c r="B652" s="2">
        <v>42668.0606018519</v>
      </c>
      <c r="C652">
        <v>37948</v>
      </c>
      <c r="D652">
        <v>15776</v>
      </c>
      <c r="E652" t="s">
        <v>654</v>
      </c>
    </row>
    <row r="653" spans="1:5">
      <c r="A653">
        <f>HYPERLINK("http://www.twitter.com/realDonaldTrump/status/790712761407926272", "790712761407926272")</f>
        <v>0</v>
      </c>
      <c r="B653" s="2">
        <v>42668.0229976852</v>
      </c>
      <c r="C653">
        <v>40737</v>
      </c>
      <c r="D653">
        <v>21658</v>
      </c>
      <c r="E653" t="s">
        <v>655</v>
      </c>
    </row>
    <row r="654" spans="1:5">
      <c r="A654">
        <f>HYPERLINK("http://www.twitter.com/realDonaldTrump/status/790672365466316800", "790672365466316800")</f>
        <v>0</v>
      </c>
      <c r="B654" s="2">
        <v>42667.9115277778</v>
      </c>
      <c r="C654">
        <v>13699</v>
      </c>
      <c r="D654">
        <v>6195</v>
      </c>
      <c r="E654" t="s">
        <v>656</v>
      </c>
    </row>
    <row r="655" spans="1:5">
      <c r="A655">
        <f>HYPERLINK("http://www.twitter.com/realDonaldTrump/status/790671814276083712", "790671814276083712")</f>
        <v>0</v>
      </c>
      <c r="B655" s="2">
        <v>42667.9100115741</v>
      </c>
      <c r="C655">
        <v>29951</v>
      </c>
      <c r="D655">
        <v>19553</v>
      </c>
      <c r="E655" t="s">
        <v>657</v>
      </c>
    </row>
    <row r="656" spans="1:5">
      <c r="A656">
        <f>HYPERLINK("http://www.twitter.com/realDonaldTrump/status/790662999841333249", "790662999841333249")</f>
        <v>0</v>
      </c>
      <c r="B656" s="2">
        <v>42667.8856828704</v>
      </c>
      <c r="C656">
        <v>13863</v>
      </c>
      <c r="D656">
        <v>5935</v>
      </c>
      <c r="E656" t="s">
        <v>658</v>
      </c>
    </row>
    <row r="657" spans="1:5">
      <c r="A657">
        <f>HYPERLINK("http://www.twitter.com/realDonaldTrump/status/790654003981918208", "790654003981918208")</f>
        <v>0</v>
      </c>
      <c r="B657" s="2">
        <v>42667.8608564815</v>
      </c>
      <c r="C657">
        <v>30100</v>
      </c>
      <c r="D657">
        <v>12014</v>
      </c>
      <c r="E657" t="s">
        <v>659</v>
      </c>
    </row>
    <row r="658" spans="1:5">
      <c r="A658">
        <f>HYPERLINK("http://www.twitter.com/realDonaldTrump/status/790629257546379264", "790629257546379264")</f>
        <v>0</v>
      </c>
      <c r="B658" s="2">
        <v>42667.7925694444</v>
      </c>
      <c r="C658">
        <v>13847</v>
      </c>
      <c r="D658">
        <v>5403</v>
      </c>
      <c r="E658" t="s">
        <v>660</v>
      </c>
    </row>
    <row r="659" spans="1:5">
      <c r="A659">
        <f>HYPERLINK("http://www.twitter.com/realDonaldTrump/status/790621559920615424", "790621559920615424")</f>
        <v>0</v>
      </c>
      <c r="B659" s="2">
        <v>42667.7713310185</v>
      </c>
      <c r="C659">
        <v>23367</v>
      </c>
      <c r="D659">
        <v>10064</v>
      </c>
      <c r="E659" t="s">
        <v>661</v>
      </c>
    </row>
    <row r="660" spans="1:5">
      <c r="A660">
        <f>HYPERLINK("http://www.twitter.com/realDonaldTrump/status/790593186787840000", "790593186787840000")</f>
        <v>0</v>
      </c>
      <c r="B660" s="2">
        <v>42667.6930324074</v>
      </c>
      <c r="C660">
        <v>18707</v>
      </c>
      <c r="D660">
        <v>11497</v>
      </c>
      <c r="E660" t="s">
        <v>662</v>
      </c>
    </row>
    <row r="661" spans="1:5">
      <c r="A661">
        <f>HYPERLINK("http://www.twitter.com/realDonaldTrump/status/790592685144846336", "790592685144846336")</f>
        <v>0</v>
      </c>
      <c r="B661" s="2">
        <v>42667.6916550926</v>
      </c>
      <c r="C661">
        <v>20119</v>
      </c>
      <c r="D661">
        <v>7677</v>
      </c>
      <c r="E661" t="s">
        <v>663</v>
      </c>
    </row>
    <row r="662" spans="1:5">
      <c r="A662">
        <f>HYPERLINK("http://www.twitter.com/realDonaldTrump/status/790584855150997504", "790584855150997504")</f>
        <v>0</v>
      </c>
      <c r="B662" s="2">
        <v>42667.6700462963</v>
      </c>
      <c r="C662">
        <v>16840</v>
      </c>
      <c r="D662">
        <v>10207</v>
      </c>
      <c r="E662" t="s">
        <v>664</v>
      </c>
    </row>
    <row r="663" spans="1:5">
      <c r="A663">
        <f>HYPERLINK("http://www.twitter.com/realDonaldTrump/status/790582555871326208", "790582555871326208")</f>
        <v>0</v>
      </c>
      <c r="B663" s="2">
        <v>42667.6637037037</v>
      </c>
      <c r="C663">
        <v>16209</v>
      </c>
      <c r="D663">
        <v>6711</v>
      </c>
      <c r="E663" t="s">
        <v>665</v>
      </c>
    </row>
    <row r="664" spans="1:5">
      <c r="A664">
        <f>HYPERLINK("http://www.twitter.com/realDonaldTrump/status/790565076159922177", "790565076159922177")</f>
        <v>0</v>
      </c>
      <c r="B664" s="2">
        <v>42667.615462963</v>
      </c>
      <c r="C664">
        <v>31900</v>
      </c>
      <c r="D664">
        <v>15053</v>
      </c>
      <c r="E664" t="s">
        <v>666</v>
      </c>
    </row>
    <row r="665" spans="1:5">
      <c r="A665">
        <f>HYPERLINK("http://www.twitter.com/realDonaldTrump/status/790557856806371328", "790557856806371328")</f>
        <v>0</v>
      </c>
      <c r="B665" s="2">
        <v>42667.5955439815</v>
      </c>
      <c r="C665">
        <v>49517</v>
      </c>
      <c r="D665">
        <v>22807</v>
      </c>
      <c r="E665" t="s">
        <v>667</v>
      </c>
    </row>
    <row r="666" spans="1:5">
      <c r="A666">
        <f>HYPERLINK("http://www.twitter.com/realDonaldTrump/status/790539740118446080", "790539740118446080")</f>
        <v>0</v>
      </c>
      <c r="B666" s="2">
        <v>42667.5455555556</v>
      </c>
      <c r="C666">
        <v>37445</v>
      </c>
      <c r="D666">
        <v>14827</v>
      </c>
      <c r="E666" t="s">
        <v>668</v>
      </c>
    </row>
    <row r="667" spans="1:5">
      <c r="A667">
        <f>HYPERLINK("http://www.twitter.com/realDonaldTrump/status/790534428942622721", "790534428942622721")</f>
        <v>0</v>
      </c>
      <c r="B667" s="2">
        <v>42667.5308912037</v>
      </c>
      <c r="C667">
        <v>45052</v>
      </c>
      <c r="D667">
        <v>19046</v>
      </c>
      <c r="E667" t="s">
        <v>669</v>
      </c>
    </row>
    <row r="668" spans="1:5">
      <c r="A668">
        <f>HYPERLINK("http://www.twitter.com/realDonaldTrump/status/790523240351498241", "790523240351498241")</f>
        <v>0</v>
      </c>
      <c r="B668" s="2">
        <v>42667.5000231481</v>
      </c>
      <c r="C668">
        <v>54504</v>
      </c>
      <c r="D668">
        <v>25926</v>
      </c>
      <c r="E668" t="s">
        <v>670</v>
      </c>
    </row>
    <row r="669" spans="1:5">
      <c r="A669">
        <f>HYPERLINK("http://www.twitter.com/realDonaldTrump/status/790378549395988480", "790378549395988480")</f>
        <v>0</v>
      </c>
      <c r="B669" s="2">
        <v>42667.1007523148</v>
      </c>
      <c r="C669">
        <v>20344</v>
      </c>
      <c r="D669">
        <v>13002</v>
      </c>
      <c r="E669" t="s">
        <v>671</v>
      </c>
    </row>
    <row r="670" spans="1:5">
      <c r="A670">
        <f>HYPERLINK("http://www.twitter.com/realDonaldTrump/status/790343997814403072", "790343997814403072")</f>
        <v>0</v>
      </c>
      <c r="B670" s="2">
        <v>42667.0054050926</v>
      </c>
      <c r="C670">
        <v>25104</v>
      </c>
      <c r="D670">
        <v>17031</v>
      </c>
      <c r="E670" t="s">
        <v>672</v>
      </c>
    </row>
    <row r="671" spans="1:5">
      <c r="A671">
        <f>HYPERLINK("http://www.twitter.com/realDonaldTrump/status/790343447987314692", "790343447987314692")</f>
        <v>0</v>
      </c>
      <c r="B671" s="2">
        <v>42667.0038888889</v>
      </c>
      <c r="C671">
        <v>26461</v>
      </c>
      <c r="D671">
        <v>11100</v>
      </c>
      <c r="E671" t="s">
        <v>673</v>
      </c>
    </row>
    <row r="672" spans="1:5">
      <c r="A672">
        <f>HYPERLINK("http://www.twitter.com/realDonaldTrump/status/790337063489040384", "790337063489040384")</f>
        <v>0</v>
      </c>
      <c r="B672" s="2">
        <v>42666.9862731481</v>
      </c>
      <c r="C672">
        <v>41318</v>
      </c>
      <c r="D672">
        <v>16297</v>
      </c>
      <c r="E672" t="s">
        <v>674</v>
      </c>
    </row>
    <row r="673" spans="1:5">
      <c r="A673">
        <f>HYPERLINK("http://www.twitter.com/realDonaldTrump/status/790268732354461696", "790268732354461696")</f>
        <v>0</v>
      </c>
      <c r="B673" s="2">
        <v>42666.7977083333</v>
      </c>
      <c r="C673">
        <v>27300</v>
      </c>
      <c r="D673">
        <v>16359</v>
      </c>
      <c r="E673" t="s">
        <v>675</v>
      </c>
    </row>
    <row r="674" spans="1:5">
      <c r="A674">
        <f>HYPERLINK("http://www.twitter.com/realDonaldTrump/status/790250615398133760", "790250615398133760")</f>
        <v>0</v>
      </c>
      <c r="B674" s="2">
        <v>42666.7477199074</v>
      </c>
      <c r="C674">
        <v>17220</v>
      </c>
      <c r="D674">
        <v>6359</v>
      </c>
      <c r="E674" t="s">
        <v>676</v>
      </c>
    </row>
    <row r="675" spans="1:5">
      <c r="A675">
        <f>HYPERLINK("http://www.twitter.com/realDonaldTrump/status/790229932341354496", "790229932341354496")</f>
        <v>0</v>
      </c>
      <c r="B675" s="2">
        <v>42666.6906481481</v>
      </c>
      <c r="C675">
        <v>24176</v>
      </c>
      <c r="D675">
        <v>11471</v>
      </c>
      <c r="E675" t="s">
        <v>677</v>
      </c>
    </row>
    <row r="676" spans="1:5">
      <c r="A676">
        <f>HYPERLINK("http://www.twitter.com/realDonaldTrump/status/790228805986217985", "790228805986217985")</f>
        <v>0</v>
      </c>
      <c r="B676" s="2">
        <v>42666.6875347222</v>
      </c>
      <c r="C676">
        <v>22637</v>
      </c>
      <c r="D676">
        <v>11944</v>
      </c>
      <c r="E676" t="s">
        <v>678</v>
      </c>
    </row>
    <row r="677" spans="1:5">
      <c r="A677">
        <f>HYPERLINK("http://www.twitter.com/realDonaldTrump/status/790227242500644864", "790227242500644864")</f>
        <v>0</v>
      </c>
      <c r="B677" s="2">
        <v>42666.6832175926</v>
      </c>
      <c r="C677">
        <v>20011</v>
      </c>
      <c r="D677">
        <v>9213</v>
      </c>
      <c r="E677" t="s">
        <v>679</v>
      </c>
    </row>
    <row r="678" spans="1:5">
      <c r="A678">
        <f>HYPERLINK("http://www.twitter.com/realDonaldTrump/status/790192053489729538", "790192053489729538")</f>
        <v>0</v>
      </c>
      <c r="B678" s="2">
        <v>42666.5861226852</v>
      </c>
      <c r="C678">
        <v>59362</v>
      </c>
      <c r="D678">
        <v>25797</v>
      </c>
      <c r="E678" t="s">
        <v>680</v>
      </c>
    </row>
    <row r="679" spans="1:5">
      <c r="A679">
        <f>HYPERLINK("http://www.twitter.com/realDonaldTrump/status/790174395985788929", "790174395985788929")</f>
        <v>0</v>
      </c>
      <c r="B679" s="2">
        <v>42666.5373958333</v>
      </c>
      <c r="C679">
        <v>59100</v>
      </c>
      <c r="D679">
        <v>25842</v>
      </c>
      <c r="E679" t="s">
        <v>681</v>
      </c>
    </row>
    <row r="680" spans="1:5">
      <c r="A680">
        <f>HYPERLINK("http://www.twitter.com/realDonaldTrump/status/790025084870287360", "790025084870287360")</f>
        <v>0</v>
      </c>
      <c r="B680" s="2">
        <v>42666.1253703704</v>
      </c>
      <c r="C680">
        <v>36096</v>
      </c>
      <c r="D680">
        <v>14534</v>
      </c>
      <c r="E680" t="s">
        <v>682</v>
      </c>
    </row>
    <row r="681" spans="1:5">
      <c r="A681">
        <f>HYPERLINK("http://www.twitter.com/realDonaldTrump/status/790016528011890688", "790016528011890688")</f>
        <v>0</v>
      </c>
      <c r="B681" s="2">
        <v>42666.1017592593</v>
      </c>
      <c r="C681">
        <v>21438</v>
      </c>
      <c r="D681">
        <v>12243</v>
      </c>
      <c r="E681" t="s">
        <v>683</v>
      </c>
    </row>
    <row r="682" spans="1:5">
      <c r="A682">
        <f>HYPERLINK("http://www.twitter.com/realDonaldTrump/status/790015269074792448", "790015269074792448")</f>
        <v>0</v>
      </c>
      <c r="B682" s="2">
        <v>42666.098287037</v>
      </c>
      <c r="C682">
        <v>25379</v>
      </c>
      <c r="D682">
        <v>12017</v>
      </c>
      <c r="E682" t="s">
        <v>684</v>
      </c>
    </row>
    <row r="683" spans="1:5">
      <c r="A683">
        <f>HYPERLINK("http://www.twitter.com/realDonaldTrump/status/790011110984445952", "790011110984445952")</f>
        <v>0</v>
      </c>
      <c r="B683" s="2">
        <v>42666.0868171296</v>
      </c>
      <c r="C683">
        <v>20035</v>
      </c>
      <c r="D683">
        <v>11775</v>
      </c>
      <c r="E683" t="s">
        <v>685</v>
      </c>
    </row>
    <row r="684" spans="1:5">
      <c r="A684">
        <f>HYPERLINK("http://www.twitter.com/realDonaldTrump/status/789966670630715394", "789966670630715394")</f>
        <v>0</v>
      </c>
      <c r="B684" s="2">
        <v>42665.9641782407</v>
      </c>
      <c r="C684">
        <v>17104</v>
      </c>
      <c r="D684">
        <v>6399</v>
      </c>
      <c r="E684" t="s">
        <v>686</v>
      </c>
    </row>
    <row r="685" spans="1:5">
      <c r="A685">
        <f>HYPERLINK("http://www.twitter.com/realDonaldTrump/status/789943092564652032", "789943092564652032")</f>
        <v>0</v>
      </c>
      <c r="B685" s="2">
        <v>42665.8991203704</v>
      </c>
      <c r="C685">
        <v>19872</v>
      </c>
      <c r="D685">
        <v>10309</v>
      </c>
      <c r="E685" t="s">
        <v>687</v>
      </c>
    </row>
    <row r="686" spans="1:5">
      <c r="A686">
        <f>HYPERLINK("http://www.twitter.com/realDonaldTrump/status/789936850051932161", "789936850051932161")</f>
        <v>0</v>
      </c>
      <c r="B686" s="2">
        <v>42665.8818981481</v>
      </c>
      <c r="C686">
        <v>25499</v>
      </c>
      <c r="D686">
        <v>9610</v>
      </c>
      <c r="E686" t="s">
        <v>688</v>
      </c>
    </row>
    <row r="687" spans="1:5">
      <c r="A687">
        <f>HYPERLINK("http://www.twitter.com/realDonaldTrump/status/789917911821520898", "789917911821520898")</f>
        <v>0</v>
      </c>
      <c r="B687" s="2">
        <v>42665.8296296296</v>
      </c>
      <c r="C687">
        <v>26490</v>
      </c>
      <c r="D687">
        <v>12350</v>
      </c>
      <c r="E687" t="s">
        <v>689</v>
      </c>
    </row>
    <row r="688" spans="1:5">
      <c r="A688">
        <f>HYPERLINK("http://www.twitter.com/realDonaldTrump/status/789899250834534400", "789899250834534400")</f>
        <v>0</v>
      </c>
      <c r="B688" s="2">
        <v>42665.7781365741</v>
      </c>
      <c r="C688">
        <v>32469</v>
      </c>
      <c r="D688">
        <v>14966</v>
      </c>
      <c r="E688" t="s">
        <v>690</v>
      </c>
    </row>
    <row r="689" spans="1:5">
      <c r="A689">
        <f>HYPERLINK("http://www.twitter.com/realDonaldTrump/status/789893765397897216", "789893765397897216")</f>
        <v>0</v>
      </c>
      <c r="B689" s="2">
        <v>42665.7629976852</v>
      </c>
      <c r="C689">
        <v>32349</v>
      </c>
      <c r="D689">
        <v>14099</v>
      </c>
      <c r="E689" t="s">
        <v>691</v>
      </c>
    </row>
    <row r="690" spans="1:5">
      <c r="A690">
        <f>HYPERLINK("http://www.twitter.com/realDonaldTrump/status/789887588178006017", "789887588178006017")</f>
        <v>0</v>
      </c>
      <c r="B690" s="2">
        <v>42665.7459606481</v>
      </c>
      <c r="C690">
        <v>17071</v>
      </c>
      <c r="D690">
        <v>9812</v>
      </c>
      <c r="E690" t="s">
        <v>692</v>
      </c>
    </row>
    <row r="691" spans="1:5">
      <c r="A691">
        <f>HYPERLINK("http://www.twitter.com/realDonaldTrump/status/789886518303330304", "789886518303330304")</f>
        <v>0</v>
      </c>
      <c r="B691" s="2">
        <v>42665.7430092593</v>
      </c>
      <c r="C691">
        <v>23168</v>
      </c>
      <c r="D691">
        <v>9852</v>
      </c>
      <c r="E691" t="s">
        <v>693</v>
      </c>
    </row>
    <row r="692" spans="1:5">
      <c r="A692">
        <f>HYPERLINK("http://www.twitter.com/realDonaldTrump/status/789833922590957568", "789833922590957568")</f>
        <v>0</v>
      </c>
      <c r="B692" s="2">
        <v>42665.5978703704</v>
      </c>
      <c r="C692">
        <v>35494</v>
      </c>
      <c r="D692">
        <v>15061</v>
      </c>
      <c r="E692" t="s">
        <v>694</v>
      </c>
    </row>
    <row r="693" spans="1:5">
      <c r="A693">
        <f>HYPERLINK("http://www.twitter.com/realDonaldTrump/status/789828981197602816", "789828981197602816")</f>
        <v>0</v>
      </c>
      <c r="B693" s="2">
        <v>42665.5842361111</v>
      </c>
      <c r="C693">
        <v>15084</v>
      </c>
      <c r="D693">
        <v>5922</v>
      </c>
      <c r="E693" t="s">
        <v>695</v>
      </c>
    </row>
    <row r="694" spans="1:5">
      <c r="A694">
        <f>HYPERLINK("http://www.twitter.com/realDonaldTrump/status/789792909969195009", "789792909969195009")</f>
        <v>0</v>
      </c>
      <c r="B694" s="2">
        <v>42665.4846990741</v>
      </c>
      <c r="C694">
        <v>15685</v>
      </c>
      <c r="D694">
        <v>6116</v>
      </c>
      <c r="E694" t="s">
        <v>696</v>
      </c>
    </row>
    <row r="695" spans="1:5">
      <c r="A695">
        <f>HYPERLINK("http://www.twitter.com/realDonaldTrump/status/789792240390533124", "789792240390533124")</f>
        <v>0</v>
      </c>
      <c r="B695" s="2">
        <v>42665.4828472222</v>
      </c>
      <c r="C695">
        <v>25535</v>
      </c>
      <c r="D695">
        <v>14139</v>
      </c>
      <c r="E695" t="s">
        <v>697</v>
      </c>
    </row>
    <row r="696" spans="1:5">
      <c r="A696">
        <f>HYPERLINK("http://www.twitter.com/realDonaldTrump/status/789671091182632960", "789671091182632960")</f>
        <v>0</v>
      </c>
      <c r="B696" s="2">
        <v>42665.1485416667</v>
      </c>
      <c r="C696">
        <v>63458</v>
      </c>
      <c r="D696">
        <v>23843</v>
      </c>
      <c r="E696" t="s">
        <v>698</v>
      </c>
    </row>
    <row r="697" spans="1:5">
      <c r="A697">
        <f>HYPERLINK("http://www.twitter.com/realDonaldTrump/status/789668492480016384", "789668492480016384")</f>
        <v>0</v>
      </c>
      <c r="B697" s="2">
        <v>42665.1413657407</v>
      </c>
      <c r="C697">
        <v>36752</v>
      </c>
      <c r="D697">
        <v>11134</v>
      </c>
      <c r="E697" t="s">
        <v>699</v>
      </c>
    </row>
    <row r="698" spans="1:5">
      <c r="A698">
        <f>HYPERLINK("http://www.twitter.com/realDonaldTrump/status/789657808052621313", "789657808052621313")</f>
        <v>0</v>
      </c>
      <c r="B698" s="2">
        <v>42665.1118865741</v>
      </c>
      <c r="C698">
        <v>21630</v>
      </c>
      <c r="D698">
        <v>8410</v>
      </c>
      <c r="E698" t="s">
        <v>700</v>
      </c>
    </row>
    <row r="699" spans="1:5">
      <c r="A699">
        <f>HYPERLINK("http://www.twitter.com/realDonaldTrump/status/789631866714386432", "789631866714386432")</f>
        <v>0</v>
      </c>
      <c r="B699" s="2">
        <v>42665.0403009259</v>
      </c>
      <c r="C699">
        <v>22551</v>
      </c>
      <c r="D699">
        <v>9535</v>
      </c>
      <c r="E699" t="s">
        <v>701</v>
      </c>
    </row>
    <row r="700" spans="1:5">
      <c r="A700">
        <f>HYPERLINK("http://www.twitter.com/realDonaldTrump/status/789599646821806085", "789599646821806085")</f>
        <v>0</v>
      </c>
      <c r="B700" s="2">
        <v>42664.9513888889</v>
      </c>
      <c r="C700">
        <v>21107</v>
      </c>
      <c r="D700">
        <v>12100</v>
      </c>
      <c r="E700" t="s">
        <v>702</v>
      </c>
    </row>
    <row r="701" spans="1:5">
      <c r="A701">
        <f>HYPERLINK("http://www.twitter.com/realDonaldTrump/status/789598795315150853", "789598795315150853")</f>
        <v>0</v>
      </c>
      <c r="B701" s="2">
        <v>42664.9490393518</v>
      </c>
      <c r="C701">
        <v>17337</v>
      </c>
      <c r="D701">
        <v>9464</v>
      </c>
      <c r="E701" t="s">
        <v>703</v>
      </c>
    </row>
    <row r="702" spans="1:5">
      <c r="A702">
        <f>HYPERLINK("http://www.twitter.com/realDonaldTrump/status/789596138462650372", "789596138462650372")</f>
        <v>0</v>
      </c>
      <c r="B702" s="2">
        <v>42664.941712963</v>
      </c>
      <c r="C702">
        <v>20931</v>
      </c>
      <c r="D702">
        <v>11494</v>
      </c>
      <c r="E702" t="s">
        <v>704</v>
      </c>
    </row>
    <row r="703" spans="1:5">
      <c r="A703">
        <f>HYPERLINK("http://www.twitter.com/realDonaldTrump/status/789594671387447297", "789594671387447297")</f>
        <v>0</v>
      </c>
      <c r="B703" s="2">
        <v>42664.937662037</v>
      </c>
      <c r="C703">
        <v>19790</v>
      </c>
      <c r="D703">
        <v>11516</v>
      </c>
      <c r="E703" t="s">
        <v>705</v>
      </c>
    </row>
    <row r="704" spans="1:5">
      <c r="A704">
        <f>HYPERLINK("http://www.twitter.com/realDonaldTrump/status/789590785733918721", "789590785733918721")</f>
        <v>0</v>
      </c>
      <c r="B704" s="2">
        <v>42664.9269328704</v>
      </c>
      <c r="C704">
        <v>16955</v>
      </c>
      <c r="D704">
        <v>9763</v>
      </c>
      <c r="E704" t="s">
        <v>706</v>
      </c>
    </row>
    <row r="705" spans="1:5">
      <c r="A705">
        <f>HYPERLINK("http://www.twitter.com/realDonaldTrump/status/789589818581848064", "789589818581848064")</f>
        <v>0</v>
      </c>
      <c r="B705" s="2">
        <v>42664.9242708333</v>
      </c>
      <c r="C705">
        <v>20874</v>
      </c>
      <c r="D705">
        <v>11495</v>
      </c>
      <c r="E705" t="s">
        <v>707</v>
      </c>
    </row>
    <row r="706" spans="1:5">
      <c r="A706">
        <f>HYPERLINK("http://www.twitter.com/realDonaldTrump/status/789573953144680448", "789573953144680448")</f>
        <v>0</v>
      </c>
      <c r="B706" s="2">
        <v>42664.8804861111</v>
      </c>
      <c r="C706">
        <v>24409</v>
      </c>
      <c r="D706">
        <v>10513</v>
      </c>
      <c r="E706" t="s">
        <v>708</v>
      </c>
    </row>
    <row r="707" spans="1:5">
      <c r="A707">
        <f>HYPERLINK("http://www.twitter.com/realDonaldTrump/status/789541345216036864", "789541345216036864")</f>
        <v>0</v>
      </c>
      <c r="B707" s="2">
        <v>42664.7905092593</v>
      </c>
      <c r="C707">
        <v>20708</v>
      </c>
      <c r="D707">
        <v>12019</v>
      </c>
      <c r="E707" t="s">
        <v>709</v>
      </c>
    </row>
    <row r="708" spans="1:5">
      <c r="A708">
        <f>HYPERLINK("http://www.twitter.com/realDonaldTrump/status/789540253791059974", "789540253791059974")</f>
        <v>0</v>
      </c>
      <c r="B708" s="2">
        <v>42664.7875</v>
      </c>
      <c r="C708">
        <v>19571</v>
      </c>
      <c r="D708">
        <v>12073</v>
      </c>
      <c r="E708" t="s">
        <v>710</v>
      </c>
    </row>
    <row r="709" spans="1:5">
      <c r="A709">
        <f>HYPERLINK("http://www.twitter.com/realDonaldTrump/status/789522551462428672", "789522551462428672")</f>
        <v>0</v>
      </c>
      <c r="B709" s="2">
        <v>42664.7386458333</v>
      </c>
      <c r="C709">
        <v>26130</v>
      </c>
      <c r="D709">
        <v>10081</v>
      </c>
      <c r="E709" t="s">
        <v>711</v>
      </c>
    </row>
    <row r="710" spans="1:5">
      <c r="A710">
        <f>HYPERLINK("http://www.twitter.com/realDonaldTrump/status/789520268972601344", "789520268972601344")</f>
        <v>0</v>
      </c>
      <c r="B710" s="2">
        <v>42664.732349537</v>
      </c>
      <c r="C710">
        <v>56720</v>
      </c>
      <c r="D710">
        <v>16865</v>
      </c>
      <c r="E710" t="s">
        <v>712</v>
      </c>
    </row>
    <row r="711" spans="1:5">
      <c r="A711">
        <f>HYPERLINK("http://www.twitter.com/realDonaldTrump/status/789487320290430976", "789487320290430976")</f>
        <v>0</v>
      </c>
      <c r="B711" s="2">
        <v>42664.6414236111</v>
      </c>
      <c r="C711">
        <v>25192</v>
      </c>
      <c r="D711">
        <v>14972</v>
      </c>
      <c r="E711" t="s">
        <v>713</v>
      </c>
    </row>
    <row r="712" spans="1:5">
      <c r="A712">
        <f>HYPERLINK("http://www.twitter.com/realDonaldTrump/status/789226753831075841", "789226753831075841")</f>
        <v>0</v>
      </c>
      <c r="B712" s="2">
        <v>42663.9223958333</v>
      </c>
      <c r="C712">
        <v>24942</v>
      </c>
      <c r="D712">
        <v>13469</v>
      </c>
      <c r="E712" t="s">
        <v>714</v>
      </c>
    </row>
    <row r="713" spans="1:5">
      <c r="A713">
        <f>HYPERLINK("http://www.twitter.com/realDonaldTrump/status/789224624320028672", "789224624320028672")</f>
        <v>0</v>
      </c>
      <c r="B713" s="2">
        <v>42663.9165277778</v>
      </c>
      <c r="C713">
        <v>24280</v>
      </c>
      <c r="D713">
        <v>11392</v>
      </c>
      <c r="E713" t="s">
        <v>715</v>
      </c>
    </row>
    <row r="714" spans="1:5">
      <c r="A714">
        <f>HYPERLINK("http://www.twitter.com/realDonaldTrump/status/789223614402924545", "789223614402924545")</f>
        <v>0</v>
      </c>
      <c r="B714" s="2">
        <v>42663.9137384259</v>
      </c>
      <c r="C714">
        <v>0</v>
      </c>
      <c r="D714">
        <v>25030</v>
      </c>
      <c r="E714" t="s">
        <v>716</v>
      </c>
    </row>
    <row r="715" spans="1:5">
      <c r="A715">
        <f>HYPERLINK("http://www.twitter.com/realDonaldTrump/status/789223460853735425", "789223460853735425")</f>
        <v>0</v>
      </c>
      <c r="B715" s="2">
        <v>42663.9133101852</v>
      </c>
      <c r="C715">
        <v>0</v>
      </c>
      <c r="D715">
        <v>8848</v>
      </c>
      <c r="E715" t="s">
        <v>717</v>
      </c>
    </row>
    <row r="716" spans="1:5">
      <c r="A716">
        <f>HYPERLINK("http://www.twitter.com/realDonaldTrump/status/789202030493634560", "789202030493634560")</f>
        <v>0</v>
      </c>
      <c r="B716" s="2">
        <v>42663.8541782407</v>
      </c>
      <c r="C716">
        <v>24822</v>
      </c>
      <c r="D716">
        <v>12259</v>
      </c>
      <c r="E716" t="s">
        <v>718</v>
      </c>
    </row>
    <row r="717" spans="1:5">
      <c r="A717">
        <f>HYPERLINK("http://www.twitter.com/realDonaldTrump/status/789201022442962944", "789201022442962944")</f>
        <v>0</v>
      </c>
      <c r="B717" s="2">
        <v>42663.851400463</v>
      </c>
      <c r="C717">
        <v>23839</v>
      </c>
      <c r="D717">
        <v>12548</v>
      </c>
      <c r="E717" t="s">
        <v>719</v>
      </c>
    </row>
    <row r="718" spans="1:5">
      <c r="A718">
        <f>HYPERLINK("http://www.twitter.com/realDonaldTrump/status/789196063819390976", "789196063819390976")</f>
        <v>0</v>
      </c>
      <c r="B718" s="2">
        <v>42663.8377083333</v>
      </c>
      <c r="C718">
        <v>26443</v>
      </c>
      <c r="D718">
        <v>10759</v>
      </c>
      <c r="E718" t="s">
        <v>720</v>
      </c>
    </row>
    <row r="719" spans="1:5">
      <c r="A719">
        <f>HYPERLINK("http://www.twitter.com/realDonaldTrump/status/789192459179790337", "789192459179790337")</f>
        <v>0</v>
      </c>
      <c r="B719" s="2">
        <v>42663.8277662037</v>
      </c>
      <c r="C719">
        <v>13065</v>
      </c>
      <c r="D719">
        <v>5747</v>
      </c>
      <c r="E719" t="s">
        <v>721</v>
      </c>
    </row>
    <row r="720" spans="1:5">
      <c r="A720">
        <f>HYPERLINK("http://www.twitter.com/realDonaldTrump/status/789192376002551810", "789192376002551810")</f>
        <v>0</v>
      </c>
      <c r="B720" s="2">
        <v>42663.8275347222</v>
      </c>
      <c r="C720">
        <v>13354</v>
      </c>
      <c r="D720">
        <v>5148</v>
      </c>
      <c r="E720" t="s">
        <v>722</v>
      </c>
    </row>
    <row r="721" spans="1:5">
      <c r="A721">
        <f>HYPERLINK("http://www.twitter.com/realDonaldTrump/status/789170710270742528", "789170710270742528")</f>
        <v>0</v>
      </c>
      <c r="B721" s="2">
        <v>42663.7677546296</v>
      </c>
      <c r="C721">
        <v>29517</v>
      </c>
      <c r="D721">
        <v>15295</v>
      </c>
      <c r="E721" t="s">
        <v>723</v>
      </c>
    </row>
    <row r="722" spans="1:5">
      <c r="A722">
        <f>HYPERLINK("http://www.twitter.com/realDonaldTrump/status/789157526378012672", "789157526378012672")</f>
        <v>0</v>
      </c>
      <c r="B722" s="2">
        <v>42663.7313657407</v>
      </c>
      <c r="C722">
        <v>27153</v>
      </c>
      <c r="D722">
        <v>11147</v>
      </c>
      <c r="E722" t="s">
        <v>724</v>
      </c>
    </row>
    <row r="723" spans="1:5">
      <c r="A723">
        <f>HYPERLINK("http://www.twitter.com/realDonaldTrump/status/789132223479947264", "789132223479947264")</f>
        <v>0</v>
      </c>
      <c r="B723" s="2">
        <v>42663.6615509259</v>
      </c>
      <c r="C723">
        <v>38390</v>
      </c>
      <c r="D723">
        <v>16363</v>
      </c>
      <c r="E723" t="s">
        <v>725</v>
      </c>
    </row>
    <row r="724" spans="1:5">
      <c r="A724">
        <f>HYPERLINK("http://www.twitter.com/realDonaldTrump/status/789117930801926148", "789117930801926148")</f>
        <v>0</v>
      </c>
      <c r="B724" s="2">
        <v>42663.6221064815</v>
      </c>
      <c r="C724">
        <v>50376</v>
      </c>
      <c r="D724">
        <v>19565</v>
      </c>
      <c r="E724" t="s">
        <v>726</v>
      </c>
    </row>
    <row r="725" spans="1:5">
      <c r="A725">
        <f>HYPERLINK("http://www.twitter.com/realDonaldTrump/status/789095747635572736", "789095747635572736")</f>
        <v>0</v>
      </c>
      <c r="B725" s="2">
        <v>42663.5608912037</v>
      </c>
      <c r="C725">
        <v>44190</v>
      </c>
      <c r="D725">
        <v>20222</v>
      </c>
      <c r="E725" t="s">
        <v>727</v>
      </c>
    </row>
    <row r="726" spans="1:5">
      <c r="A726">
        <f>HYPERLINK("http://www.twitter.com/realDonaldTrump/status/789001728632946688", "789001728632946688")</f>
        <v>0</v>
      </c>
      <c r="B726" s="2">
        <v>42663.3014467593</v>
      </c>
      <c r="C726">
        <v>45018</v>
      </c>
      <c r="D726">
        <v>19263</v>
      </c>
      <c r="E726" t="s">
        <v>728</v>
      </c>
    </row>
    <row r="727" spans="1:5">
      <c r="A727">
        <f>HYPERLINK("http://www.twitter.com/realDonaldTrump/status/788959791179767808", "788959791179767808")</f>
        <v>0</v>
      </c>
      <c r="B727" s="2">
        <v>42663.1857291667</v>
      </c>
      <c r="C727">
        <v>35114</v>
      </c>
      <c r="D727">
        <v>17671</v>
      </c>
      <c r="E727" t="s">
        <v>729</v>
      </c>
    </row>
    <row r="728" spans="1:5">
      <c r="A728">
        <f>HYPERLINK("http://www.twitter.com/realDonaldTrump/status/788957439542587392", "788957439542587392")</f>
        <v>0</v>
      </c>
      <c r="B728" s="2">
        <v>42663.1792361111</v>
      </c>
      <c r="C728">
        <v>44732</v>
      </c>
      <c r="D728">
        <v>21205</v>
      </c>
      <c r="E728" t="s">
        <v>730</v>
      </c>
    </row>
    <row r="729" spans="1:5">
      <c r="A729">
        <f>HYPERLINK("http://www.twitter.com/realDonaldTrump/status/788955427975393281", "788955427975393281")</f>
        <v>0</v>
      </c>
      <c r="B729" s="2">
        <v>42663.1736805556</v>
      </c>
      <c r="C729">
        <v>19953</v>
      </c>
      <c r="D729">
        <v>9097</v>
      </c>
      <c r="E729" t="s">
        <v>731</v>
      </c>
    </row>
    <row r="730" spans="1:5">
      <c r="A730">
        <f>HYPERLINK("http://www.twitter.com/realDonaldTrump/status/788954581346779136", "788954581346779136")</f>
        <v>0</v>
      </c>
      <c r="B730" s="2">
        <v>42663.1713425926</v>
      </c>
      <c r="C730">
        <v>36370</v>
      </c>
      <c r="D730">
        <v>15181</v>
      </c>
      <c r="E730" t="s">
        <v>732</v>
      </c>
    </row>
    <row r="731" spans="1:5">
      <c r="A731">
        <f>HYPERLINK("http://www.twitter.com/realDonaldTrump/status/788937644642213888", "788937644642213888")</f>
        <v>0</v>
      </c>
      <c r="B731" s="2">
        <v>42663.1246064815</v>
      </c>
      <c r="C731">
        <v>71862</v>
      </c>
      <c r="D731">
        <v>22370</v>
      </c>
      <c r="E731" t="s">
        <v>733</v>
      </c>
    </row>
    <row r="732" spans="1:5">
      <c r="A732">
        <f>HYPERLINK("http://www.twitter.com/realDonaldTrump/status/788935685088477185", "788935685088477185")</f>
        <v>0</v>
      </c>
      <c r="B732" s="2">
        <v>42663.1192013889</v>
      </c>
      <c r="C732">
        <v>12771</v>
      </c>
      <c r="D732">
        <v>4608</v>
      </c>
      <c r="E732" t="s">
        <v>734</v>
      </c>
    </row>
    <row r="733" spans="1:5">
      <c r="A733">
        <f>HYPERLINK("http://www.twitter.com/realDonaldTrump/status/788934601506889728", "788934601506889728")</f>
        <v>0</v>
      </c>
      <c r="B733" s="2">
        <v>42663.1162152778</v>
      </c>
      <c r="C733">
        <v>24304</v>
      </c>
      <c r="D733">
        <v>10065</v>
      </c>
      <c r="E733" t="s">
        <v>735</v>
      </c>
    </row>
    <row r="734" spans="1:5">
      <c r="A734">
        <f>HYPERLINK("http://www.twitter.com/realDonaldTrump/status/788932848317116416", "788932848317116416")</f>
        <v>0</v>
      </c>
      <c r="B734" s="2">
        <v>42663.1113773148</v>
      </c>
      <c r="C734">
        <v>46150</v>
      </c>
      <c r="D734">
        <v>18733</v>
      </c>
      <c r="E734" t="s">
        <v>736</v>
      </c>
    </row>
    <row r="735" spans="1:5">
      <c r="A735">
        <f>HYPERLINK("http://www.twitter.com/realDonaldTrump/status/788932604460347392", "788932604460347392")</f>
        <v>0</v>
      </c>
      <c r="B735" s="2">
        <v>42663.1107060185</v>
      </c>
      <c r="C735">
        <v>36600</v>
      </c>
      <c r="D735">
        <v>14425</v>
      </c>
      <c r="E735" t="s">
        <v>737</v>
      </c>
    </row>
    <row r="736" spans="1:5">
      <c r="A736">
        <f>HYPERLINK("http://www.twitter.com/realDonaldTrump/status/788931248672563200", "788931248672563200")</f>
        <v>0</v>
      </c>
      <c r="B736" s="2">
        <v>42663.1069560185</v>
      </c>
      <c r="C736">
        <v>15946</v>
      </c>
      <c r="D736">
        <v>7276</v>
      </c>
      <c r="E736" t="s">
        <v>738</v>
      </c>
    </row>
    <row r="737" spans="1:5">
      <c r="A737">
        <f>HYPERLINK("http://www.twitter.com/realDonaldTrump/status/788931163276521472", "788931163276521472")</f>
        <v>0</v>
      </c>
      <c r="B737" s="2">
        <v>42663.106724537</v>
      </c>
      <c r="C737">
        <v>0</v>
      </c>
      <c r="D737">
        <v>5116</v>
      </c>
      <c r="E737" t="s">
        <v>739</v>
      </c>
    </row>
    <row r="738" spans="1:5">
      <c r="A738">
        <f>HYPERLINK("http://www.twitter.com/realDonaldTrump/status/788930977301090304", "788930977301090304")</f>
        <v>0</v>
      </c>
      <c r="B738" s="2">
        <v>42663.1062152778</v>
      </c>
      <c r="C738">
        <v>25135</v>
      </c>
      <c r="D738">
        <v>15271</v>
      </c>
      <c r="E738" t="s">
        <v>740</v>
      </c>
    </row>
    <row r="739" spans="1:5">
      <c r="A739">
        <f>HYPERLINK("http://www.twitter.com/realDonaldTrump/status/788930678255517696", "788930678255517696")</f>
        <v>0</v>
      </c>
      <c r="B739" s="2">
        <v>42663.1053819444</v>
      </c>
      <c r="C739">
        <v>33855</v>
      </c>
      <c r="D739">
        <v>16196</v>
      </c>
      <c r="E739" t="s">
        <v>741</v>
      </c>
    </row>
    <row r="740" spans="1:5">
      <c r="A740">
        <f>HYPERLINK("http://www.twitter.com/realDonaldTrump/status/788930515520724992", "788930515520724992")</f>
        <v>0</v>
      </c>
      <c r="B740" s="2">
        <v>42663.1049421296</v>
      </c>
      <c r="C740">
        <v>16228</v>
      </c>
      <c r="D740">
        <v>7810</v>
      </c>
      <c r="E740" t="s">
        <v>742</v>
      </c>
    </row>
    <row r="741" spans="1:5">
      <c r="A741">
        <f>HYPERLINK("http://www.twitter.com/realDonaldTrump/status/788930105976299521", "788930105976299521")</f>
        <v>0</v>
      </c>
      <c r="B741" s="2">
        <v>42663.1038078704</v>
      </c>
      <c r="C741">
        <v>15505</v>
      </c>
      <c r="D741">
        <v>6807</v>
      </c>
      <c r="E741" t="s">
        <v>743</v>
      </c>
    </row>
    <row r="742" spans="1:5">
      <c r="A742">
        <f>HYPERLINK("http://www.twitter.com/realDonaldTrump/status/788929804351385600", "788929804351385600")</f>
        <v>0</v>
      </c>
      <c r="B742" s="2">
        <v>42663.102974537</v>
      </c>
      <c r="C742">
        <v>21190</v>
      </c>
      <c r="D742">
        <v>8357</v>
      </c>
      <c r="E742" t="s">
        <v>744</v>
      </c>
    </row>
    <row r="743" spans="1:5">
      <c r="A743">
        <f>HYPERLINK("http://www.twitter.com/realDonaldTrump/status/788929609458823168", "788929609458823168")</f>
        <v>0</v>
      </c>
      <c r="B743" s="2">
        <v>42663.1024421296</v>
      </c>
      <c r="C743">
        <v>14232</v>
      </c>
      <c r="D743">
        <v>6508</v>
      </c>
      <c r="E743" t="s">
        <v>745</v>
      </c>
    </row>
    <row r="744" spans="1:5">
      <c r="A744">
        <f>HYPERLINK("http://www.twitter.com/realDonaldTrump/status/788929542626824192", "788929542626824192")</f>
        <v>0</v>
      </c>
      <c r="B744" s="2">
        <v>42663.1022569444</v>
      </c>
      <c r="C744">
        <v>0</v>
      </c>
      <c r="D744">
        <v>3227</v>
      </c>
      <c r="E744" t="s">
        <v>746</v>
      </c>
    </row>
    <row r="745" spans="1:5">
      <c r="A745">
        <f>HYPERLINK("http://www.twitter.com/realDonaldTrump/status/788929328696348674", "788929328696348674")</f>
        <v>0</v>
      </c>
      <c r="B745" s="2">
        <v>42663.1016666667</v>
      </c>
      <c r="C745">
        <v>15253</v>
      </c>
      <c r="D745">
        <v>7129</v>
      </c>
      <c r="E745" t="s">
        <v>747</v>
      </c>
    </row>
    <row r="746" spans="1:5">
      <c r="A746">
        <f>HYPERLINK("http://www.twitter.com/realDonaldTrump/status/788928851019653120", "788928851019653120")</f>
        <v>0</v>
      </c>
      <c r="B746" s="2">
        <v>42663.1003472222</v>
      </c>
      <c r="C746">
        <v>0</v>
      </c>
      <c r="D746">
        <v>2940</v>
      </c>
      <c r="E746" t="s">
        <v>748</v>
      </c>
    </row>
    <row r="747" spans="1:5">
      <c r="A747">
        <f>HYPERLINK("http://www.twitter.com/realDonaldTrump/status/788928106950070272", "788928106950070272")</f>
        <v>0</v>
      </c>
      <c r="B747" s="2">
        <v>42663.098287037</v>
      </c>
      <c r="C747">
        <v>14207</v>
      </c>
      <c r="D747">
        <v>6547</v>
      </c>
      <c r="E747" t="s">
        <v>749</v>
      </c>
    </row>
    <row r="748" spans="1:5">
      <c r="A748">
        <f>HYPERLINK("http://www.twitter.com/realDonaldTrump/status/788928050008207360", "788928050008207360")</f>
        <v>0</v>
      </c>
      <c r="B748" s="2">
        <v>42663.0981365741</v>
      </c>
      <c r="C748">
        <v>9365</v>
      </c>
      <c r="D748">
        <v>4230</v>
      </c>
      <c r="E748" t="s">
        <v>750</v>
      </c>
    </row>
    <row r="749" spans="1:5">
      <c r="A749">
        <f>HYPERLINK("http://www.twitter.com/realDonaldTrump/status/788927558288969729", "788927558288969729")</f>
        <v>0</v>
      </c>
      <c r="B749" s="2">
        <v>42663.0967824074</v>
      </c>
      <c r="C749">
        <v>14977</v>
      </c>
      <c r="D749">
        <v>6291</v>
      </c>
      <c r="E749" t="s">
        <v>751</v>
      </c>
    </row>
    <row r="750" spans="1:5">
      <c r="A750">
        <f>HYPERLINK("http://www.twitter.com/realDonaldTrump/status/788926818162139136", "788926818162139136")</f>
        <v>0</v>
      </c>
      <c r="B750" s="2">
        <v>42663.0947337963</v>
      </c>
      <c r="C750">
        <v>21043</v>
      </c>
      <c r="D750">
        <v>11556</v>
      </c>
      <c r="E750" t="s">
        <v>752</v>
      </c>
    </row>
    <row r="751" spans="1:5">
      <c r="A751">
        <f>HYPERLINK("http://www.twitter.com/realDonaldTrump/status/788926328976187392", "788926328976187392")</f>
        <v>0</v>
      </c>
      <c r="B751" s="2">
        <v>42663.0933912037</v>
      </c>
      <c r="C751">
        <v>16363</v>
      </c>
      <c r="D751">
        <v>7565</v>
      </c>
      <c r="E751" t="s">
        <v>753</v>
      </c>
    </row>
    <row r="752" spans="1:5">
      <c r="A752">
        <f>HYPERLINK("http://www.twitter.com/realDonaldTrump/status/788925658822868992", "788925658822868992")</f>
        <v>0</v>
      </c>
      <c r="B752" s="2">
        <v>42663.0915393519</v>
      </c>
      <c r="C752">
        <v>0</v>
      </c>
      <c r="D752">
        <v>9557</v>
      </c>
      <c r="E752" t="s">
        <v>754</v>
      </c>
    </row>
    <row r="753" spans="1:5">
      <c r="A753">
        <f>HYPERLINK("http://www.twitter.com/realDonaldTrump/status/788925593051992065", "788925593051992065")</f>
        <v>0</v>
      </c>
      <c r="B753" s="2">
        <v>42663.0913541667</v>
      </c>
      <c r="C753">
        <v>15965</v>
      </c>
      <c r="D753">
        <v>7571</v>
      </c>
      <c r="E753" t="s">
        <v>755</v>
      </c>
    </row>
    <row r="754" spans="1:5">
      <c r="A754">
        <f>HYPERLINK("http://www.twitter.com/realDonaldTrump/status/788924731541958656", "788924731541958656")</f>
        <v>0</v>
      </c>
      <c r="B754" s="2">
        <v>42663.0889814815</v>
      </c>
      <c r="C754">
        <v>11215</v>
      </c>
      <c r="D754">
        <v>5736</v>
      </c>
      <c r="E754" t="s">
        <v>756</v>
      </c>
    </row>
    <row r="755" spans="1:5">
      <c r="A755">
        <f>HYPERLINK("http://www.twitter.com/realDonaldTrump/status/788923410353008640", "788923410353008640")</f>
        <v>0</v>
      </c>
      <c r="B755" s="2">
        <v>42663.0853356481</v>
      </c>
      <c r="C755">
        <v>12649</v>
      </c>
      <c r="D755">
        <v>6537</v>
      </c>
      <c r="E755" t="s">
        <v>757</v>
      </c>
    </row>
    <row r="756" spans="1:5">
      <c r="A756">
        <f>HYPERLINK("http://www.twitter.com/realDonaldTrump/status/788923253473419264", "788923253473419264")</f>
        <v>0</v>
      </c>
      <c r="B756" s="2">
        <v>42663.0848958333</v>
      </c>
      <c r="C756">
        <v>15512</v>
      </c>
      <c r="D756">
        <v>7155</v>
      </c>
      <c r="E756" t="s">
        <v>758</v>
      </c>
    </row>
    <row r="757" spans="1:5">
      <c r="A757">
        <f>HYPERLINK("http://www.twitter.com/realDonaldTrump/status/788922462733869056", "788922462733869056")</f>
        <v>0</v>
      </c>
      <c r="B757" s="2">
        <v>42663.0827199074</v>
      </c>
      <c r="C757">
        <v>15687</v>
      </c>
      <c r="D757">
        <v>8390</v>
      </c>
      <c r="E757" t="s">
        <v>759</v>
      </c>
    </row>
    <row r="758" spans="1:5">
      <c r="A758">
        <f>HYPERLINK("http://www.twitter.com/realDonaldTrump/status/788922326729367552", "788922326729367552")</f>
        <v>0</v>
      </c>
      <c r="B758" s="2">
        <v>42663.082337963</v>
      </c>
      <c r="C758">
        <v>13785</v>
      </c>
      <c r="D758">
        <v>6499</v>
      </c>
      <c r="E758" t="s">
        <v>760</v>
      </c>
    </row>
    <row r="759" spans="1:5">
      <c r="A759">
        <f>HYPERLINK("http://www.twitter.com/realDonaldTrump/status/788921932523593728", "788921932523593728")</f>
        <v>0</v>
      </c>
      <c r="B759" s="2">
        <v>42663.08125</v>
      </c>
      <c r="C759">
        <v>15706</v>
      </c>
      <c r="D759">
        <v>7170</v>
      </c>
      <c r="E759" t="s">
        <v>761</v>
      </c>
    </row>
    <row r="760" spans="1:5">
      <c r="A760">
        <f>HYPERLINK("http://www.twitter.com/realDonaldTrump/status/788921907835830272", "788921907835830272")</f>
        <v>0</v>
      </c>
      <c r="B760" s="2">
        <v>42663.0811805556</v>
      </c>
      <c r="C760">
        <v>14958</v>
      </c>
      <c r="D760">
        <v>9281</v>
      </c>
      <c r="E760" t="s">
        <v>762</v>
      </c>
    </row>
    <row r="761" spans="1:5">
      <c r="A761">
        <f>HYPERLINK("http://www.twitter.com/realDonaldTrump/status/788921683629400064", "788921683629400064")</f>
        <v>0</v>
      </c>
      <c r="B761" s="2">
        <v>42663.0805671296</v>
      </c>
      <c r="C761">
        <v>24074</v>
      </c>
      <c r="D761">
        <v>13347</v>
      </c>
      <c r="E761" t="s">
        <v>763</v>
      </c>
    </row>
    <row r="762" spans="1:5">
      <c r="A762">
        <f>HYPERLINK("http://www.twitter.com/realDonaldTrump/status/788921604130562052", "788921604130562052")</f>
        <v>0</v>
      </c>
      <c r="B762" s="2">
        <v>42663.0803472222</v>
      </c>
      <c r="C762">
        <v>16496</v>
      </c>
      <c r="D762">
        <v>10792</v>
      </c>
      <c r="E762" t="s">
        <v>764</v>
      </c>
    </row>
    <row r="763" spans="1:5">
      <c r="A763">
        <f>HYPERLINK("http://www.twitter.com/realDonaldTrump/status/788921305441587200", "788921305441587200")</f>
        <v>0</v>
      </c>
      <c r="B763" s="2">
        <v>42663.079525463</v>
      </c>
      <c r="C763">
        <v>0</v>
      </c>
      <c r="D763">
        <v>3774</v>
      </c>
      <c r="E763" t="s">
        <v>765</v>
      </c>
    </row>
    <row r="764" spans="1:5">
      <c r="A764">
        <f>HYPERLINK("http://www.twitter.com/realDonaldTrump/status/788920628535435265", "788920628535435265")</f>
        <v>0</v>
      </c>
      <c r="B764" s="2">
        <v>42663.077650463</v>
      </c>
      <c r="C764">
        <v>17030</v>
      </c>
      <c r="D764">
        <v>6428</v>
      </c>
      <c r="E764" t="s">
        <v>766</v>
      </c>
    </row>
    <row r="765" spans="1:5">
      <c r="A765">
        <f>HYPERLINK("http://www.twitter.com/realDonaldTrump/status/788920482238038016", "788920482238038016")</f>
        <v>0</v>
      </c>
      <c r="B765" s="2">
        <v>42663.0772569444</v>
      </c>
      <c r="C765">
        <v>14926</v>
      </c>
      <c r="D765">
        <v>7858</v>
      </c>
      <c r="E765" t="s">
        <v>767</v>
      </c>
    </row>
    <row r="766" spans="1:5">
      <c r="A766">
        <f>HYPERLINK("http://www.twitter.com/realDonaldTrump/status/788920252931280896", "788920252931280896")</f>
        <v>0</v>
      </c>
      <c r="B766" s="2">
        <v>42663.0766203704</v>
      </c>
      <c r="C766">
        <v>12143</v>
      </c>
      <c r="D766">
        <v>5001</v>
      </c>
      <c r="E766" t="s">
        <v>768</v>
      </c>
    </row>
    <row r="767" spans="1:5">
      <c r="A767">
        <f>HYPERLINK("http://www.twitter.com/realDonaldTrump/status/788919918007758849", "788919918007758849")</f>
        <v>0</v>
      </c>
      <c r="B767" s="2">
        <v>42663.0756944444</v>
      </c>
      <c r="C767">
        <v>9350</v>
      </c>
      <c r="D767">
        <v>4530</v>
      </c>
      <c r="E767" t="s">
        <v>769</v>
      </c>
    </row>
    <row r="768" spans="1:5">
      <c r="A768">
        <f>HYPERLINK("http://www.twitter.com/realDonaldTrump/status/788919388850094080", "788919388850094080")</f>
        <v>0</v>
      </c>
      <c r="B768" s="2">
        <v>42663.0742361111</v>
      </c>
      <c r="C768">
        <v>12638</v>
      </c>
      <c r="D768">
        <v>6284</v>
      </c>
      <c r="E768" t="s">
        <v>770</v>
      </c>
    </row>
    <row r="769" spans="1:5">
      <c r="A769">
        <f>HYPERLINK("http://www.twitter.com/realDonaldTrump/status/788919134411116544", "788919134411116544")</f>
        <v>0</v>
      </c>
      <c r="B769" s="2">
        <v>42663.0735300926</v>
      </c>
      <c r="C769">
        <v>0</v>
      </c>
      <c r="D769">
        <v>4013</v>
      </c>
      <c r="E769" t="s">
        <v>771</v>
      </c>
    </row>
    <row r="770" spans="1:5">
      <c r="A770">
        <f>HYPERLINK("http://www.twitter.com/realDonaldTrump/status/788919099275390976", "788919099275390976")</f>
        <v>0</v>
      </c>
      <c r="B770" s="2">
        <v>42663.0734375</v>
      </c>
      <c r="C770">
        <v>16165</v>
      </c>
      <c r="D770">
        <v>5955</v>
      </c>
      <c r="E770" t="s">
        <v>772</v>
      </c>
    </row>
    <row r="771" spans="1:5">
      <c r="A771">
        <f>HYPERLINK("http://www.twitter.com/realDonaldTrump/status/788918810040344576", "788918810040344576")</f>
        <v>0</v>
      </c>
      <c r="B771" s="2">
        <v>42663.0726388889</v>
      </c>
      <c r="C771">
        <v>10862</v>
      </c>
      <c r="D771">
        <v>6162</v>
      </c>
      <c r="E771" t="s">
        <v>773</v>
      </c>
    </row>
    <row r="772" spans="1:5">
      <c r="A772">
        <f>HYPERLINK("http://www.twitter.com/realDonaldTrump/status/788918790624948224", "788918790624948224")</f>
        <v>0</v>
      </c>
      <c r="B772" s="2">
        <v>42663.0725810185</v>
      </c>
      <c r="C772">
        <v>9191</v>
      </c>
      <c r="D772">
        <v>4002</v>
      </c>
      <c r="E772" t="s">
        <v>774</v>
      </c>
    </row>
    <row r="773" spans="1:5">
      <c r="A773">
        <f>HYPERLINK("http://www.twitter.com/realDonaldTrump/status/788918380082319360", "788918380082319360")</f>
        <v>0</v>
      </c>
      <c r="B773" s="2">
        <v>42663.0714467593</v>
      </c>
      <c r="C773">
        <v>8297</v>
      </c>
      <c r="D773">
        <v>3682</v>
      </c>
      <c r="E773" t="s">
        <v>775</v>
      </c>
    </row>
    <row r="774" spans="1:5">
      <c r="A774">
        <f>HYPERLINK("http://www.twitter.com/realDonaldTrump/status/788917570317320192", "788917570317320192")</f>
        <v>0</v>
      </c>
      <c r="B774" s="2">
        <v>42663.069212963</v>
      </c>
      <c r="C774">
        <v>12412</v>
      </c>
      <c r="D774">
        <v>6958</v>
      </c>
      <c r="E774" t="s">
        <v>776</v>
      </c>
    </row>
    <row r="775" spans="1:5">
      <c r="A775">
        <f>HYPERLINK("http://www.twitter.com/realDonaldTrump/status/788917524322627585", "788917524322627585")</f>
        <v>0</v>
      </c>
      <c r="B775" s="2">
        <v>42663.0690856481</v>
      </c>
      <c r="C775">
        <v>9617</v>
      </c>
      <c r="D775">
        <v>5311</v>
      </c>
      <c r="E775" t="s">
        <v>777</v>
      </c>
    </row>
    <row r="776" spans="1:5">
      <c r="A776">
        <f>HYPERLINK("http://www.twitter.com/realDonaldTrump/status/788917347826278404", "788917347826278404")</f>
        <v>0</v>
      </c>
      <c r="B776" s="2">
        <v>42663.068599537</v>
      </c>
      <c r="C776">
        <v>10017</v>
      </c>
      <c r="D776">
        <v>4356</v>
      </c>
      <c r="E776" t="s">
        <v>778</v>
      </c>
    </row>
    <row r="777" spans="1:5">
      <c r="A777">
        <f>HYPERLINK("http://www.twitter.com/realDonaldTrump/status/788917052337557505", "788917052337557505")</f>
        <v>0</v>
      </c>
      <c r="B777" s="2">
        <v>42663.0677893519</v>
      </c>
      <c r="C777">
        <v>12427</v>
      </c>
      <c r="D777">
        <v>6765</v>
      </c>
      <c r="E777" t="s">
        <v>779</v>
      </c>
    </row>
    <row r="778" spans="1:5">
      <c r="A778">
        <f>HYPERLINK("http://www.twitter.com/realDonaldTrump/status/788916346432000000", "788916346432000000")</f>
        <v>0</v>
      </c>
      <c r="B778" s="2">
        <v>42663.0658449074</v>
      </c>
      <c r="C778">
        <v>15508</v>
      </c>
      <c r="D778">
        <v>8595</v>
      </c>
      <c r="E778" t="s">
        <v>780</v>
      </c>
    </row>
    <row r="779" spans="1:5">
      <c r="A779">
        <f>HYPERLINK("http://www.twitter.com/realDonaldTrump/status/788915831094677507", "788915831094677507")</f>
        <v>0</v>
      </c>
      <c r="B779" s="2">
        <v>42663.0644212963</v>
      </c>
      <c r="C779">
        <v>11805</v>
      </c>
      <c r="D779">
        <v>6272</v>
      </c>
      <c r="E779" t="s">
        <v>781</v>
      </c>
    </row>
    <row r="780" spans="1:5">
      <c r="A780">
        <f>HYPERLINK("http://www.twitter.com/realDonaldTrump/status/788914975779663872", "788914975779663872")</f>
        <v>0</v>
      </c>
      <c r="B780" s="2">
        <v>42663.0620601852</v>
      </c>
      <c r="C780">
        <v>20327</v>
      </c>
      <c r="D780">
        <v>10931</v>
      </c>
      <c r="E780" t="s">
        <v>782</v>
      </c>
    </row>
    <row r="781" spans="1:5">
      <c r="A781">
        <f>HYPERLINK("http://www.twitter.com/realDonaldTrump/status/788914879193161728", "788914879193161728")</f>
        <v>0</v>
      </c>
      <c r="B781" s="2">
        <v>42663.0617939815</v>
      </c>
      <c r="C781">
        <v>0</v>
      </c>
      <c r="D781">
        <v>4338</v>
      </c>
      <c r="E781" t="s">
        <v>783</v>
      </c>
    </row>
    <row r="782" spans="1:5">
      <c r="A782">
        <f>HYPERLINK("http://www.twitter.com/realDonaldTrump/status/788914805583208449", "788914805583208449")</f>
        <v>0</v>
      </c>
      <c r="B782" s="2">
        <v>42663.0615856481</v>
      </c>
      <c r="C782">
        <v>9371</v>
      </c>
      <c r="D782">
        <v>4798</v>
      </c>
      <c r="E782" t="s">
        <v>784</v>
      </c>
    </row>
    <row r="783" spans="1:5">
      <c r="A783">
        <f>HYPERLINK("http://www.twitter.com/realDonaldTrump/status/788914665136922624", "788914665136922624")</f>
        <v>0</v>
      </c>
      <c r="B783" s="2">
        <v>42663.0612037037</v>
      </c>
      <c r="C783">
        <v>14813</v>
      </c>
      <c r="D783">
        <v>5755</v>
      </c>
      <c r="E783" t="s">
        <v>785</v>
      </c>
    </row>
    <row r="784" spans="1:5">
      <c r="A784">
        <f>HYPERLINK("http://www.twitter.com/realDonaldTrump/status/788913709313699840", "788913709313699840")</f>
        <v>0</v>
      </c>
      <c r="B784" s="2">
        <v>42663.0585648148</v>
      </c>
      <c r="C784">
        <v>12976</v>
      </c>
      <c r="D784">
        <v>5941</v>
      </c>
      <c r="E784" t="s">
        <v>786</v>
      </c>
    </row>
    <row r="785" spans="1:5">
      <c r="A785">
        <f>HYPERLINK("http://www.twitter.com/realDonaldTrump/status/788913564765478913", "788913564765478913")</f>
        <v>0</v>
      </c>
      <c r="B785" s="2">
        <v>42663.0581597222</v>
      </c>
      <c r="C785">
        <v>16053</v>
      </c>
      <c r="D785">
        <v>6497</v>
      </c>
      <c r="E785" t="s">
        <v>787</v>
      </c>
    </row>
    <row r="786" spans="1:5">
      <c r="A786">
        <f>HYPERLINK("http://www.twitter.com/realDonaldTrump/status/788913356656652289", "788913356656652289")</f>
        <v>0</v>
      </c>
      <c r="B786" s="2">
        <v>42663.0575925926</v>
      </c>
      <c r="C786">
        <v>11137</v>
      </c>
      <c r="D786">
        <v>5690</v>
      </c>
      <c r="E786" t="s">
        <v>788</v>
      </c>
    </row>
    <row r="787" spans="1:5">
      <c r="A787">
        <f>HYPERLINK("http://www.twitter.com/realDonaldTrump/status/788913202474000384", "788913202474000384")</f>
        <v>0</v>
      </c>
      <c r="B787" s="2">
        <v>42663.0571643518</v>
      </c>
      <c r="C787">
        <v>16425</v>
      </c>
      <c r="D787">
        <v>7606</v>
      </c>
      <c r="E787" t="s">
        <v>789</v>
      </c>
    </row>
    <row r="788" spans="1:5">
      <c r="A788">
        <f>HYPERLINK("http://www.twitter.com/realDonaldTrump/status/788912704115191808", "788912704115191808")</f>
        <v>0</v>
      </c>
      <c r="B788" s="2">
        <v>42663.055787037</v>
      </c>
      <c r="C788">
        <v>0</v>
      </c>
      <c r="D788">
        <v>3478</v>
      </c>
      <c r="E788" t="s">
        <v>790</v>
      </c>
    </row>
    <row r="789" spans="1:5">
      <c r="A789">
        <f>HYPERLINK("http://www.twitter.com/realDonaldTrump/status/788912156234227712", "788912156234227712")</f>
        <v>0</v>
      </c>
      <c r="B789" s="2">
        <v>42663.0542708333</v>
      </c>
      <c r="C789">
        <v>10339</v>
      </c>
      <c r="D789">
        <v>5015</v>
      </c>
      <c r="E789" t="s">
        <v>791</v>
      </c>
    </row>
    <row r="790" spans="1:5">
      <c r="A790">
        <f>HYPERLINK("http://www.twitter.com/realDonaldTrump/status/788911161605443584", "788911161605443584")</f>
        <v>0</v>
      </c>
      <c r="B790" s="2">
        <v>42663.0515277778</v>
      </c>
      <c r="C790">
        <v>9734</v>
      </c>
      <c r="D790">
        <v>4795</v>
      </c>
      <c r="E790" t="s">
        <v>792</v>
      </c>
    </row>
    <row r="791" spans="1:5">
      <c r="A791">
        <f>HYPERLINK("http://www.twitter.com/realDonaldTrump/status/788910896026357761", "788910896026357761")</f>
        <v>0</v>
      </c>
      <c r="B791" s="2">
        <v>42663.0507986111</v>
      </c>
      <c r="C791">
        <v>10662</v>
      </c>
      <c r="D791">
        <v>4862</v>
      </c>
      <c r="E791" t="s">
        <v>793</v>
      </c>
    </row>
    <row r="792" spans="1:5">
      <c r="A792">
        <f>HYPERLINK("http://www.twitter.com/realDonaldTrump/status/788910701548933121", "788910701548933121")</f>
        <v>0</v>
      </c>
      <c r="B792" s="2">
        <v>42663.0502662037</v>
      </c>
      <c r="C792">
        <v>0</v>
      </c>
      <c r="D792">
        <v>4409</v>
      </c>
      <c r="E792" t="s">
        <v>794</v>
      </c>
    </row>
    <row r="793" spans="1:5">
      <c r="A793">
        <f>HYPERLINK("http://www.twitter.com/realDonaldTrump/status/788910201755742208", "788910201755742208")</f>
        <v>0</v>
      </c>
      <c r="B793" s="2">
        <v>42663.0488773148</v>
      </c>
      <c r="C793">
        <v>13156</v>
      </c>
      <c r="D793">
        <v>5890</v>
      </c>
      <c r="E793" t="s">
        <v>795</v>
      </c>
    </row>
    <row r="794" spans="1:5">
      <c r="A794">
        <f>HYPERLINK("http://www.twitter.com/realDonaldTrump/status/788909516775567360", "788909516775567360")</f>
        <v>0</v>
      </c>
      <c r="B794" s="2">
        <v>42663.0469907407</v>
      </c>
      <c r="C794">
        <v>12056</v>
      </c>
      <c r="D794">
        <v>7122</v>
      </c>
      <c r="E794" t="s">
        <v>796</v>
      </c>
    </row>
    <row r="795" spans="1:5">
      <c r="A795">
        <f>HYPERLINK("http://www.twitter.com/realDonaldTrump/status/788908831304654848", "788908831304654848")</f>
        <v>0</v>
      </c>
      <c r="B795" s="2">
        <v>42663.0451041667</v>
      </c>
      <c r="C795">
        <v>17671</v>
      </c>
      <c r="D795">
        <v>6999</v>
      </c>
      <c r="E795" t="s">
        <v>797</v>
      </c>
    </row>
    <row r="796" spans="1:5">
      <c r="A796">
        <f>HYPERLINK("http://www.twitter.com/realDonaldTrump/status/788907319434158080", "788907319434158080")</f>
        <v>0</v>
      </c>
      <c r="B796" s="2">
        <v>42663.0409259259</v>
      </c>
      <c r="C796">
        <v>10756</v>
      </c>
      <c r="D796">
        <v>4739</v>
      </c>
      <c r="E796" t="s">
        <v>798</v>
      </c>
    </row>
    <row r="797" spans="1:5">
      <c r="A797">
        <f>HYPERLINK("http://www.twitter.com/realDonaldTrump/status/788906847906304004", "788906847906304004")</f>
        <v>0</v>
      </c>
      <c r="B797" s="2">
        <v>42663.0396296296</v>
      </c>
      <c r="C797">
        <v>8233</v>
      </c>
      <c r="D797">
        <v>4861</v>
      </c>
      <c r="E797" t="s">
        <v>799</v>
      </c>
    </row>
    <row r="798" spans="1:5">
      <c r="A798">
        <f>HYPERLINK("http://www.twitter.com/realDonaldTrump/status/788904702528229376", "788904702528229376")</f>
        <v>0</v>
      </c>
      <c r="B798" s="2">
        <v>42663.0337037037</v>
      </c>
      <c r="C798">
        <v>25104</v>
      </c>
      <c r="D798">
        <v>7551</v>
      </c>
      <c r="E798" t="s">
        <v>800</v>
      </c>
    </row>
    <row r="799" spans="1:5">
      <c r="A799">
        <f>HYPERLINK("http://www.twitter.com/realDonaldTrump/status/788876733332062208", "788876733332062208")</f>
        <v>0</v>
      </c>
      <c r="B799" s="2">
        <v>42662.9565277778</v>
      </c>
      <c r="C799">
        <v>24649</v>
      </c>
      <c r="D799">
        <v>17339</v>
      </c>
      <c r="E799" t="s">
        <v>801</v>
      </c>
    </row>
    <row r="800" spans="1:5">
      <c r="A800">
        <f>HYPERLINK("http://www.twitter.com/realDonaldTrump/status/788866344733114368", "788866344733114368")</f>
        <v>0</v>
      </c>
      <c r="B800" s="2">
        <v>42662.9278587963</v>
      </c>
      <c r="C800">
        <v>12528</v>
      </c>
      <c r="D800">
        <v>7623</v>
      </c>
      <c r="E800" t="s">
        <v>802</v>
      </c>
    </row>
    <row r="801" spans="1:5">
      <c r="A801">
        <f>HYPERLINK("http://www.twitter.com/realDonaldTrump/status/788865913822916608", "788865913822916608")</f>
        <v>0</v>
      </c>
      <c r="B801" s="2">
        <v>42662.9266666667</v>
      </c>
      <c r="C801">
        <v>11214</v>
      </c>
      <c r="D801">
        <v>4719</v>
      </c>
      <c r="E801" t="s">
        <v>803</v>
      </c>
    </row>
    <row r="802" spans="1:5">
      <c r="A802">
        <f>HYPERLINK("http://www.twitter.com/realDonaldTrump/status/788854422105235456", "788854422105235456")</f>
        <v>0</v>
      </c>
      <c r="B802" s="2">
        <v>42662.8949652778</v>
      </c>
      <c r="C802">
        <v>33628</v>
      </c>
      <c r="D802">
        <v>14237</v>
      </c>
      <c r="E802" t="s">
        <v>804</v>
      </c>
    </row>
    <row r="803" spans="1:5">
      <c r="A803">
        <f>HYPERLINK("http://www.twitter.com/realDonaldTrump/status/788853838191075328", "788853838191075328")</f>
        <v>0</v>
      </c>
      <c r="B803" s="2">
        <v>42662.8933449074</v>
      </c>
      <c r="C803">
        <v>20557</v>
      </c>
      <c r="D803">
        <v>8857</v>
      </c>
      <c r="E803" t="s">
        <v>805</v>
      </c>
    </row>
    <row r="804" spans="1:5">
      <c r="A804">
        <f>HYPERLINK("http://www.twitter.com/realDonaldTrump/status/788852833810427905", "788852833810427905")</f>
        <v>0</v>
      </c>
      <c r="B804" s="2">
        <v>42662.8905787037</v>
      </c>
      <c r="C804">
        <v>20146</v>
      </c>
      <c r="D804">
        <v>10400</v>
      </c>
      <c r="E804" t="s">
        <v>806</v>
      </c>
    </row>
    <row r="805" spans="1:5">
      <c r="A805">
        <f>HYPERLINK("http://www.twitter.com/realDonaldTrump/status/788831347036917760", "788831347036917760")</f>
        <v>0</v>
      </c>
      <c r="B805" s="2">
        <v>42662.8312847222</v>
      </c>
      <c r="C805">
        <v>14418</v>
      </c>
      <c r="D805">
        <v>7886</v>
      </c>
      <c r="E805" t="s">
        <v>807</v>
      </c>
    </row>
    <row r="806" spans="1:5">
      <c r="A806">
        <f>HYPERLINK("http://www.twitter.com/realDonaldTrump/status/788824835019255808", "788824835019255808")</f>
        <v>0</v>
      </c>
      <c r="B806" s="2">
        <v>42662.8133101852</v>
      </c>
      <c r="C806">
        <v>11865</v>
      </c>
      <c r="D806">
        <v>4652</v>
      </c>
      <c r="E806" t="s">
        <v>808</v>
      </c>
    </row>
    <row r="807" spans="1:5">
      <c r="A807">
        <f>HYPERLINK("http://www.twitter.com/realDonaldTrump/status/788819370919157760", "788819370919157760")</f>
        <v>0</v>
      </c>
      <c r="B807" s="2">
        <v>42662.7982407407</v>
      </c>
      <c r="C807">
        <v>11928</v>
      </c>
      <c r="D807">
        <v>6481</v>
      </c>
      <c r="E807" t="s">
        <v>809</v>
      </c>
    </row>
    <row r="808" spans="1:5">
      <c r="A808">
        <f>HYPERLINK("http://www.twitter.com/realDonaldTrump/status/788804579106226176", "788804579106226176")</f>
        <v>0</v>
      </c>
      <c r="B808" s="2">
        <v>42662.7574189815</v>
      </c>
      <c r="C808">
        <v>18685</v>
      </c>
      <c r="D808">
        <v>12079</v>
      </c>
      <c r="E808" t="s">
        <v>810</v>
      </c>
    </row>
    <row r="809" spans="1:5">
      <c r="A809">
        <f>HYPERLINK("http://www.twitter.com/realDonaldTrump/status/788803495507832833", "788803495507832833")</f>
        <v>0</v>
      </c>
      <c r="B809" s="2">
        <v>42662.7544328704</v>
      </c>
      <c r="C809">
        <v>14627</v>
      </c>
      <c r="D809">
        <v>7968</v>
      </c>
      <c r="E809" t="s">
        <v>811</v>
      </c>
    </row>
    <row r="810" spans="1:5">
      <c r="A810">
        <f>HYPERLINK("http://www.twitter.com/realDonaldTrump/status/788803222496346112", "788803222496346112")</f>
        <v>0</v>
      </c>
      <c r="B810" s="2">
        <v>42662.7536805556</v>
      </c>
      <c r="C810">
        <v>13171</v>
      </c>
      <c r="D810">
        <v>7067</v>
      </c>
      <c r="E810" t="s">
        <v>812</v>
      </c>
    </row>
    <row r="811" spans="1:5">
      <c r="A811">
        <f>HYPERLINK("http://www.twitter.com/realDonaldTrump/status/788786885015457792", "788786885015457792")</f>
        <v>0</v>
      </c>
      <c r="B811" s="2">
        <v>42662.708587963</v>
      </c>
      <c r="C811">
        <v>14530</v>
      </c>
      <c r="D811">
        <v>8287</v>
      </c>
      <c r="E811" t="s">
        <v>813</v>
      </c>
    </row>
    <row r="812" spans="1:5">
      <c r="A812">
        <f>HYPERLINK("http://www.twitter.com/realDonaldTrump/status/788786220671176704", "788786220671176704")</f>
        <v>0</v>
      </c>
      <c r="B812" s="2">
        <v>42662.7067592593</v>
      </c>
      <c r="C812">
        <v>15545</v>
      </c>
      <c r="D812">
        <v>9815</v>
      </c>
      <c r="E812" t="s">
        <v>814</v>
      </c>
    </row>
    <row r="813" spans="1:5">
      <c r="A813">
        <f>HYPERLINK("http://www.twitter.com/realDonaldTrump/status/788765196584038400", "788765196584038400")</f>
        <v>0</v>
      </c>
      <c r="B813" s="2">
        <v>42662.64875</v>
      </c>
      <c r="C813">
        <v>18643</v>
      </c>
      <c r="D813">
        <v>9537</v>
      </c>
      <c r="E813" t="s">
        <v>815</v>
      </c>
    </row>
    <row r="814" spans="1:5">
      <c r="A814">
        <f>HYPERLINK("http://www.twitter.com/realDonaldTrump/status/788552360326893568", "788552360326893568")</f>
        <v>0</v>
      </c>
      <c r="B814" s="2">
        <v>42662.0614236111</v>
      </c>
      <c r="C814">
        <v>18666</v>
      </c>
      <c r="D814">
        <v>11238</v>
      </c>
      <c r="E814" t="s">
        <v>816</v>
      </c>
    </row>
    <row r="815" spans="1:5">
      <c r="A815">
        <f>HYPERLINK("http://www.twitter.com/realDonaldTrump/status/788545364664070144", "788545364664070144")</f>
        <v>0</v>
      </c>
      <c r="B815" s="2">
        <v>42662.0421296296</v>
      </c>
      <c r="C815">
        <v>17125</v>
      </c>
      <c r="D815">
        <v>9650</v>
      </c>
      <c r="E815" t="s">
        <v>817</v>
      </c>
    </row>
    <row r="816" spans="1:5">
      <c r="A816">
        <f>HYPERLINK("http://www.twitter.com/realDonaldTrump/status/788543616926912512", "788543616926912512")</f>
        <v>0</v>
      </c>
      <c r="B816" s="2">
        <v>42662.0373032407</v>
      </c>
      <c r="C816">
        <v>42228</v>
      </c>
      <c r="D816">
        <v>23472</v>
      </c>
      <c r="E816" t="s">
        <v>818</v>
      </c>
    </row>
    <row r="817" spans="1:5">
      <c r="A817">
        <f>HYPERLINK("http://www.twitter.com/realDonaldTrump/status/788538743950938112", "788538743950938112")</f>
        <v>0</v>
      </c>
      <c r="B817" s="2">
        <v>42662.0238541667</v>
      </c>
      <c r="C817">
        <v>52448</v>
      </c>
      <c r="D817">
        <v>26024</v>
      </c>
      <c r="E817" t="s">
        <v>819</v>
      </c>
    </row>
    <row r="818" spans="1:5">
      <c r="A818">
        <f>HYPERLINK("http://www.twitter.com/realDonaldTrump/status/788538003836678144", "788538003836678144")</f>
        <v>0</v>
      </c>
      <c r="B818" s="2">
        <v>42662.0218171296</v>
      </c>
      <c r="C818">
        <v>17227</v>
      </c>
      <c r="D818">
        <v>10211</v>
      </c>
      <c r="E818" t="s">
        <v>820</v>
      </c>
    </row>
    <row r="819" spans="1:5">
      <c r="A819">
        <f>HYPERLINK("http://www.twitter.com/realDonaldTrump/status/788495515021299713", "788495515021299713")</f>
        <v>0</v>
      </c>
      <c r="B819" s="2">
        <v>42661.9045601852</v>
      </c>
      <c r="C819">
        <v>27052</v>
      </c>
      <c r="D819">
        <v>17126</v>
      </c>
      <c r="E819" t="s">
        <v>821</v>
      </c>
    </row>
    <row r="820" spans="1:5">
      <c r="A820">
        <f>HYPERLINK("http://www.twitter.com/realDonaldTrump/status/788479634694246400", "788479634694246400")</f>
        <v>0</v>
      </c>
      <c r="B820" s="2">
        <v>42661.8607407407</v>
      </c>
      <c r="C820">
        <v>0</v>
      </c>
      <c r="D820">
        <v>11836</v>
      </c>
      <c r="E820" t="s">
        <v>822</v>
      </c>
    </row>
    <row r="821" spans="1:5">
      <c r="A821">
        <f>HYPERLINK("http://www.twitter.com/realDonaldTrump/status/788468036541874176", "788468036541874176")</f>
        <v>0</v>
      </c>
      <c r="B821" s="2">
        <v>42661.8287384259</v>
      </c>
      <c r="C821">
        <v>33209</v>
      </c>
      <c r="D821">
        <v>12943</v>
      </c>
      <c r="E821" t="s">
        <v>823</v>
      </c>
    </row>
    <row r="822" spans="1:5">
      <c r="A822">
        <f>HYPERLINK("http://www.twitter.com/realDonaldTrump/status/788450384809340928", "788450384809340928")</f>
        <v>0</v>
      </c>
      <c r="B822" s="2">
        <v>42661.7800347222</v>
      </c>
      <c r="C822">
        <v>16049</v>
      </c>
      <c r="D822">
        <v>8315</v>
      </c>
      <c r="E822" t="s">
        <v>824</v>
      </c>
    </row>
    <row r="823" spans="1:5">
      <c r="A823">
        <f>HYPERLINK("http://www.twitter.com/realDonaldTrump/status/788449842854895616", "788449842854895616")</f>
        <v>0</v>
      </c>
      <c r="B823" s="2">
        <v>42661.7785300926</v>
      </c>
      <c r="C823">
        <v>0</v>
      </c>
      <c r="D823">
        <v>5368</v>
      </c>
      <c r="E823" t="s">
        <v>825</v>
      </c>
    </row>
    <row r="824" spans="1:5">
      <c r="A824">
        <f>HYPERLINK("http://www.twitter.com/realDonaldTrump/status/788440948275421184", "788440948275421184")</f>
        <v>0</v>
      </c>
      <c r="B824" s="2">
        <v>42661.7539930556</v>
      </c>
      <c r="C824">
        <v>18102</v>
      </c>
      <c r="D824">
        <v>11355</v>
      </c>
      <c r="E824" t="s">
        <v>826</v>
      </c>
    </row>
    <row r="825" spans="1:5">
      <c r="A825">
        <f>HYPERLINK("http://www.twitter.com/realDonaldTrump/status/788403448593002496", "788403448593002496")</f>
        <v>0</v>
      </c>
      <c r="B825" s="2">
        <v>42661.6505092593</v>
      </c>
      <c r="C825">
        <v>38489</v>
      </c>
      <c r="D825">
        <v>20284</v>
      </c>
      <c r="E825" t="s">
        <v>827</v>
      </c>
    </row>
    <row r="826" spans="1:5">
      <c r="A826">
        <f>HYPERLINK("http://www.twitter.com/realDonaldTrump/status/788402786970939392", "788402786970939392")</f>
        <v>0</v>
      </c>
      <c r="B826" s="2">
        <v>42661.6486805556</v>
      </c>
      <c r="C826">
        <v>26901</v>
      </c>
      <c r="D826">
        <v>15636</v>
      </c>
      <c r="E826" t="s">
        <v>828</v>
      </c>
    </row>
    <row r="827" spans="1:5">
      <c r="A827">
        <f>HYPERLINK("http://www.twitter.com/realDonaldTrump/status/788402585816276992", "788402585816276992")</f>
        <v>0</v>
      </c>
      <c r="B827" s="2">
        <v>42661.648125</v>
      </c>
      <c r="C827">
        <v>28147</v>
      </c>
      <c r="D827">
        <v>13666</v>
      </c>
      <c r="E827" t="s">
        <v>829</v>
      </c>
    </row>
    <row r="828" spans="1:5">
      <c r="A828">
        <f>HYPERLINK("http://www.twitter.com/realDonaldTrump/status/788342075582328832", "788342075582328832")</f>
        <v>0</v>
      </c>
      <c r="B828" s="2">
        <v>42661.4811574074</v>
      </c>
      <c r="C828">
        <v>32846</v>
      </c>
      <c r="D828">
        <v>13891</v>
      </c>
      <c r="E828" t="s">
        <v>830</v>
      </c>
    </row>
    <row r="829" spans="1:5">
      <c r="A829">
        <f>HYPERLINK("http://www.twitter.com/realDonaldTrump/status/788199901209452544", "788199901209452544")</f>
        <v>0</v>
      </c>
      <c r="B829" s="2">
        <v>42661.0888310185</v>
      </c>
      <c r="C829">
        <v>41628</v>
      </c>
      <c r="D829">
        <v>16251</v>
      </c>
      <c r="E829" t="s">
        <v>831</v>
      </c>
    </row>
    <row r="830" spans="1:5">
      <c r="A830">
        <f>HYPERLINK("http://www.twitter.com/realDonaldTrump/status/788193776577675264", "788193776577675264")</f>
        <v>0</v>
      </c>
      <c r="B830" s="2">
        <v>42661.0719212963</v>
      </c>
      <c r="C830">
        <v>22383</v>
      </c>
      <c r="D830">
        <v>11439</v>
      </c>
      <c r="E830" t="s">
        <v>832</v>
      </c>
    </row>
    <row r="831" spans="1:5">
      <c r="A831">
        <f>HYPERLINK("http://www.twitter.com/realDonaldTrump/status/788193441733808128", "788193441733808128")</f>
        <v>0</v>
      </c>
      <c r="B831" s="2">
        <v>42661.0710069444</v>
      </c>
      <c r="C831">
        <v>25780</v>
      </c>
      <c r="D831">
        <v>15896</v>
      </c>
      <c r="E831" t="s">
        <v>833</v>
      </c>
    </row>
    <row r="832" spans="1:5">
      <c r="A832">
        <f>HYPERLINK("http://www.twitter.com/realDonaldTrump/status/788150475258343424", "788150475258343424")</f>
        <v>0</v>
      </c>
      <c r="B832" s="2">
        <v>42660.9524421296</v>
      </c>
      <c r="C832">
        <v>59713</v>
      </c>
      <c r="D832">
        <v>38338</v>
      </c>
      <c r="E832" t="s">
        <v>834</v>
      </c>
    </row>
    <row r="833" spans="1:5">
      <c r="A833">
        <f>HYPERLINK("http://www.twitter.com/realDonaldTrump/status/788149137820614657", "788149137820614657")</f>
        <v>0</v>
      </c>
      <c r="B833" s="2">
        <v>42660.94875</v>
      </c>
      <c r="C833">
        <v>19989</v>
      </c>
      <c r="D833">
        <v>12037</v>
      </c>
      <c r="E833" t="s">
        <v>835</v>
      </c>
    </row>
    <row r="834" spans="1:5">
      <c r="A834">
        <f>HYPERLINK("http://www.twitter.com/realDonaldTrump/status/788144305701548032", "788144305701548032")</f>
        <v>0</v>
      </c>
      <c r="B834" s="2">
        <v>42660.9354166667</v>
      </c>
      <c r="C834">
        <v>30227</v>
      </c>
      <c r="D834">
        <v>7976</v>
      </c>
      <c r="E834" t="s">
        <v>836</v>
      </c>
    </row>
    <row r="835" spans="1:5">
      <c r="A835">
        <f>HYPERLINK("http://www.twitter.com/realDonaldTrump/status/788138062853332997", "788138062853332997")</f>
        <v>0</v>
      </c>
      <c r="B835" s="2">
        <v>42660.9181828704</v>
      </c>
      <c r="C835">
        <v>39012</v>
      </c>
      <c r="D835">
        <v>14720</v>
      </c>
      <c r="E835" t="s">
        <v>837</v>
      </c>
    </row>
    <row r="836" spans="1:5">
      <c r="A836">
        <f>HYPERLINK("http://www.twitter.com/realDonaldTrump/status/788133616593276928", "788133616593276928")</f>
        <v>0</v>
      </c>
      <c r="B836" s="2">
        <v>42660.9059143519</v>
      </c>
      <c r="C836">
        <v>16707</v>
      </c>
      <c r="D836">
        <v>7732</v>
      </c>
      <c r="E836" t="s">
        <v>838</v>
      </c>
    </row>
    <row r="837" spans="1:5">
      <c r="A837">
        <f>HYPERLINK("http://www.twitter.com/realDonaldTrump/status/788132030429233153", "788132030429233153")</f>
        <v>0</v>
      </c>
      <c r="B837" s="2">
        <v>42660.9015393518</v>
      </c>
      <c r="C837">
        <v>13931</v>
      </c>
      <c r="D837">
        <v>5499</v>
      </c>
      <c r="E837" t="s">
        <v>839</v>
      </c>
    </row>
    <row r="838" spans="1:5">
      <c r="A838">
        <f>HYPERLINK("http://www.twitter.com/realDonaldTrump/status/788123233442824192", "788123233442824192")</f>
        <v>0</v>
      </c>
      <c r="B838" s="2">
        <v>42660.8772685185</v>
      </c>
      <c r="C838">
        <v>55151</v>
      </c>
      <c r="D838">
        <v>28383</v>
      </c>
      <c r="E838" t="s">
        <v>840</v>
      </c>
    </row>
    <row r="839" spans="1:5">
      <c r="A839">
        <f>HYPERLINK("http://www.twitter.com/realDonaldTrump/status/788100107220709376", "788100107220709376")</f>
        <v>0</v>
      </c>
      <c r="B839" s="2">
        <v>42660.8134490741</v>
      </c>
      <c r="C839">
        <v>37347</v>
      </c>
      <c r="D839">
        <v>13730</v>
      </c>
      <c r="E839" t="s">
        <v>841</v>
      </c>
    </row>
    <row r="840" spans="1:5">
      <c r="A840">
        <f>HYPERLINK("http://www.twitter.com/realDonaldTrump/status/788098066075230208", "788098066075230208")</f>
        <v>0</v>
      </c>
      <c r="B840" s="2">
        <v>42660.8078125</v>
      </c>
      <c r="C840">
        <v>22436</v>
      </c>
      <c r="D840">
        <v>14534</v>
      </c>
      <c r="E840" t="s">
        <v>842</v>
      </c>
    </row>
    <row r="841" spans="1:5">
      <c r="A841">
        <f>HYPERLINK("http://www.twitter.com/realDonaldTrump/status/788095098902962176", "788095098902962176")</f>
        <v>0</v>
      </c>
      <c r="B841" s="2">
        <v>42660.7996296296</v>
      </c>
      <c r="C841">
        <v>18734</v>
      </c>
      <c r="D841">
        <v>11108</v>
      </c>
      <c r="E841" t="s">
        <v>843</v>
      </c>
    </row>
    <row r="842" spans="1:5">
      <c r="A842">
        <f>HYPERLINK("http://www.twitter.com/realDonaldTrump/status/788077766063390724", "788077766063390724")</f>
        <v>0</v>
      </c>
      <c r="B842" s="2">
        <v>42660.7517939815</v>
      </c>
      <c r="C842">
        <v>0</v>
      </c>
      <c r="D842">
        <v>6619</v>
      </c>
      <c r="E842" t="s">
        <v>844</v>
      </c>
    </row>
    <row r="843" spans="1:5">
      <c r="A843">
        <f>HYPERLINK("http://www.twitter.com/realDonaldTrump/status/788050035539865600", "788050035539865600")</f>
        <v>0</v>
      </c>
      <c r="B843" s="2">
        <v>42660.6752777778</v>
      </c>
      <c r="C843">
        <v>37406</v>
      </c>
      <c r="D843">
        <v>14181</v>
      </c>
      <c r="E843" t="s">
        <v>845</v>
      </c>
    </row>
    <row r="844" spans="1:5">
      <c r="A844">
        <f>HYPERLINK("http://www.twitter.com/realDonaldTrump/status/788048800766099456", "788048800766099456")</f>
        <v>0</v>
      </c>
      <c r="B844" s="2">
        <v>42660.6718634259</v>
      </c>
      <c r="C844">
        <v>0</v>
      </c>
      <c r="D844">
        <v>11375</v>
      </c>
      <c r="E844" t="s">
        <v>846</v>
      </c>
    </row>
    <row r="845" spans="1:5">
      <c r="A845">
        <f>HYPERLINK("http://www.twitter.com/realDonaldTrump/status/788037987556794368", "788037987556794368")</f>
        <v>0</v>
      </c>
      <c r="B845" s="2">
        <v>42660.642025463</v>
      </c>
      <c r="C845">
        <v>47644</v>
      </c>
      <c r="D845">
        <v>20201</v>
      </c>
      <c r="E845" t="s">
        <v>847</v>
      </c>
    </row>
    <row r="846" spans="1:5">
      <c r="A846">
        <f>HYPERLINK("http://www.twitter.com/realDonaldTrump/status/788036918764269568", "788036918764269568")</f>
        <v>0</v>
      </c>
      <c r="B846" s="2">
        <v>42660.6390856481</v>
      </c>
      <c r="C846">
        <v>26904</v>
      </c>
      <c r="D846">
        <v>14741</v>
      </c>
      <c r="E846" t="s">
        <v>848</v>
      </c>
    </row>
    <row r="847" spans="1:5">
      <c r="A847">
        <f>HYPERLINK("http://www.twitter.com/realDonaldTrump/status/788036646096822272", "788036646096822272")</f>
        <v>0</v>
      </c>
      <c r="B847" s="2">
        <v>42660.6383333333</v>
      </c>
      <c r="C847">
        <v>0</v>
      </c>
      <c r="D847">
        <v>8684</v>
      </c>
      <c r="E847" t="s">
        <v>849</v>
      </c>
    </row>
    <row r="848" spans="1:5">
      <c r="A848">
        <f>HYPERLINK("http://www.twitter.com/realDonaldTrump/status/788031447932215300", "788031447932215300")</f>
        <v>0</v>
      </c>
      <c r="B848" s="2">
        <v>42660.6239814815</v>
      </c>
      <c r="C848">
        <v>25568</v>
      </c>
      <c r="D848">
        <v>13793</v>
      </c>
      <c r="E848" t="s">
        <v>850</v>
      </c>
    </row>
    <row r="849" spans="1:5">
      <c r="A849">
        <f>HYPERLINK("http://www.twitter.com/realDonaldTrump/status/787995512448380928", "787995512448380928")</f>
        <v>0</v>
      </c>
      <c r="B849" s="2">
        <v>42660.5248263889</v>
      </c>
      <c r="C849">
        <v>48648</v>
      </c>
      <c r="D849">
        <v>19121</v>
      </c>
      <c r="E849" t="s">
        <v>851</v>
      </c>
    </row>
    <row r="850" spans="1:5">
      <c r="A850">
        <f>HYPERLINK("http://www.twitter.com/realDonaldTrump/status/787995025527410688", "787995025527410688")</f>
        <v>0</v>
      </c>
      <c r="B850" s="2">
        <v>42660.5234722222</v>
      </c>
      <c r="C850">
        <v>36304</v>
      </c>
      <c r="D850">
        <v>14121</v>
      </c>
      <c r="E850" t="s">
        <v>852</v>
      </c>
    </row>
    <row r="851" spans="1:5">
      <c r="A851">
        <f>HYPERLINK("http://www.twitter.com/realDonaldTrump/status/787993803504414720", "787993803504414720")</f>
        <v>0</v>
      </c>
      <c r="B851" s="2">
        <v>42660.5201041667</v>
      </c>
      <c r="C851">
        <v>19370</v>
      </c>
      <c r="D851">
        <v>8269</v>
      </c>
      <c r="E851" t="s">
        <v>853</v>
      </c>
    </row>
    <row r="852" spans="1:5">
      <c r="A852">
        <f>HYPERLINK("http://www.twitter.com/realDonaldTrump/status/787992753829478400", "787992753829478400")</f>
        <v>0</v>
      </c>
      <c r="B852" s="2">
        <v>42660.5172106481</v>
      </c>
      <c r="C852">
        <v>19526</v>
      </c>
      <c r="D852">
        <v>10447</v>
      </c>
      <c r="E852" t="s">
        <v>854</v>
      </c>
    </row>
    <row r="853" spans="1:5">
      <c r="A853">
        <f>HYPERLINK("http://www.twitter.com/realDonaldTrump/status/787991439196229632", "787991439196229632")</f>
        <v>0</v>
      </c>
      <c r="B853" s="2">
        <v>42660.5135763889</v>
      </c>
      <c r="C853">
        <v>18550</v>
      </c>
      <c r="D853">
        <v>11038</v>
      </c>
      <c r="E853" t="s">
        <v>855</v>
      </c>
    </row>
    <row r="854" spans="1:5">
      <c r="A854">
        <f>HYPERLINK("http://www.twitter.com/realDonaldTrump/status/787990502415167488", "787990502415167488")</f>
        <v>0</v>
      </c>
      <c r="B854" s="2">
        <v>42660.5109953704</v>
      </c>
      <c r="C854">
        <v>28548</v>
      </c>
      <c r="D854">
        <v>10029</v>
      </c>
      <c r="E854" t="s">
        <v>856</v>
      </c>
    </row>
    <row r="855" spans="1:5">
      <c r="A855">
        <f>HYPERLINK("http://www.twitter.com/realDonaldTrump/status/787783828358258688", "787783828358258688")</f>
        <v>0</v>
      </c>
      <c r="B855" s="2">
        <v>42659.9406828704</v>
      </c>
      <c r="C855">
        <v>39355</v>
      </c>
      <c r="D855">
        <v>14857</v>
      </c>
      <c r="E855" t="s">
        <v>857</v>
      </c>
    </row>
    <row r="856" spans="1:5">
      <c r="A856">
        <f>HYPERLINK("http://www.twitter.com/realDonaldTrump/status/787782613633208320", "787782613633208320")</f>
        <v>0</v>
      </c>
      <c r="B856" s="2">
        <v>42659.937337963</v>
      </c>
      <c r="C856">
        <v>46212</v>
      </c>
      <c r="D856">
        <v>23211</v>
      </c>
      <c r="E856" t="s">
        <v>858</v>
      </c>
    </row>
    <row r="857" spans="1:5">
      <c r="A857">
        <f>HYPERLINK("http://www.twitter.com/realDonaldTrump/status/787779039079624704", "787779039079624704")</f>
        <v>0</v>
      </c>
      <c r="B857" s="2">
        <v>42659.9274652778</v>
      </c>
      <c r="C857">
        <v>33309</v>
      </c>
      <c r="D857">
        <v>14633</v>
      </c>
      <c r="E857" t="s">
        <v>859</v>
      </c>
    </row>
    <row r="858" spans="1:5">
      <c r="A858">
        <f>HYPERLINK("http://www.twitter.com/realDonaldTrump/status/787760670590791680", "787760670590791680")</f>
        <v>0</v>
      </c>
      <c r="B858" s="2">
        <v>42659.8767824074</v>
      </c>
      <c r="C858">
        <v>38827</v>
      </c>
      <c r="D858">
        <v>14754</v>
      </c>
      <c r="E858" t="s">
        <v>860</v>
      </c>
    </row>
    <row r="859" spans="1:5">
      <c r="A859">
        <f>HYPERLINK("http://www.twitter.com/realDonaldTrump/status/787758668565581824", "787758668565581824")</f>
        <v>0</v>
      </c>
      <c r="B859" s="2">
        <v>42659.8712615741</v>
      </c>
      <c r="C859">
        <v>30907</v>
      </c>
      <c r="D859">
        <v>11095</v>
      </c>
      <c r="E859" t="s">
        <v>861</v>
      </c>
    </row>
    <row r="860" spans="1:5">
      <c r="A860">
        <f>HYPERLINK("http://www.twitter.com/realDonaldTrump/status/787756849453989889", "787756849453989889")</f>
        <v>0</v>
      </c>
      <c r="B860" s="2">
        <v>42659.8662384259</v>
      </c>
      <c r="C860">
        <v>33312</v>
      </c>
      <c r="D860">
        <v>12592</v>
      </c>
      <c r="E860" t="s">
        <v>862</v>
      </c>
    </row>
    <row r="861" spans="1:5">
      <c r="A861">
        <f>HYPERLINK("http://www.twitter.com/realDonaldTrump/status/787748349898264576", "787748349898264576")</f>
        <v>0</v>
      </c>
      <c r="B861" s="2">
        <v>42659.8427777778</v>
      </c>
      <c r="C861">
        <v>16935</v>
      </c>
      <c r="D861">
        <v>6919</v>
      </c>
      <c r="E861" t="s">
        <v>863</v>
      </c>
    </row>
    <row r="862" spans="1:5">
      <c r="A862">
        <f>HYPERLINK("http://www.twitter.com/realDonaldTrump/status/787736416671367168", "787736416671367168")</f>
        <v>0</v>
      </c>
      <c r="B862" s="2">
        <v>42659.809849537</v>
      </c>
      <c r="C862">
        <v>27471</v>
      </c>
      <c r="D862">
        <v>14236</v>
      </c>
      <c r="E862" t="s">
        <v>864</v>
      </c>
    </row>
    <row r="863" spans="1:5">
      <c r="A863">
        <f>HYPERLINK("http://www.twitter.com/realDonaldTrump/status/787699930718695425", "787699930718695425")</f>
        <v>0</v>
      </c>
      <c r="B863" s="2">
        <v>42659.7091666667</v>
      </c>
      <c r="C863">
        <v>57492</v>
      </c>
      <c r="D863">
        <v>21815</v>
      </c>
      <c r="E863" t="s">
        <v>865</v>
      </c>
    </row>
    <row r="864" spans="1:5">
      <c r="A864">
        <f>HYPERLINK("http://www.twitter.com/realDonaldTrump/status/787686533209939968", "787686533209939968")</f>
        <v>0</v>
      </c>
      <c r="B864" s="2">
        <v>42659.6721990741</v>
      </c>
      <c r="C864">
        <v>35450</v>
      </c>
      <c r="D864">
        <v>22056</v>
      </c>
      <c r="E864" t="s">
        <v>866</v>
      </c>
    </row>
    <row r="865" spans="1:5">
      <c r="A865">
        <f>HYPERLINK("http://www.twitter.com/realDonaldTrump/status/787686322001612800", "787686322001612800")</f>
        <v>0</v>
      </c>
      <c r="B865" s="2">
        <v>42659.6716203704</v>
      </c>
      <c r="C865">
        <v>24750</v>
      </c>
      <c r="D865">
        <v>13298</v>
      </c>
      <c r="E865" t="s">
        <v>867</v>
      </c>
    </row>
    <row r="866" spans="1:5">
      <c r="A866">
        <f>HYPERLINK("http://www.twitter.com/realDonaldTrump/status/787643017234636800", "787643017234636800")</f>
        <v>0</v>
      </c>
      <c r="B866" s="2">
        <v>42659.5521180556</v>
      </c>
      <c r="C866">
        <v>29800</v>
      </c>
      <c r="D866">
        <v>16401</v>
      </c>
      <c r="E866" t="s">
        <v>868</v>
      </c>
    </row>
    <row r="867" spans="1:5">
      <c r="A867">
        <f>HYPERLINK("http://www.twitter.com/realDonaldTrump/status/787642321072513024", "787642321072513024")</f>
        <v>0</v>
      </c>
      <c r="B867" s="2">
        <v>42659.5501967593</v>
      </c>
      <c r="C867">
        <v>25228</v>
      </c>
      <c r="D867">
        <v>13014</v>
      </c>
      <c r="E867" t="s">
        <v>869</v>
      </c>
    </row>
    <row r="868" spans="1:5">
      <c r="A868">
        <f>HYPERLINK("http://www.twitter.com/realDonaldTrump/status/787632098794467328", "787632098794467328")</f>
        <v>0</v>
      </c>
      <c r="B868" s="2">
        <v>42659.5219907407</v>
      </c>
      <c r="C868">
        <v>46955</v>
      </c>
      <c r="D868">
        <v>19254</v>
      </c>
      <c r="E868" t="s">
        <v>870</v>
      </c>
    </row>
    <row r="869" spans="1:5">
      <c r="A869">
        <f>HYPERLINK("http://www.twitter.com/realDonaldTrump/status/787618207444131840", "787618207444131840")</f>
        <v>0</v>
      </c>
      <c r="B869" s="2">
        <v>42659.4836574074</v>
      </c>
      <c r="C869">
        <v>49248</v>
      </c>
      <c r="D869">
        <v>18009</v>
      </c>
      <c r="E869" t="s">
        <v>871</v>
      </c>
    </row>
    <row r="870" spans="1:5">
      <c r="A870">
        <f>HYPERLINK("http://www.twitter.com/realDonaldTrump/status/787612552654155776", "787612552654155776")</f>
        <v>0</v>
      </c>
      <c r="B870" s="2">
        <v>42659.4680555556</v>
      </c>
      <c r="C870">
        <v>53103</v>
      </c>
      <c r="D870">
        <v>18527</v>
      </c>
      <c r="E870" t="s">
        <v>872</v>
      </c>
    </row>
    <row r="871" spans="1:5">
      <c r="A871">
        <f>HYPERLINK("http://www.twitter.com/realDonaldTrump/status/787444478512603136", "787444478512603136")</f>
        <v>0</v>
      </c>
      <c r="B871" s="2">
        <v>42659.0042592593</v>
      </c>
      <c r="C871">
        <v>26382</v>
      </c>
      <c r="D871">
        <v>9896</v>
      </c>
      <c r="E871" t="s">
        <v>873</v>
      </c>
    </row>
    <row r="872" spans="1:5">
      <c r="A872">
        <f>HYPERLINK("http://www.twitter.com/realDonaldTrump/status/787443829146353664", "787443829146353664")</f>
        <v>0</v>
      </c>
      <c r="B872" s="2">
        <v>42659.0024652778</v>
      </c>
      <c r="C872">
        <v>21990</v>
      </c>
      <c r="D872">
        <v>9536</v>
      </c>
      <c r="E872" t="s">
        <v>874</v>
      </c>
    </row>
    <row r="873" spans="1:5">
      <c r="A873">
        <f>HYPERLINK("http://www.twitter.com/realDonaldTrump/status/787443714239164416", "787443714239164416")</f>
        <v>0</v>
      </c>
      <c r="B873" s="2">
        <v>42659.0021527778</v>
      </c>
      <c r="C873">
        <v>23101</v>
      </c>
      <c r="D873">
        <v>8337</v>
      </c>
      <c r="E873" t="s">
        <v>875</v>
      </c>
    </row>
    <row r="874" spans="1:5">
      <c r="A874">
        <f>HYPERLINK("http://www.twitter.com/realDonaldTrump/status/787430717387055105", "787430717387055105")</f>
        <v>0</v>
      </c>
      <c r="B874" s="2">
        <v>42658.9662847222</v>
      </c>
      <c r="C874">
        <v>26990</v>
      </c>
      <c r="D874">
        <v>11162</v>
      </c>
      <c r="E874" t="s">
        <v>876</v>
      </c>
    </row>
    <row r="875" spans="1:5">
      <c r="A875">
        <f>HYPERLINK("http://www.twitter.com/realDonaldTrump/status/787425145489072128", "787425145489072128")</f>
        <v>0</v>
      </c>
      <c r="B875" s="2">
        <v>42658.9509027778</v>
      </c>
      <c r="C875">
        <v>39408</v>
      </c>
      <c r="D875">
        <v>16128</v>
      </c>
      <c r="E875" t="s">
        <v>877</v>
      </c>
    </row>
    <row r="876" spans="1:5">
      <c r="A876">
        <f>HYPERLINK("http://www.twitter.com/realDonaldTrump/status/787359730465329152", "787359730465329152")</f>
        <v>0</v>
      </c>
      <c r="B876" s="2">
        <v>42658.7703935185</v>
      </c>
      <c r="C876">
        <v>60097</v>
      </c>
      <c r="D876">
        <v>20919</v>
      </c>
      <c r="E876" t="s">
        <v>878</v>
      </c>
    </row>
    <row r="877" spans="1:5">
      <c r="A877">
        <f>HYPERLINK("http://www.twitter.com/realDonaldTrump/status/787355131062943744", "787355131062943744")</f>
        <v>0</v>
      </c>
      <c r="B877" s="2">
        <v>42658.7577083333</v>
      </c>
      <c r="C877">
        <v>32680</v>
      </c>
      <c r="D877">
        <v>12963</v>
      </c>
      <c r="E877" t="s">
        <v>879</v>
      </c>
    </row>
    <row r="878" spans="1:5">
      <c r="A878">
        <f>HYPERLINK("http://www.twitter.com/realDonaldTrump/status/787320961934688257", "787320961934688257")</f>
        <v>0</v>
      </c>
      <c r="B878" s="2">
        <v>42658.6634143519</v>
      </c>
      <c r="C878">
        <v>23953</v>
      </c>
      <c r="D878">
        <v>7445</v>
      </c>
      <c r="E878" t="s">
        <v>880</v>
      </c>
    </row>
    <row r="879" spans="1:5">
      <c r="A879">
        <f>HYPERLINK("http://www.twitter.com/realDonaldTrump/status/787320326573228032", "787320326573228032")</f>
        <v>0</v>
      </c>
      <c r="B879" s="2">
        <v>42658.6616666667</v>
      </c>
      <c r="C879">
        <v>27237</v>
      </c>
      <c r="D879">
        <v>13880</v>
      </c>
      <c r="E879" t="s">
        <v>881</v>
      </c>
    </row>
    <row r="880" spans="1:5">
      <c r="A880">
        <f>HYPERLINK("http://www.twitter.com/realDonaldTrump/status/787319977711923200", "787319977711923200")</f>
        <v>0</v>
      </c>
      <c r="B880" s="2">
        <v>42658.6607060185</v>
      </c>
      <c r="C880">
        <v>0</v>
      </c>
      <c r="D880">
        <v>11746</v>
      </c>
      <c r="E880" t="s">
        <v>882</v>
      </c>
    </row>
    <row r="881" spans="1:5">
      <c r="A881">
        <f>HYPERLINK("http://www.twitter.com/realDonaldTrump/status/787267564405653505", "787267564405653505")</f>
        <v>0</v>
      </c>
      <c r="B881" s="2">
        <v>42658.5160648148</v>
      </c>
      <c r="C881">
        <v>85346</v>
      </c>
      <c r="D881">
        <v>36408</v>
      </c>
      <c r="E881" t="s">
        <v>883</v>
      </c>
    </row>
    <row r="882" spans="1:5">
      <c r="A882">
        <f>HYPERLINK("http://www.twitter.com/realDonaldTrump/status/787266044213723138", "787266044213723138")</f>
        <v>0</v>
      </c>
      <c r="B882" s="2">
        <v>42658.511875</v>
      </c>
      <c r="C882">
        <v>16414</v>
      </c>
      <c r="D882">
        <v>6440</v>
      </c>
      <c r="E882" t="s">
        <v>884</v>
      </c>
    </row>
    <row r="883" spans="1:5">
      <c r="A883">
        <f>HYPERLINK("http://www.twitter.com/realDonaldTrump/status/787258211283918848", "787258211283918848")</f>
        <v>0</v>
      </c>
      <c r="B883" s="2">
        <v>42658.4902546296</v>
      </c>
      <c r="C883">
        <v>79754</v>
      </c>
      <c r="D883">
        <v>30977</v>
      </c>
      <c r="E883" t="s">
        <v>885</v>
      </c>
    </row>
    <row r="884" spans="1:5">
      <c r="A884">
        <f>HYPERLINK("http://www.twitter.com/realDonaldTrump/status/787244543003467776", "787244543003467776")</f>
        <v>0</v>
      </c>
      <c r="B884" s="2">
        <v>42658.4525462963</v>
      </c>
      <c r="C884">
        <v>42398</v>
      </c>
      <c r="D884">
        <v>16233</v>
      </c>
      <c r="E884" t="s">
        <v>886</v>
      </c>
    </row>
    <row r="885" spans="1:5">
      <c r="A885">
        <f>HYPERLINK("http://www.twitter.com/realDonaldTrump/status/787127225581707265", "787127225581707265")</f>
        <v>0</v>
      </c>
      <c r="B885" s="2">
        <v>42658.1288078704</v>
      </c>
      <c r="C885">
        <v>32530</v>
      </c>
      <c r="D885">
        <v>15470</v>
      </c>
      <c r="E885" t="s">
        <v>887</v>
      </c>
    </row>
    <row r="886" spans="1:5">
      <c r="A886">
        <f>HYPERLINK("http://www.twitter.com/realDonaldTrump/status/787099202291634177", "787099202291634177")</f>
        <v>0</v>
      </c>
      <c r="B886" s="2">
        <v>42658.0514814815</v>
      </c>
      <c r="C886">
        <v>33419</v>
      </c>
      <c r="D886">
        <v>12247</v>
      </c>
      <c r="E886" t="s">
        <v>888</v>
      </c>
    </row>
    <row r="887" spans="1:5">
      <c r="A887">
        <f>HYPERLINK("http://www.twitter.com/realDonaldTrump/status/787025537483046913", "787025537483046913")</f>
        <v>0</v>
      </c>
      <c r="B887" s="2">
        <v>42657.8482060185</v>
      </c>
      <c r="C887">
        <v>28253</v>
      </c>
      <c r="D887">
        <v>12738</v>
      </c>
      <c r="E887" t="s">
        <v>889</v>
      </c>
    </row>
    <row r="888" spans="1:5">
      <c r="A888">
        <f>HYPERLINK("http://www.twitter.com/realDonaldTrump/status/787012170630455297", "787012170630455297")</f>
        <v>0</v>
      </c>
      <c r="B888" s="2">
        <v>42657.8113194444</v>
      </c>
      <c r="C888">
        <v>26310</v>
      </c>
      <c r="D888">
        <v>9940</v>
      </c>
      <c r="E888" t="s">
        <v>890</v>
      </c>
    </row>
    <row r="889" spans="1:5">
      <c r="A889">
        <f>HYPERLINK("http://www.twitter.com/realDonaldTrump/status/786950598826532864", "786950598826532864")</f>
        <v>0</v>
      </c>
      <c r="B889" s="2">
        <v>42657.641412037</v>
      </c>
      <c r="C889">
        <v>28181</v>
      </c>
      <c r="D889">
        <v>14639</v>
      </c>
      <c r="E889" t="s">
        <v>891</v>
      </c>
    </row>
    <row r="890" spans="1:5">
      <c r="A890">
        <f>HYPERLINK("http://www.twitter.com/realDonaldTrump/status/786737820669009921", "786737820669009921")</f>
        <v>0</v>
      </c>
      <c r="B890" s="2">
        <v>42657.0542476852</v>
      </c>
      <c r="C890">
        <v>48434</v>
      </c>
      <c r="D890">
        <v>17636</v>
      </c>
      <c r="E890" t="s">
        <v>892</v>
      </c>
    </row>
    <row r="891" spans="1:5">
      <c r="A891">
        <f>HYPERLINK("http://www.twitter.com/realDonaldTrump/status/786716631644897280", "786716631644897280")</f>
        <v>0</v>
      </c>
      <c r="B891" s="2">
        <v>42656.995787037</v>
      </c>
      <c r="C891">
        <v>18056</v>
      </c>
      <c r="D891">
        <v>5739</v>
      </c>
      <c r="E891" t="s">
        <v>893</v>
      </c>
    </row>
    <row r="892" spans="1:5">
      <c r="A892">
        <f>HYPERLINK("http://www.twitter.com/realDonaldTrump/status/786710113163812864", "786710113163812864")</f>
        <v>0</v>
      </c>
      <c r="B892" s="2">
        <v>42656.9778009259</v>
      </c>
      <c r="C892">
        <v>20542</v>
      </c>
      <c r="D892">
        <v>7826</v>
      </c>
      <c r="E892" t="s">
        <v>894</v>
      </c>
    </row>
    <row r="893" spans="1:5">
      <c r="A893">
        <f>HYPERLINK("http://www.twitter.com/realDonaldTrump/status/786709861245526017", "786709861245526017")</f>
        <v>0</v>
      </c>
      <c r="B893" s="2">
        <v>42656.9770949074</v>
      </c>
      <c r="C893">
        <v>0</v>
      </c>
      <c r="D893">
        <v>17043</v>
      </c>
      <c r="E893" t="s">
        <v>895</v>
      </c>
    </row>
    <row r="894" spans="1:5">
      <c r="A894">
        <f>HYPERLINK("http://www.twitter.com/realDonaldTrump/status/786700864752914433", "786700864752914433")</f>
        <v>0</v>
      </c>
      <c r="B894" s="2">
        <v>42656.9522800926</v>
      </c>
      <c r="C894">
        <v>43814</v>
      </c>
      <c r="D894">
        <v>16638</v>
      </c>
      <c r="E894" t="s">
        <v>896</v>
      </c>
    </row>
    <row r="895" spans="1:5">
      <c r="A895">
        <f>HYPERLINK("http://www.twitter.com/realDonaldTrump/status/786691718062235649", "786691718062235649")</f>
        <v>0</v>
      </c>
      <c r="B895" s="2">
        <v>42656.927037037</v>
      </c>
      <c r="C895">
        <v>31476</v>
      </c>
      <c r="D895">
        <v>10567</v>
      </c>
      <c r="E895" t="s">
        <v>897</v>
      </c>
    </row>
    <row r="896" spans="1:5">
      <c r="A896">
        <f>HYPERLINK("http://www.twitter.com/realDonaldTrump/status/786658827429154816", "786658827429154816")</f>
        <v>0</v>
      </c>
      <c r="B896" s="2">
        <v>42656.8362731481</v>
      </c>
      <c r="C896">
        <v>32126</v>
      </c>
      <c r="D896">
        <v>8856</v>
      </c>
      <c r="E896" t="s">
        <v>898</v>
      </c>
    </row>
    <row r="897" spans="1:5">
      <c r="A897">
        <f>HYPERLINK("http://www.twitter.com/realDonaldTrump/status/786589454991499264", "786589454991499264")</f>
        <v>0</v>
      </c>
      <c r="B897" s="2">
        <v>42656.644837963</v>
      </c>
      <c r="C897">
        <v>31510</v>
      </c>
      <c r="D897">
        <v>9681</v>
      </c>
      <c r="E897" t="s">
        <v>899</v>
      </c>
    </row>
    <row r="898" spans="1:5">
      <c r="A898">
        <f>HYPERLINK("http://www.twitter.com/realDonaldTrump/status/786589172911964161", "786589172911964161")</f>
        <v>0</v>
      </c>
      <c r="B898" s="2">
        <v>42656.6440625</v>
      </c>
      <c r="C898">
        <v>32570</v>
      </c>
      <c r="D898">
        <v>14118</v>
      </c>
      <c r="E898" t="s">
        <v>900</v>
      </c>
    </row>
    <row r="899" spans="1:5">
      <c r="A899">
        <f>HYPERLINK("http://www.twitter.com/realDonaldTrump/status/786565208663785476", "786565208663785476")</f>
        <v>0</v>
      </c>
      <c r="B899" s="2">
        <v>42656.5779398148</v>
      </c>
      <c r="C899">
        <v>19111</v>
      </c>
      <c r="D899">
        <v>7327</v>
      </c>
      <c r="E899" t="s">
        <v>901</v>
      </c>
    </row>
    <row r="900" spans="1:5">
      <c r="A900">
        <f>HYPERLINK("http://www.twitter.com/realDonaldTrump/status/786560925113266176", "786560925113266176")</f>
        <v>0</v>
      </c>
      <c r="B900" s="2">
        <v>42656.5661111111</v>
      </c>
      <c r="C900">
        <v>36696</v>
      </c>
      <c r="D900">
        <v>14848</v>
      </c>
      <c r="E900" t="s">
        <v>902</v>
      </c>
    </row>
    <row r="901" spans="1:5">
      <c r="A901">
        <f>HYPERLINK("http://www.twitter.com/realDonaldTrump/status/786554517680693248", "786554517680693248")</f>
        <v>0</v>
      </c>
      <c r="B901" s="2">
        <v>42656.5484375</v>
      </c>
      <c r="C901">
        <v>42447</v>
      </c>
      <c r="D901">
        <v>15770</v>
      </c>
      <c r="E901" t="s">
        <v>903</v>
      </c>
    </row>
    <row r="902" spans="1:5">
      <c r="A902">
        <f>HYPERLINK("http://www.twitter.com/realDonaldTrump/status/786340623804751872", "786340623804751872")</f>
        <v>0</v>
      </c>
      <c r="B902" s="2">
        <v>42655.9581944444</v>
      </c>
      <c r="C902">
        <v>23307</v>
      </c>
      <c r="D902">
        <v>8938</v>
      </c>
      <c r="E902" t="s">
        <v>904</v>
      </c>
    </row>
    <row r="903" spans="1:5">
      <c r="A903">
        <f>HYPERLINK("http://www.twitter.com/realDonaldTrump/status/786310855843512320", "786310855843512320")</f>
        <v>0</v>
      </c>
      <c r="B903" s="2">
        <v>42655.8760532407</v>
      </c>
      <c r="C903">
        <v>27373</v>
      </c>
      <c r="D903">
        <v>11748</v>
      </c>
      <c r="E903" t="s">
        <v>905</v>
      </c>
    </row>
    <row r="904" spans="1:5">
      <c r="A904">
        <f>HYPERLINK("http://www.twitter.com/realDonaldTrump/status/786285509668696065", "786285509668696065")</f>
        <v>0</v>
      </c>
      <c r="B904" s="2">
        <v>42655.8061111111</v>
      </c>
      <c r="C904">
        <v>40307</v>
      </c>
      <c r="D904">
        <v>14879</v>
      </c>
      <c r="E904" t="s">
        <v>906</v>
      </c>
    </row>
    <row r="905" spans="1:5">
      <c r="A905">
        <f>HYPERLINK("http://www.twitter.com/realDonaldTrump/status/786204978629185536", "786204978629185536")</f>
        <v>0</v>
      </c>
      <c r="B905" s="2">
        <v>42655.5838888889</v>
      </c>
      <c r="C905">
        <v>43526</v>
      </c>
      <c r="D905">
        <v>25509</v>
      </c>
      <c r="E905" t="s">
        <v>907</v>
      </c>
    </row>
    <row r="906" spans="1:5">
      <c r="A906">
        <f>HYPERLINK("http://www.twitter.com/realDonaldTrump/status/786201435486781440", "786201435486781440")</f>
        <v>0</v>
      </c>
      <c r="B906" s="2">
        <v>42655.5741087963</v>
      </c>
      <c r="C906">
        <v>52465</v>
      </c>
      <c r="D906">
        <v>20906</v>
      </c>
      <c r="E906" t="s">
        <v>908</v>
      </c>
    </row>
    <row r="907" spans="1:5">
      <c r="A907">
        <f>HYPERLINK("http://www.twitter.com/realDonaldTrump/status/786189446274248704", "786189446274248704")</f>
        <v>0</v>
      </c>
      <c r="B907" s="2">
        <v>42655.5410300926</v>
      </c>
      <c r="C907">
        <v>51261</v>
      </c>
      <c r="D907">
        <v>18738</v>
      </c>
      <c r="E907" t="s">
        <v>909</v>
      </c>
    </row>
    <row r="908" spans="1:5">
      <c r="A908">
        <f>HYPERLINK("http://www.twitter.com/realDonaldTrump/status/786054986534969344", "786054986534969344")</f>
        <v>0</v>
      </c>
      <c r="B908" s="2">
        <v>42655.1699884259</v>
      </c>
      <c r="C908">
        <v>49956</v>
      </c>
      <c r="D908">
        <v>19089</v>
      </c>
      <c r="E908" t="s">
        <v>910</v>
      </c>
    </row>
    <row r="909" spans="1:5">
      <c r="A909">
        <f>HYPERLINK("http://www.twitter.com/realDonaldTrump/status/786007502639038464", "786007502639038464")</f>
        <v>0</v>
      </c>
      <c r="B909" s="2">
        <v>42655.0389583333</v>
      </c>
      <c r="C909">
        <v>19871</v>
      </c>
      <c r="D909">
        <v>7859</v>
      </c>
      <c r="E909" t="s">
        <v>911</v>
      </c>
    </row>
    <row r="910" spans="1:5">
      <c r="A910">
        <f>HYPERLINK("http://www.twitter.com/realDonaldTrump/status/785979396620324865", "785979396620324865")</f>
        <v>0</v>
      </c>
      <c r="B910" s="2">
        <v>42654.961400463</v>
      </c>
      <c r="C910">
        <v>60821</v>
      </c>
      <c r="D910">
        <v>29400</v>
      </c>
      <c r="E910" t="s">
        <v>912</v>
      </c>
    </row>
    <row r="911" spans="1:5">
      <c r="A911">
        <f>HYPERLINK("http://www.twitter.com/realDonaldTrump/status/785957064480653313", "785957064480653313")</f>
        <v>0</v>
      </c>
      <c r="B911" s="2">
        <v>42654.8997800926</v>
      </c>
      <c r="C911">
        <v>31216</v>
      </c>
      <c r="D911">
        <v>12753</v>
      </c>
      <c r="E911" t="s">
        <v>913</v>
      </c>
    </row>
    <row r="912" spans="1:5">
      <c r="A912">
        <f>HYPERLINK("http://www.twitter.com/realDonaldTrump/status/785947219216125952", "785947219216125952")</f>
        <v>0</v>
      </c>
      <c r="B912" s="2">
        <v>42654.8726041667</v>
      </c>
      <c r="C912">
        <v>17443</v>
      </c>
      <c r="D912">
        <v>8209</v>
      </c>
      <c r="E912" t="s">
        <v>914</v>
      </c>
    </row>
    <row r="913" spans="1:5">
      <c r="A913">
        <f>HYPERLINK("http://www.twitter.com/realDonaldTrump/status/785913754194104320", "785913754194104320")</f>
        <v>0</v>
      </c>
      <c r="B913" s="2">
        <v>42654.7802662037</v>
      </c>
      <c r="C913">
        <v>51990</v>
      </c>
      <c r="D913">
        <v>29069</v>
      </c>
      <c r="E913" t="s">
        <v>915</v>
      </c>
    </row>
    <row r="914" spans="1:5">
      <c r="A914">
        <f>HYPERLINK("http://www.twitter.com/realDonaldTrump/status/785910334427058177", "785910334427058177")</f>
        <v>0</v>
      </c>
      <c r="B914" s="2">
        <v>42654.7708217593</v>
      </c>
      <c r="C914">
        <v>22279</v>
      </c>
      <c r="D914">
        <v>13319</v>
      </c>
      <c r="E914" t="s">
        <v>916</v>
      </c>
    </row>
    <row r="915" spans="1:5">
      <c r="A915">
        <f>HYPERLINK("http://www.twitter.com/realDonaldTrump/status/785904113540210688", "785904113540210688")</f>
        <v>0</v>
      </c>
      <c r="B915" s="2">
        <v>42654.7536574074</v>
      </c>
      <c r="C915">
        <v>0</v>
      </c>
      <c r="D915">
        <v>6851</v>
      </c>
      <c r="E915" t="s">
        <v>917</v>
      </c>
    </row>
    <row r="916" spans="1:5">
      <c r="A916">
        <f>HYPERLINK("http://www.twitter.com/realDonaldTrump/status/785898532645502980", "785898532645502980")</f>
        <v>0</v>
      </c>
      <c r="B916" s="2">
        <v>42654.7382638889</v>
      </c>
      <c r="C916">
        <v>57047</v>
      </c>
      <c r="D916">
        <v>23762</v>
      </c>
      <c r="E916" t="s">
        <v>918</v>
      </c>
    </row>
    <row r="917" spans="1:5">
      <c r="A917">
        <f>HYPERLINK("http://www.twitter.com/realDonaldTrump/status/785890855760465920", "785890855760465920")</f>
        <v>0</v>
      </c>
      <c r="B917" s="2">
        <v>42654.7170717593</v>
      </c>
      <c r="C917">
        <v>29018</v>
      </c>
      <c r="D917">
        <v>8276</v>
      </c>
      <c r="E917" t="s">
        <v>919</v>
      </c>
    </row>
    <row r="918" spans="1:5">
      <c r="A918">
        <f>HYPERLINK("http://www.twitter.com/realDonaldTrump/status/785885793340448769", "785885793340448769")</f>
        <v>0</v>
      </c>
      <c r="B918" s="2">
        <v>42654.7031018519</v>
      </c>
      <c r="C918">
        <v>49486</v>
      </c>
      <c r="D918">
        <v>21703</v>
      </c>
      <c r="E918" t="s">
        <v>920</v>
      </c>
    </row>
    <row r="919" spans="1:5">
      <c r="A919">
        <f>HYPERLINK("http://www.twitter.com/realDonaldTrump/status/785863826361184257", "785863826361184257")</f>
        <v>0</v>
      </c>
      <c r="B919" s="2">
        <v>42654.6424884259</v>
      </c>
      <c r="C919">
        <v>31903</v>
      </c>
      <c r="D919">
        <v>19490</v>
      </c>
      <c r="E919" t="s">
        <v>921</v>
      </c>
    </row>
    <row r="920" spans="1:5">
      <c r="A920">
        <f>HYPERLINK("http://www.twitter.com/realDonaldTrump/status/785854588654092290", "785854588654092290")</f>
        <v>0</v>
      </c>
      <c r="B920" s="2">
        <v>42654.6170023148</v>
      </c>
      <c r="C920">
        <v>55923</v>
      </c>
      <c r="D920">
        <v>21809</v>
      </c>
      <c r="E920" t="s">
        <v>922</v>
      </c>
    </row>
    <row r="921" spans="1:5">
      <c r="A921">
        <f>HYPERLINK("http://www.twitter.com/realDonaldTrump/status/785846205750337537", "785846205750337537")</f>
        <v>0</v>
      </c>
      <c r="B921" s="2">
        <v>42654.5938657407</v>
      </c>
      <c r="C921">
        <v>42185</v>
      </c>
      <c r="D921">
        <v>15227</v>
      </c>
      <c r="E921" t="s">
        <v>923</v>
      </c>
    </row>
    <row r="922" spans="1:5">
      <c r="A922">
        <f>HYPERLINK("http://www.twitter.com/realDonaldTrump/status/785842546878578688", "785842546878578688")</f>
        <v>0</v>
      </c>
      <c r="B922" s="2">
        <v>42654.5837731482</v>
      </c>
      <c r="C922">
        <v>65106</v>
      </c>
      <c r="D922">
        <v>24293</v>
      </c>
      <c r="E922" t="s">
        <v>924</v>
      </c>
    </row>
    <row r="923" spans="1:5">
      <c r="A923">
        <f>HYPERLINK("http://www.twitter.com/realDonaldTrump/status/785842270801133568", "785842270801133568")</f>
        <v>0</v>
      </c>
      <c r="B923" s="2">
        <v>42654.5830092593</v>
      </c>
      <c r="C923">
        <v>0</v>
      </c>
      <c r="D923">
        <v>8997</v>
      </c>
      <c r="E923" t="s">
        <v>925</v>
      </c>
    </row>
    <row r="924" spans="1:5">
      <c r="A924">
        <f>HYPERLINK("http://www.twitter.com/realDonaldTrump/status/785828772423561216", "785828772423561216")</f>
        <v>0</v>
      </c>
      <c r="B924" s="2">
        <v>42654.5457523148</v>
      </c>
      <c r="C924">
        <v>42746</v>
      </c>
      <c r="D924">
        <v>16867</v>
      </c>
      <c r="E924" t="s">
        <v>926</v>
      </c>
    </row>
    <row r="925" spans="1:5">
      <c r="A925">
        <f>HYPERLINK("http://www.twitter.com/realDonaldTrump/status/785816454042124288", "785816454042124288")</f>
        <v>0</v>
      </c>
      <c r="B925" s="2">
        <v>42654.5117708333</v>
      </c>
      <c r="C925">
        <v>58874</v>
      </c>
      <c r="D925">
        <v>18345</v>
      </c>
      <c r="E925" t="s">
        <v>927</v>
      </c>
    </row>
    <row r="926" spans="1:5">
      <c r="A926">
        <f>HYPERLINK("http://www.twitter.com/realDonaldTrump/status/785654535234531329", "785654535234531329")</f>
        <v>0</v>
      </c>
      <c r="B926" s="2">
        <v>42654.0649537037</v>
      </c>
      <c r="C926">
        <v>39693</v>
      </c>
      <c r="D926">
        <v>15241</v>
      </c>
      <c r="E926" t="s">
        <v>928</v>
      </c>
    </row>
    <row r="927" spans="1:5">
      <c r="A927">
        <f>HYPERLINK("http://www.twitter.com/realDonaldTrump/status/785608815962099712", "785608815962099712")</f>
        <v>0</v>
      </c>
      <c r="B927" s="2">
        <v>42653.9387962963</v>
      </c>
      <c r="C927">
        <v>39805</v>
      </c>
      <c r="D927">
        <v>20272</v>
      </c>
      <c r="E927" t="s">
        <v>929</v>
      </c>
    </row>
    <row r="928" spans="1:5">
      <c r="A928">
        <f>HYPERLINK("http://www.twitter.com/realDonaldTrump/status/785563318652178432", "785563318652178432")</f>
        <v>0</v>
      </c>
      <c r="B928" s="2">
        <v>42653.8132407407</v>
      </c>
      <c r="C928">
        <v>70143</v>
      </c>
      <c r="D928">
        <v>28983</v>
      </c>
      <c r="E928" t="s">
        <v>930</v>
      </c>
    </row>
    <row r="929" spans="1:5">
      <c r="A929">
        <f>HYPERLINK("http://www.twitter.com/realDonaldTrump/status/785561269571026946", "785561269571026946")</f>
        <v>0</v>
      </c>
      <c r="B929" s="2">
        <v>42653.8075925926</v>
      </c>
      <c r="C929">
        <v>36256</v>
      </c>
      <c r="D929">
        <v>16034</v>
      </c>
      <c r="E929" t="s">
        <v>931</v>
      </c>
    </row>
    <row r="930" spans="1:5">
      <c r="A930">
        <f>HYPERLINK("http://www.twitter.com/realDonaldTrump/status/785559022082658305", "785559022082658305")</f>
        <v>0</v>
      </c>
      <c r="B930" s="2">
        <v>42653.8013888889</v>
      </c>
      <c r="C930">
        <v>34510</v>
      </c>
      <c r="D930">
        <v>14523</v>
      </c>
      <c r="E930" t="s">
        <v>932</v>
      </c>
    </row>
    <row r="931" spans="1:5">
      <c r="A931">
        <f>HYPERLINK("http://www.twitter.com/realDonaldTrump/status/785530928256933888", "785530928256933888")</f>
        <v>0</v>
      </c>
      <c r="B931" s="2">
        <v>42653.7238657407</v>
      </c>
      <c r="C931">
        <v>81554</v>
      </c>
      <c r="D931">
        <v>30347</v>
      </c>
      <c r="E931" t="s">
        <v>933</v>
      </c>
    </row>
    <row r="932" spans="1:5">
      <c r="A932">
        <f>HYPERLINK("http://www.twitter.com/realDonaldTrump/status/785527400528568320", "785527400528568320")</f>
        <v>0</v>
      </c>
      <c r="B932" s="2">
        <v>42653.7141319444</v>
      </c>
      <c r="C932">
        <v>50905</v>
      </c>
      <c r="D932">
        <v>11982</v>
      </c>
      <c r="E932" t="s">
        <v>934</v>
      </c>
    </row>
    <row r="933" spans="1:5">
      <c r="A933">
        <f>HYPERLINK("http://www.twitter.com/realDonaldTrump/status/785323809062653952", "785323809062653952")</f>
        <v>0</v>
      </c>
      <c r="B933" s="2">
        <v>42653.1523263889</v>
      </c>
      <c r="C933">
        <v>56041</v>
      </c>
      <c r="D933">
        <v>16279</v>
      </c>
      <c r="E933" t="s">
        <v>935</v>
      </c>
    </row>
    <row r="934" spans="1:5">
      <c r="A934">
        <f>HYPERLINK("http://www.twitter.com/realDonaldTrump/status/785314249044140036", "785314249044140036")</f>
        <v>0</v>
      </c>
      <c r="B934" s="2">
        <v>42653.1259490741</v>
      </c>
      <c r="C934">
        <v>0</v>
      </c>
      <c r="D934">
        <v>41647</v>
      </c>
      <c r="E934" t="s">
        <v>936</v>
      </c>
    </row>
    <row r="935" spans="1:5">
      <c r="A935">
        <f>HYPERLINK("http://www.twitter.com/realDonaldTrump/status/785312752793452549", "785312752793452549")</f>
        <v>0</v>
      </c>
      <c r="B935" s="2">
        <v>42653.1218171296</v>
      </c>
      <c r="C935">
        <v>0</v>
      </c>
      <c r="D935">
        <v>31654</v>
      </c>
      <c r="E935" t="s">
        <v>937</v>
      </c>
    </row>
    <row r="936" spans="1:5">
      <c r="A936">
        <f>HYPERLINK("http://www.twitter.com/realDonaldTrump/status/785309545971286016", "785309545971286016")</f>
        <v>0</v>
      </c>
      <c r="B936" s="2">
        <v>42653.112962963</v>
      </c>
      <c r="C936">
        <v>0</v>
      </c>
      <c r="D936">
        <v>11204</v>
      </c>
      <c r="E936" t="s">
        <v>938</v>
      </c>
    </row>
    <row r="937" spans="1:5">
      <c r="A937">
        <f>HYPERLINK("http://www.twitter.com/realDonaldTrump/status/785309259508703232", "785309259508703232")</f>
        <v>0</v>
      </c>
      <c r="B937" s="2">
        <v>42653.1121759259</v>
      </c>
      <c r="C937">
        <v>0</v>
      </c>
      <c r="D937">
        <v>7346</v>
      </c>
      <c r="E937" t="s">
        <v>939</v>
      </c>
    </row>
    <row r="938" spans="1:5">
      <c r="A938">
        <f>HYPERLINK("http://www.twitter.com/realDonaldTrump/status/785306782033907713", "785306782033907713")</f>
        <v>0</v>
      </c>
      <c r="B938" s="2">
        <v>42653.1053356481</v>
      </c>
      <c r="C938">
        <v>27162</v>
      </c>
      <c r="D938">
        <v>11855</v>
      </c>
      <c r="E938" t="s">
        <v>940</v>
      </c>
    </row>
    <row r="939" spans="1:5">
      <c r="A939">
        <f>HYPERLINK("http://www.twitter.com/realDonaldTrump/status/785306429250998272", "785306429250998272")</f>
        <v>0</v>
      </c>
      <c r="B939" s="2">
        <v>42653.1043634259</v>
      </c>
      <c r="C939">
        <v>30163</v>
      </c>
      <c r="D939">
        <v>12282</v>
      </c>
      <c r="E939" t="s">
        <v>941</v>
      </c>
    </row>
    <row r="940" spans="1:5">
      <c r="A940">
        <f>HYPERLINK("http://www.twitter.com/realDonaldTrump/status/785306363681529858", "785306363681529858")</f>
        <v>0</v>
      </c>
      <c r="B940" s="2">
        <v>42653.1041898148</v>
      </c>
      <c r="C940">
        <v>0</v>
      </c>
      <c r="D940">
        <v>8107</v>
      </c>
      <c r="E940" t="s">
        <v>942</v>
      </c>
    </row>
    <row r="941" spans="1:5">
      <c r="A941">
        <f>HYPERLINK("http://www.twitter.com/realDonaldTrump/status/785305184360693760", "785305184360693760")</f>
        <v>0</v>
      </c>
      <c r="B941" s="2">
        <v>42653.1009259259</v>
      </c>
      <c r="C941">
        <v>0</v>
      </c>
      <c r="D941">
        <v>12216</v>
      </c>
      <c r="E941" t="s">
        <v>943</v>
      </c>
    </row>
    <row r="942" spans="1:5">
      <c r="A942">
        <f>HYPERLINK("http://www.twitter.com/realDonaldTrump/status/785305114135425024", "785305114135425024")</f>
        <v>0</v>
      </c>
      <c r="B942" s="2">
        <v>42653.1007407407</v>
      </c>
      <c r="C942">
        <v>0</v>
      </c>
      <c r="D942">
        <v>11388</v>
      </c>
      <c r="E942" t="s">
        <v>944</v>
      </c>
    </row>
    <row r="943" spans="1:5">
      <c r="A943">
        <f>HYPERLINK("http://www.twitter.com/realDonaldTrump/status/785305058757971968", "785305058757971968")</f>
        <v>0</v>
      </c>
      <c r="B943" s="2">
        <v>42653.1005787037</v>
      </c>
      <c r="C943">
        <v>24965</v>
      </c>
      <c r="D943">
        <v>9573</v>
      </c>
      <c r="E943" t="s">
        <v>945</v>
      </c>
    </row>
    <row r="944" spans="1:5">
      <c r="A944">
        <f>HYPERLINK("http://www.twitter.com/realDonaldTrump/status/785304970463735808", "785304970463735808")</f>
        <v>0</v>
      </c>
      <c r="B944" s="2">
        <v>42653.1003356481</v>
      </c>
      <c r="C944">
        <v>0</v>
      </c>
      <c r="D944">
        <v>7579</v>
      </c>
      <c r="E944" t="s">
        <v>946</v>
      </c>
    </row>
    <row r="945" spans="1:5">
      <c r="A945">
        <f>HYPERLINK("http://www.twitter.com/realDonaldTrump/status/785304682960916480", "785304682960916480")</f>
        <v>0</v>
      </c>
      <c r="B945" s="2">
        <v>42653.0995486111</v>
      </c>
      <c r="C945">
        <v>10467</v>
      </c>
      <c r="D945">
        <v>4874</v>
      </c>
      <c r="E945" t="s">
        <v>947</v>
      </c>
    </row>
    <row r="946" spans="1:5">
      <c r="A946">
        <f>HYPERLINK("http://www.twitter.com/realDonaldTrump/status/785304300364922880", "785304300364922880")</f>
        <v>0</v>
      </c>
      <c r="B946" s="2">
        <v>42653.0984953704</v>
      </c>
      <c r="C946">
        <v>40360</v>
      </c>
      <c r="D946">
        <v>14804</v>
      </c>
      <c r="E946" t="s">
        <v>948</v>
      </c>
    </row>
    <row r="947" spans="1:5">
      <c r="A947">
        <f>HYPERLINK("http://www.twitter.com/realDonaldTrump/status/785303987700527104", "785303987700527104")</f>
        <v>0</v>
      </c>
      <c r="B947" s="2">
        <v>42653.0976273148</v>
      </c>
      <c r="C947">
        <v>35173</v>
      </c>
      <c r="D947">
        <v>14392</v>
      </c>
      <c r="E947" t="s">
        <v>949</v>
      </c>
    </row>
    <row r="948" spans="1:5">
      <c r="A948">
        <f>HYPERLINK("http://www.twitter.com/realDonaldTrump/status/785303736868560897", "785303736868560897")</f>
        <v>0</v>
      </c>
      <c r="B948" s="2">
        <v>42653.0969328704</v>
      </c>
      <c r="C948">
        <v>26865</v>
      </c>
      <c r="D948">
        <v>9937</v>
      </c>
      <c r="E948" t="s">
        <v>950</v>
      </c>
    </row>
    <row r="949" spans="1:5">
      <c r="A949">
        <f>HYPERLINK("http://www.twitter.com/realDonaldTrump/status/785303494551044097", "785303494551044097")</f>
        <v>0</v>
      </c>
      <c r="B949" s="2">
        <v>42653.0962615741</v>
      </c>
      <c r="C949">
        <v>21903</v>
      </c>
      <c r="D949">
        <v>11750</v>
      </c>
      <c r="E949" t="s">
        <v>951</v>
      </c>
    </row>
    <row r="950" spans="1:5">
      <c r="A950">
        <f>HYPERLINK("http://www.twitter.com/realDonaldTrump/status/785302681560748033", "785302681560748033")</f>
        <v>0</v>
      </c>
      <c r="B950" s="2">
        <v>42653.0940277778</v>
      </c>
      <c r="C950">
        <v>28685</v>
      </c>
      <c r="D950">
        <v>11207</v>
      </c>
      <c r="E950" t="s">
        <v>952</v>
      </c>
    </row>
    <row r="951" spans="1:5">
      <c r="A951">
        <f>HYPERLINK("http://www.twitter.com/realDonaldTrump/status/785302579689512960", "785302579689512960")</f>
        <v>0</v>
      </c>
      <c r="B951" s="2">
        <v>42653.0937384259</v>
      </c>
      <c r="C951">
        <v>0</v>
      </c>
      <c r="D951">
        <v>12805</v>
      </c>
      <c r="E951" t="s">
        <v>953</v>
      </c>
    </row>
    <row r="952" spans="1:5">
      <c r="A952">
        <f>HYPERLINK("http://www.twitter.com/realDonaldTrump/status/785302062083047424", "785302062083047424")</f>
        <v>0</v>
      </c>
      <c r="B952" s="2">
        <v>42653.0923148148</v>
      </c>
      <c r="C952">
        <v>0</v>
      </c>
      <c r="D952">
        <v>5837</v>
      </c>
      <c r="E952" t="s">
        <v>954</v>
      </c>
    </row>
    <row r="953" spans="1:5">
      <c r="A953">
        <f>HYPERLINK("http://www.twitter.com/realDonaldTrump/status/785301987231461378", "785301987231461378")</f>
        <v>0</v>
      </c>
      <c r="B953" s="2">
        <v>42653.0921064815</v>
      </c>
      <c r="C953">
        <v>0</v>
      </c>
      <c r="D953">
        <v>5776</v>
      </c>
      <c r="E953" t="s">
        <v>955</v>
      </c>
    </row>
    <row r="954" spans="1:5">
      <c r="A954">
        <f>HYPERLINK("http://www.twitter.com/realDonaldTrump/status/785301685157695492", "785301685157695492")</f>
        <v>0</v>
      </c>
      <c r="B954" s="2">
        <v>42653.0912731482</v>
      </c>
      <c r="C954">
        <v>17471</v>
      </c>
      <c r="D954">
        <v>7377</v>
      </c>
      <c r="E954" t="s">
        <v>956</v>
      </c>
    </row>
    <row r="955" spans="1:5">
      <c r="A955">
        <f>HYPERLINK("http://www.twitter.com/realDonaldTrump/status/785301286816210944", "785301286816210944")</f>
        <v>0</v>
      </c>
      <c r="B955" s="2">
        <v>42653.0901736111</v>
      </c>
      <c r="C955">
        <v>17811</v>
      </c>
      <c r="D955">
        <v>8934</v>
      </c>
      <c r="E955" t="s">
        <v>957</v>
      </c>
    </row>
    <row r="956" spans="1:5">
      <c r="A956">
        <f>HYPERLINK("http://www.twitter.com/realDonaldTrump/status/785301036290433024", "785301036290433024")</f>
        <v>0</v>
      </c>
      <c r="B956" s="2">
        <v>42653.0894791667</v>
      </c>
      <c r="C956">
        <v>0</v>
      </c>
      <c r="D956">
        <v>3832</v>
      </c>
      <c r="E956" t="s">
        <v>958</v>
      </c>
    </row>
    <row r="957" spans="1:5">
      <c r="A957">
        <f>HYPERLINK("http://www.twitter.com/realDonaldTrump/status/785300814051041281", "785300814051041281")</f>
        <v>0</v>
      </c>
      <c r="B957" s="2">
        <v>42653.0888657407</v>
      </c>
      <c r="C957">
        <v>20745</v>
      </c>
      <c r="D957">
        <v>7847</v>
      </c>
      <c r="E957" t="s">
        <v>959</v>
      </c>
    </row>
    <row r="958" spans="1:5">
      <c r="A958">
        <f>HYPERLINK("http://www.twitter.com/realDonaldTrump/status/785300490716348416", "785300490716348416")</f>
        <v>0</v>
      </c>
      <c r="B958" s="2">
        <v>42653.087974537</v>
      </c>
      <c r="C958">
        <v>22323</v>
      </c>
      <c r="D958">
        <v>11432</v>
      </c>
      <c r="E958" t="s">
        <v>960</v>
      </c>
    </row>
    <row r="959" spans="1:5">
      <c r="A959">
        <f>HYPERLINK("http://www.twitter.com/realDonaldTrump/status/785299565805236224", "785299565805236224")</f>
        <v>0</v>
      </c>
      <c r="B959" s="2">
        <v>42653.0854282407</v>
      </c>
      <c r="C959">
        <v>0</v>
      </c>
      <c r="D959">
        <v>5011</v>
      </c>
      <c r="E959" t="s">
        <v>961</v>
      </c>
    </row>
    <row r="960" spans="1:5">
      <c r="A960">
        <f>HYPERLINK("http://www.twitter.com/realDonaldTrump/status/785299429381242880", "785299429381242880")</f>
        <v>0</v>
      </c>
      <c r="B960" s="2">
        <v>42653.0850462963</v>
      </c>
      <c r="C960">
        <v>0</v>
      </c>
      <c r="D960">
        <v>3945</v>
      </c>
      <c r="E960" t="s">
        <v>962</v>
      </c>
    </row>
    <row r="961" spans="1:5">
      <c r="A961">
        <f>HYPERLINK("http://www.twitter.com/realDonaldTrump/status/785298936751882240", "785298936751882240")</f>
        <v>0</v>
      </c>
      <c r="B961" s="2">
        <v>42653.0836921296</v>
      </c>
      <c r="C961">
        <v>67376</v>
      </c>
      <c r="D961">
        <v>30348</v>
      </c>
      <c r="E961" t="s">
        <v>963</v>
      </c>
    </row>
    <row r="962" spans="1:5">
      <c r="A962">
        <f>HYPERLINK("http://www.twitter.com/realDonaldTrump/status/785298212513021953", "785298212513021953")</f>
        <v>0</v>
      </c>
      <c r="B962" s="2">
        <v>42653.0816898148</v>
      </c>
      <c r="C962">
        <v>16577</v>
      </c>
      <c r="D962">
        <v>5993</v>
      </c>
      <c r="E962" t="s">
        <v>964</v>
      </c>
    </row>
    <row r="963" spans="1:5">
      <c r="A963">
        <f>HYPERLINK("http://www.twitter.com/realDonaldTrump/status/785296681847906306", "785296681847906306")</f>
        <v>0</v>
      </c>
      <c r="B963" s="2">
        <v>42653.0774652778</v>
      </c>
      <c r="C963">
        <v>13652</v>
      </c>
      <c r="D963">
        <v>6928</v>
      </c>
      <c r="E963" t="s">
        <v>965</v>
      </c>
    </row>
    <row r="964" spans="1:5">
      <c r="A964">
        <f>HYPERLINK("http://www.twitter.com/realDonaldTrump/status/785296480672382979", "785296480672382979")</f>
        <v>0</v>
      </c>
      <c r="B964" s="2">
        <v>42653.0769097222</v>
      </c>
      <c r="C964">
        <v>19105</v>
      </c>
      <c r="D964">
        <v>7581</v>
      </c>
      <c r="E964" t="s">
        <v>966</v>
      </c>
    </row>
    <row r="965" spans="1:5">
      <c r="A965">
        <f>HYPERLINK("http://www.twitter.com/realDonaldTrump/status/785296272890662912", "785296272890662912")</f>
        <v>0</v>
      </c>
      <c r="B965" s="2">
        <v>42653.0763425926</v>
      </c>
      <c r="C965">
        <v>33038</v>
      </c>
      <c r="D965">
        <v>11205</v>
      </c>
      <c r="E965" t="s">
        <v>967</v>
      </c>
    </row>
    <row r="966" spans="1:5">
      <c r="A966">
        <f>HYPERLINK("http://www.twitter.com/realDonaldTrump/status/785295867863568384", "785295867863568384")</f>
        <v>0</v>
      </c>
      <c r="B966" s="2">
        <v>42653.0752199074</v>
      </c>
      <c r="C966">
        <v>14207</v>
      </c>
      <c r="D966">
        <v>7135</v>
      </c>
      <c r="E966" t="s">
        <v>968</v>
      </c>
    </row>
    <row r="967" spans="1:5">
      <c r="A967">
        <f>HYPERLINK("http://www.twitter.com/realDonaldTrump/status/785295100674998272", "785295100674998272")</f>
        <v>0</v>
      </c>
      <c r="B967" s="2">
        <v>42653.0731018518</v>
      </c>
      <c r="C967">
        <v>17968</v>
      </c>
      <c r="D967">
        <v>7403</v>
      </c>
      <c r="E967" t="s">
        <v>969</v>
      </c>
    </row>
    <row r="968" spans="1:5">
      <c r="A968">
        <f>HYPERLINK("http://www.twitter.com/realDonaldTrump/status/785294901906903040", "785294901906903040")</f>
        <v>0</v>
      </c>
      <c r="B968" s="2">
        <v>42653.0725578704</v>
      </c>
      <c r="C968">
        <v>0</v>
      </c>
      <c r="D968">
        <v>5096</v>
      </c>
      <c r="E968" t="s">
        <v>970</v>
      </c>
    </row>
    <row r="969" spans="1:5">
      <c r="A969">
        <f>HYPERLINK("http://www.twitter.com/realDonaldTrump/status/785294546326417408", "785294546326417408")</f>
        <v>0</v>
      </c>
      <c r="B969" s="2">
        <v>42653.0715740741</v>
      </c>
      <c r="C969">
        <v>15526</v>
      </c>
      <c r="D969">
        <v>7150</v>
      </c>
      <c r="E969" t="s">
        <v>971</v>
      </c>
    </row>
    <row r="970" spans="1:5">
      <c r="A970">
        <f>HYPERLINK("http://www.twitter.com/realDonaldTrump/status/785293820258902016", "785293820258902016")</f>
        <v>0</v>
      </c>
      <c r="B970" s="2">
        <v>42653.0695717593</v>
      </c>
      <c r="C970">
        <v>0</v>
      </c>
      <c r="D970">
        <v>15112</v>
      </c>
      <c r="E970" t="s">
        <v>972</v>
      </c>
    </row>
    <row r="971" spans="1:5">
      <c r="A971">
        <f>HYPERLINK("http://www.twitter.com/realDonaldTrump/status/785293229390454784", "785293229390454784")</f>
        <v>0</v>
      </c>
      <c r="B971" s="2">
        <v>42653.0679398148</v>
      </c>
      <c r="C971">
        <v>49260</v>
      </c>
      <c r="D971">
        <v>27271</v>
      </c>
      <c r="E971" t="s">
        <v>973</v>
      </c>
    </row>
    <row r="972" spans="1:5">
      <c r="A972">
        <f>HYPERLINK("http://www.twitter.com/realDonaldTrump/status/785292936095424512", "785292936095424512")</f>
        <v>0</v>
      </c>
      <c r="B972" s="2">
        <v>42653.0671296296</v>
      </c>
      <c r="C972">
        <v>0</v>
      </c>
      <c r="D972">
        <v>5196</v>
      </c>
      <c r="E972" t="s">
        <v>974</v>
      </c>
    </row>
    <row r="973" spans="1:5">
      <c r="A973">
        <f>HYPERLINK("http://www.twitter.com/realDonaldTrump/status/785292868915236868", "785292868915236868")</f>
        <v>0</v>
      </c>
      <c r="B973" s="2">
        <v>42653.0669444444</v>
      </c>
      <c r="C973">
        <v>18886</v>
      </c>
      <c r="D973">
        <v>6887</v>
      </c>
      <c r="E973" t="s">
        <v>975</v>
      </c>
    </row>
    <row r="974" spans="1:5">
      <c r="A974">
        <f>HYPERLINK("http://www.twitter.com/realDonaldTrump/status/785292623623905280", "785292623623905280")</f>
        <v>0</v>
      </c>
      <c r="B974" s="2">
        <v>42653.0662731481</v>
      </c>
      <c r="C974">
        <v>20682</v>
      </c>
      <c r="D974">
        <v>6959</v>
      </c>
      <c r="E974" t="s">
        <v>976</v>
      </c>
    </row>
    <row r="975" spans="1:5">
      <c r="A975">
        <f>HYPERLINK("http://www.twitter.com/realDonaldTrump/status/785291804816052225", "785291804816052225")</f>
        <v>0</v>
      </c>
      <c r="B975" s="2">
        <v>42653.0640046296</v>
      </c>
      <c r="C975">
        <v>16494</v>
      </c>
      <c r="D975">
        <v>9030</v>
      </c>
      <c r="E975" t="s">
        <v>977</v>
      </c>
    </row>
    <row r="976" spans="1:5">
      <c r="A976">
        <f>HYPERLINK("http://www.twitter.com/realDonaldTrump/status/785291193194254336", "785291193194254336")</f>
        <v>0</v>
      </c>
      <c r="B976" s="2">
        <v>42653.0623263889</v>
      </c>
      <c r="C976">
        <v>35555</v>
      </c>
      <c r="D976">
        <v>15112</v>
      </c>
      <c r="E976" t="s">
        <v>978</v>
      </c>
    </row>
    <row r="977" spans="1:5">
      <c r="A977">
        <f>HYPERLINK("http://www.twitter.com/realDonaldTrump/status/785291077649588226", "785291077649588226")</f>
        <v>0</v>
      </c>
      <c r="B977" s="2">
        <v>42653.0620023148</v>
      </c>
      <c r="C977">
        <v>32830</v>
      </c>
      <c r="D977">
        <v>13051</v>
      </c>
      <c r="E977" t="s">
        <v>979</v>
      </c>
    </row>
    <row r="978" spans="1:5">
      <c r="A978">
        <f>HYPERLINK("http://www.twitter.com/realDonaldTrump/status/785290904093491200", "785290904093491200")</f>
        <v>0</v>
      </c>
      <c r="B978" s="2">
        <v>42653.0615277778</v>
      </c>
      <c r="C978">
        <v>23275</v>
      </c>
      <c r="D978">
        <v>8208</v>
      </c>
      <c r="E978" t="s">
        <v>980</v>
      </c>
    </row>
    <row r="979" spans="1:5">
      <c r="A979">
        <f>HYPERLINK("http://www.twitter.com/realDonaldTrump/status/785290517835841536", "785290517835841536")</f>
        <v>0</v>
      </c>
      <c r="B979" s="2">
        <v>42653.060462963</v>
      </c>
      <c r="C979">
        <v>40455</v>
      </c>
      <c r="D979">
        <v>15576</v>
      </c>
      <c r="E979" t="s">
        <v>981</v>
      </c>
    </row>
    <row r="980" spans="1:5">
      <c r="A980">
        <f>HYPERLINK("http://www.twitter.com/realDonaldTrump/status/785289956541554689", "785289956541554689")</f>
        <v>0</v>
      </c>
      <c r="B980" s="2">
        <v>42653.058912037</v>
      </c>
      <c r="C980">
        <v>0</v>
      </c>
      <c r="D980">
        <v>6933</v>
      </c>
      <c r="E980" t="s">
        <v>982</v>
      </c>
    </row>
    <row r="981" spans="1:5">
      <c r="A981">
        <f>HYPERLINK("http://www.twitter.com/realDonaldTrump/status/785289945837629440", "785289945837629440")</f>
        <v>0</v>
      </c>
      <c r="B981" s="2">
        <v>42653.0588773148</v>
      </c>
      <c r="C981">
        <v>9245</v>
      </c>
      <c r="D981">
        <v>3701</v>
      </c>
      <c r="E981" t="s">
        <v>983</v>
      </c>
    </row>
    <row r="982" spans="1:5">
      <c r="A982">
        <f>HYPERLINK("http://www.twitter.com/realDonaldTrump/status/785289587157504000", "785289587157504000")</f>
        <v>0</v>
      </c>
      <c r="B982" s="2">
        <v>42653.0578935185</v>
      </c>
      <c r="C982">
        <v>37589</v>
      </c>
      <c r="D982">
        <v>14079</v>
      </c>
      <c r="E982" t="s">
        <v>984</v>
      </c>
    </row>
    <row r="983" spans="1:5">
      <c r="A983">
        <f>HYPERLINK("http://www.twitter.com/realDonaldTrump/status/785287884718895104", "785287884718895104")</f>
        <v>0</v>
      </c>
      <c r="B983" s="2">
        <v>42653.0531944444</v>
      </c>
      <c r="C983">
        <v>0</v>
      </c>
      <c r="D983">
        <v>4634</v>
      </c>
      <c r="E983" t="s">
        <v>985</v>
      </c>
    </row>
    <row r="984" spans="1:5">
      <c r="A984">
        <f>HYPERLINK("http://www.twitter.com/realDonaldTrump/status/785286990153543681", "785286990153543681")</f>
        <v>0</v>
      </c>
      <c r="B984" s="2">
        <v>42653.0507291667</v>
      </c>
      <c r="C984">
        <v>24108</v>
      </c>
      <c r="D984">
        <v>8227</v>
      </c>
      <c r="E984" t="s">
        <v>986</v>
      </c>
    </row>
    <row r="985" spans="1:5">
      <c r="A985">
        <f>HYPERLINK("http://www.twitter.com/realDonaldTrump/status/785286690730631168", "785286690730631168")</f>
        <v>0</v>
      </c>
      <c r="B985" s="2">
        <v>42653.0498958333</v>
      </c>
      <c r="C985">
        <v>0</v>
      </c>
      <c r="D985">
        <v>4656</v>
      </c>
      <c r="E985" t="s">
        <v>987</v>
      </c>
    </row>
    <row r="986" spans="1:5">
      <c r="A986">
        <f>HYPERLINK("http://www.twitter.com/realDonaldTrump/status/785286584950198272", "785286584950198272")</f>
        <v>0</v>
      </c>
      <c r="B986" s="2">
        <v>42653.0496064815</v>
      </c>
      <c r="C986">
        <v>14500</v>
      </c>
      <c r="D986">
        <v>5783</v>
      </c>
      <c r="E986" t="s">
        <v>988</v>
      </c>
    </row>
    <row r="987" spans="1:5">
      <c r="A987">
        <f>HYPERLINK("http://www.twitter.com/realDonaldTrump/status/785285910518640641", "785285910518640641")</f>
        <v>0</v>
      </c>
      <c r="B987" s="2">
        <v>42653.0477430556</v>
      </c>
      <c r="C987">
        <v>0</v>
      </c>
      <c r="D987">
        <v>2932</v>
      </c>
      <c r="E987" t="s">
        <v>989</v>
      </c>
    </row>
    <row r="988" spans="1:5">
      <c r="A988">
        <f>HYPERLINK("http://www.twitter.com/realDonaldTrump/status/785274843042230280", "785274843042230280")</f>
        <v>0</v>
      </c>
      <c r="B988" s="2">
        <v>42653.0171990741</v>
      </c>
      <c r="C988">
        <v>41234</v>
      </c>
      <c r="D988">
        <v>12615</v>
      </c>
      <c r="E988" t="s">
        <v>990</v>
      </c>
    </row>
    <row r="989" spans="1:5">
      <c r="A989">
        <f>HYPERLINK("http://www.twitter.com/realDonaldTrump/status/785260151099961345", "785260151099961345")</f>
        <v>0</v>
      </c>
      <c r="B989" s="2">
        <v>42652.9766666667</v>
      </c>
      <c r="C989">
        <v>13313</v>
      </c>
      <c r="D989">
        <v>4519</v>
      </c>
      <c r="E989" t="s">
        <v>991</v>
      </c>
    </row>
    <row r="990" spans="1:5">
      <c r="A990">
        <f>HYPERLINK("http://www.twitter.com/realDonaldTrump/status/785245066881216512", "785245066881216512")</f>
        <v>0</v>
      </c>
      <c r="B990" s="2">
        <v>42652.9350347222</v>
      </c>
      <c r="C990">
        <v>17198</v>
      </c>
      <c r="D990">
        <v>7089</v>
      </c>
      <c r="E990" t="s">
        <v>992</v>
      </c>
    </row>
    <row r="991" spans="1:5">
      <c r="A991">
        <f>HYPERLINK("http://www.twitter.com/realDonaldTrump/status/785167148150820864", "785167148150820864")</f>
        <v>0</v>
      </c>
      <c r="B991" s="2">
        <v>42652.7200231481</v>
      </c>
      <c r="C991">
        <v>23808</v>
      </c>
      <c r="D991">
        <v>13875</v>
      </c>
      <c r="E991" t="s">
        <v>993</v>
      </c>
    </row>
    <row r="992" spans="1:5">
      <c r="A992">
        <f>HYPERLINK("http://www.twitter.com/realDonaldTrump/status/785148463868735488", "785148463868735488")</f>
        <v>0</v>
      </c>
      <c r="B992" s="2">
        <v>42652.6684606482</v>
      </c>
      <c r="C992">
        <v>22546</v>
      </c>
      <c r="D992">
        <v>9982</v>
      </c>
      <c r="E992" t="s">
        <v>994</v>
      </c>
    </row>
    <row r="993" spans="1:5">
      <c r="A993">
        <f>HYPERLINK("http://www.twitter.com/realDonaldTrump/status/785120729364922369", "785120729364922369")</f>
        <v>0</v>
      </c>
      <c r="B993" s="2">
        <v>42652.5919328704</v>
      </c>
      <c r="C993">
        <v>50765</v>
      </c>
      <c r="D993">
        <v>18442</v>
      </c>
      <c r="E993" t="s">
        <v>995</v>
      </c>
    </row>
    <row r="994" spans="1:5">
      <c r="A994">
        <f>HYPERLINK("http://www.twitter.com/realDonaldTrump/status/785118941974757376", "785118941974757376")</f>
        <v>0</v>
      </c>
      <c r="B994" s="2">
        <v>42652.5870023148</v>
      </c>
      <c r="C994">
        <v>23369</v>
      </c>
      <c r="D994">
        <v>8183</v>
      </c>
      <c r="E994" t="s">
        <v>996</v>
      </c>
    </row>
    <row r="995" spans="1:5">
      <c r="A995">
        <f>HYPERLINK("http://www.twitter.com/realDonaldTrump/status/785118735543767040", "785118735543767040")</f>
        <v>0</v>
      </c>
      <c r="B995" s="2">
        <v>42652.5864351852</v>
      </c>
      <c r="C995">
        <v>27902</v>
      </c>
      <c r="D995">
        <v>10296</v>
      </c>
      <c r="E995" t="s">
        <v>997</v>
      </c>
    </row>
    <row r="996" spans="1:5">
      <c r="A996">
        <f>HYPERLINK("http://www.twitter.com/realDonaldTrump/status/785118470753095680", "785118470753095680")</f>
        <v>0</v>
      </c>
      <c r="B996" s="2">
        <v>42652.5856944444</v>
      </c>
      <c r="C996">
        <v>28333</v>
      </c>
      <c r="D996">
        <v>10412</v>
      </c>
      <c r="E996" t="s">
        <v>998</v>
      </c>
    </row>
    <row r="997" spans="1:5">
      <c r="A997">
        <f>HYPERLINK("http://www.twitter.com/realDonaldTrump/status/785118235452665856", "785118235452665856")</f>
        <v>0</v>
      </c>
      <c r="B997" s="2">
        <v>42652.5850462963</v>
      </c>
      <c r="C997">
        <v>30494</v>
      </c>
      <c r="D997">
        <v>11220</v>
      </c>
      <c r="E997" t="s">
        <v>999</v>
      </c>
    </row>
    <row r="998" spans="1:5">
      <c r="A998">
        <f>HYPERLINK("http://www.twitter.com/realDonaldTrump/status/785118003696373762", "785118003696373762")</f>
        <v>0</v>
      </c>
      <c r="B998" s="2">
        <v>42652.5844097222</v>
      </c>
      <c r="C998">
        <v>26005</v>
      </c>
      <c r="D998">
        <v>10392</v>
      </c>
      <c r="E998" t="s">
        <v>1000</v>
      </c>
    </row>
    <row r="999" spans="1:5">
      <c r="A999">
        <f>HYPERLINK("http://www.twitter.com/realDonaldTrump/status/785106800572063744", "785106800572063744")</f>
        <v>0</v>
      </c>
      <c r="B999" s="2">
        <v>42652.5534953704</v>
      </c>
      <c r="C999">
        <v>25424</v>
      </c>
      <c r="D999">
        <v>16694</v>
      </c>
      <c r="E999" t="s">
        <v>1001</v>
      </c>
    </row>
    <row r="1000" spans="1:5">
      <c r="A1000">
        <f>HYPERLINK("http://www.twitter.com/realDonaldTrump/status/785102728334893056", "785102728334893056")</f>
        <v>0</v>
      </c>
      <c r="B1000" s="2">
        <v>42652.5422569444</v>
      </c>
      <c r="C1000">
        <v>57377</v>
      </c>
      <c r="D1000">
        <v>18309</v>
      </c>
      <c r="E1000" t="s">
        <v>1002</v>
      </c>
    </row>
    <row r="1001" spans="1:5">
      <c r="A1001">
        <f>HYPERLINK("http://www.twitter.com/realDonaldTrump/status/784916001783709696", "784916001783709696")</f>
        <v>0</v>
      </c>
      <c r="B1001" s="2">
        <v>42652.0269907407</v>
      </c>
      <c r="C1001">
        <v>52820</v>
      </c>
      <c r="D1001">
        <v>15483</v>
      </c>
      <c r="E1001" t="s">
        <v>1003</v>
      </c>
    </row>
    <row r="1002" spans="1:5">
      <c r="A1002">
        <f>HYPERLINK("http://www.twitter.com/realDonaldTrump/status/784886380237316098", "784886380237316098")</f>
        <v>0</v>
      </c>
      <c r="B1002" s="2">
        <v>42651.9452546296</v>
      </c>
      <c r="C1002">
        <v>0</v>
      </c>
      <c r="D1002">
        <v>37191</v>
      </c>
      <c r="E1002" t="s">
        <v>1004</v>
      </c>
    </row>
    <row r="1003" spans="1:5">
      <c r="A1003">
        <f>HYPERLINK("http://www.twitter.com/realDonaldTrump/status/784886214931390465", "784886214931390465")</f>
        <v>0</v>
      </c>
      <c r="B1003" s="2">
        <v>42651.9447916667</v>
      </c>
      <c r="C1003">
        <v>0</v>
      </c>
      <c r="D1003">
        <v>37253</v>
      </c>
      <c r="E1003" t="s">
        <v>1005</v>
      </c>
    </row>
    <row r="1004" spans="1:5">
      <c r="A1004">
        <f>HYPERLINK("http://www.twitter.com/realDonaldTrump/status/784840992734064641", "784840992734064641")</f>
        <v>0</v>
      </c>
      <c r="B1004" s="2">
        <v>42651.82</v>
      </c>
      <c r="C1004">
        <v>106015</v>
      </c>
      <c r="D1004">
        <v>40941</v>
      </c>
      <c r="E1004" t="s">
        <v>1006</v>
      </c>
    </row>
    <row r="1005" spans="1:5">
      <c r="A1005">
        <f>HYPERLINK("http://www.twitter.com/realDonaldTrump/status/784767399442653184", "784767399442653184")</f>
        <v>0</v>
      </c>
      <c r="B1005" s="2">
        <v>42651.6169212963</v>
      </c>
      <c r="C1005">
        <v>62458</v>
      </c>
      <c r="D1005">
        <v>22260</v>
      </c>
      <c r="E1005" t="s">
        <v>1007</v>
      </c>
    </row>
    <row r="1006" spans="1:5">
      <c r="A1006">
        <f>HYPERLINK("http://www.twitter.com/realDonaldTrump/status/784609194234306560", "784609194234306560")</f>
        <v>0</v>
      </c>
      <c r="B1006" s="2">
        <v>42651.1803587963</v>
      </c>
      <c r="C1006">
        <v>120753</v>
      </c>
      <c r="D1006">
        <v>52157</v>
      </c>
      <c r="E1006" t="s">
        <v>1008</v>
      </c>
    </row>
    <row r="1007" spans="1:5">
      <c r="A1007">
        <f>HYPERLINK("http://www.twitter.com/realDonaldTrump/status/784227699321634817", "784227699321634817")</f>
        <v>0</v>
      </c>
      <c r="B1007" s="2">
        <v>42650.1276388889</v>
      </c>
      <c r="C1007">
        <v>53064</v>
      </c>
      <c r="D1007">
        <v>17410</v>
      </c>
      <c r="E1007" t="s">
        <v>1009</v>
      </c>
    </row>
    <row r="1008" spans="1:5">
      <c r="A1008">
        <f>HYPERLINK("http://www.twitter.com/realDonaldTrump/status/784216198259085312", "784216198259085312")</f>
        <v>0</v>
      </c>
      <c r="B1008" s="2">
        <v>42650.0959027778</v>
      </c>
      <c r="C1008">
        <v>20492</v>
      </c>
      <c r="D1008">
        <v>6841</v>
      </c>
      <c r="E1008" t="s">
        <v>1010</v>
      </c>
    </row>
    <row r="1009" spans="1:5">
      <c r="A1009">
        <f>HYPERLINK("http://www.twitter.com/realDonaldTrump/status/784164902780882944", "784164902780882944")</f>
        <v>0</v>
      </c>
      <c r="B1009" s="2">
        <v>42649.9543518519</v>
      </c>
      <c r="C1009">
        <v>29260</v>
      </c>
      <c r="D1009">
        <v>12929</v>
      </c>
      <c r="E1009" t="s">
        <v>1011</v>
      </c>
    </row>
    <row r="1010" spans="1:5">
      <c r="A1010">
        <f>HYPERLINK("http://www.twitter.com/realDonaldTrump/status/784150639689490432", "784150639689490432")</f>
        <v>0</v>
      </c>
      <c r="B1010" s="2">
        <v>42649.9149884259</v>
      </c>
      <c r="C1010">
        <v>28378</v>
      </c>
      <c r="D1010">
        <v>11024</v>
      </c>
      <c r="E1010" t="s">
        <v>1012</v>
      </c>
    </row>
    <row r="1011" spans="1:5">
      <c r="A1011">
        <f>HYPERLINK("http://www.twitter.com/realDonaldTrump/status/784149222870351872", "784149222870351872")</f>
        <v>0</v>
      </c>
      <c r="B1011" s="2">
        <v>42649.911087963</v>
      </c>
      <c r="C1011">
        <v>19937</v>
      </c>
      <c r="D1011">
        <v>9092</v>
      </c>
      <c r="E1011" t="s">
        <v>1013</v>
      </c>
    </row>
    <row r="1012" spans="1:5">
      <c r="A1012">
        <f>HYPERLINK("http://www.twitter.com/realDonaldTrump/status/784133078969090049", "784133078969090049")</f>
        <v>0</v>
      </c>
      <c r="B1012" s="2">
        <v>42649.8665393519</v>
      </c>
      <c r="C1012">
        <v>23629</v>
      </c>
      <c r="D1012">
        <v>10961</v>
      </c>
      <c r="E1012" t="s">
        <v>1014</v>
      </c>
    </row>
    <row r="1013" spans="1:5">
      <c r="A1013">
        <f>HYPERLINK("http://www.twitter.com/realDonaldTrump/status/784132532073881600", "784132532073881600")</f>
        <v>0</v>
      </c>
      <c r="B1013" s="2">
        <v>42649.8650231482</v>
      </c>
      <c r="C1013">
        <v>13903</v>
      </c>
      <c r="D1013">
        <v>7825</v>
      </c>
      <c r="E1013" t="s">
        <v>1015</v>
      </c>
    </row>
    <row r="1014" spans="1:5">
      <c r="A1014">
        <f>HYPERLINK("http://www.twitter.com/realDonaldTrump/status/784101360736370688", "784101360736370688")</f>
        <v>0</v>
      </c>
      <c r="B1014" s="2">
        <v>42649.7790046296</v>
      </c>
      <c r="C1014">
        <v>0</v>
      </c>
      <c r="D1014">
        <v>3395</v>
      </c>
      <c r="E1014" t="s">
        <v>1016</v>
      </c>
    </row>
    <row r="1015" spans="1:5">
      <c r="A1015">
        <f>HYPERLINK("http://www.twitter.com/realDonaldTrump/status/784100832736382978", "784100832736382978")</f>
        <v>0</v>
      </c>
      <c r="B1015" s="2">
        <v>42649.7775578704</v>
      </c>
      <c r="C1015">
        <v>0</v>
      </c>
      <c r="D1015">
        <v>4421</v>
      </c>
      <c r="E1015" t="s">
        <v>1017</v>
      </c>
    </row>
    <row r="1016" spans="1:5">
      <c r="A1016">
        <f>HYPERLINK("http://www.twitter.com/realDonaldTrump/status/783885674575491073", "783885674575491073")</f>
        <v>0</v>
      </c>
      <c r="B1016" s="2">
        <v>42649.1838310185</v>
      </c>
      <c r="C1016">
        <v>53381</v>
      </c>
      <c r="D1016">
        <v>17395</v>
      </c>
      <c r="E1016" t="s">
        <v>1018</v>
      </c>
    </row>
    <row r="1017" spans="1:5">
      <c r="A1017">
        <f>HYPERLINK("http://www.twitter.com/realDonaldTrump/status/783881566510546944", "783881566510546944")</f>
        <v>0</v>
      </c>
      <c r="B1017" s="2">
        <v>42649.1724884259</v>
      </c>
      <c r="C1017">
        <v>31331</v>
      </c>
      <c r="D1017">
        <v>12234</v>
      </c>
      <c r="E1017" t="s">
        <v>1019</v>
      </c>
    </row>
    <row r="1018" spans="1:5">
      <c r="A1018">
        <f>HYPERLINK("http://www.twitter.com/realDonaldTrump/status/783880036172623873", "783880036172623873")</f>
        <v>0</v>
      </c>
      <c r="B1018" s="2">
        <v>42649.168275463</v>
      </c>
      <c r="C1018">
        <v>19327</v>
      </c>
      <c r="D1018">
        <v>8721</v>
      </c>
      <c r="E1018" t="s">
        <v>1020</v>
      </c>
    </row>
    <row r="1019" spans="1:5">
      <c r="A1019">
        <f>HYPERLINK("http://www.twitter.com/realDonaldTrump/status/783847514088824832", "783847514088824832")</f>
        <v>0</v>
      </c>
      <c r="B1019" s="2">
        <v>42649.0785300926</v>
      </c>
      <c r="C1019">
        <v>20848</v>
      </c>
      <c r="D1019">
        <v>9112</v>
      </c>
      <c r="E1019" t="s">
        <v>1021</v>
      </c>
    </row>
    <row r="1020" spans="1:5">
      <c r="A1020">
        <f>HYPERLINK("http://www.twitter.com/realDonaldTrump/status/783842408949841921", "783842408949841921")</f>
        <v>0</v>
      </c>
      <c r="B1020" s="2">
        <v>42649.0644444444</v>
      </c>
      <c r="C1020">
        <v>20240</v>
      </c>
      <c r="D1020">
        <v>8869</v>
      </c>
      <c r="E1020" t="s">
        <v>1022</v>
      </c>
    </row>
    <row r="1021" spans="1:5">
      <c r="A1021">
        <f>HYPERLINK("http://www.twitter.com/realDonaldTrump/status/783838014363623424", "783838014363623424")</f>
        <v>0</v>
      </c>
      <c r="B1021" s="2">
        <v>42649.0523148148</v>
      </c>
      <c r="C1021">
        <v>18890</v>
      </c>
      <c r="D1021">
        <v>7056</v>
      </c>
      <c r="E1021" t="s">
        <v>1023</v>
      </c>
    </row>
    <row r="1022" spans="1:5">
      <c r="A1022">
        <f>HYPERLINK("http://www.twitter.com/realDonaldTrump/status/783808918824681472", "783808918824681472")</f>
        <v>0</v>
      </c>
      <c r="B1022" s="2">
        <v>42648.972025463</v>
      </c>
      <c r="C1022">
        <v>29517</v>
      </c>
      <c r="D1022">
        <v>13545</v>
      </c>
      <c r="E1022" t="s">
        <v>1024</v>
      </c>
    </row>
    <row r="1023" spans="1:5">
      <c r="A1023">
        <f>HYPERLINK("http://www.twitter.com/realDonaldTrump/status/783803924050350080", "783803924050350080")</f>
        <v>0</v>
      </c>
      <c r="B1023" s="2">
        <v>42648.9582407407</v>
      </c>
      <c r="C1023">
        <v>17454</v>
      </c>
      <c r="D1023">
        <v>7024</v>
      </c>
      <c r="E1023" t="s">
        <v>1025</v>
      </c>
    </row>
    <row r="1024" spans="1:5">
      <c r="A1024">
        <f>HYPERLINK("http://www.twitter.com/realDonaldTrump/status/783803377977135104", "783803377977135104")</f>
        <v>0</v>
      </c>
      <c r="B1024" s="2">
        <v>42648.9567361111</v>
      </c>
      <c r="C1024">
        <v>19392</v>
      </c>
      <c r="D1024">
        <v>8107</v>
      </c>
      <c r="E1024" t="s">
        <v>1026</v>
      </c>
    </row>
    <row r="1025" spans="1:5">
      <c r="A1025">
        <f>HYPERLINK("http://www.twitter.com/realDonaldTrump/status/783789606663778304", "783789606663778304")</f>
        <v>0</v>
      </c>
      <c r="B1025" s="2">
        <v>42648.9187268519</v>
      </c>
      <c r="C1025">
        <v>22766</v>
      </c>
      <c r="D1025">
        <v>9776</v>
      </c>
      <c r="E1025" t="s">
        <v>1027</v>
      </c>
    </row>
    <row r="1026" spans="1:5">
      <c r="A1026">
        <f>HYPERLINK("http://www.twitter.com/realDonaldTrump/status/783779512425119744", "783779512425119744")</f>
        <v>0</v>
      </c>
      <c r="B1026" s="2">
        <v>42648.8908796296</v>
      </c>
      <c r="C1026">
        <v>30361</v>
      </c>
      <c r="D1026">
        <v>10681</v>
      </c>
      <c r="E1026" t="s">
        <v>1028</v>
      </c>
    </row>
    <row r="1027" spans="1:5">
      <c r="A1027">
        <f>HYPERLINK("http://www.twitter.com/realDonaldTrump/status/783778741646270464", "783778741646270464")</f>
        <v>0</v>
      </c>
      <c r="B1027" s="2">
        <v>42648.88875</v>
      </c>
      <c r="C1027">
        <v>41073</v>
      </c>
      <c r="D1027">
        <v>16485</v>
      </c>
      <c r="E1027" t="s">
        <v>1029</v>
      </c>
    </row>
    <row r="1028" spans="1:5">
      <c r="A1028">
        <f>HYPERLINK("http://www.twitter.com/realDonaldTrump/status/783776670339641344", "783776670339641344")</f>
        <v>0</v>
      </c>
      <c r="B1028" s="2">
        <v>42648.8830324074</v>
      </c>
      <c r="C1028">
        <v>15378</v>
      </c>
      <c r="D1028">
        <v>5992</v>
      </c>
      <c r="E1028" t="s">
        <v>1030</v>
      </c>
    </row>
    <row r="1029" spans="1:5">
      <c r="A1029">
        <f>HYPERLINK("http://www.twitter.com/realDonaldTrump/status/783741835420110848", "783741835420110848")</f>
        <v>0</v>
      </c>
      <c r="B1029" s="2">
        <v>42648.7869097222</v>
      </c>
      <c r="C1029">
        <v>15619</v>
      </c>
      <c r="D1029">
        <v>6140</v>
      </c>
      <c r="E1029" t="s">
        <v>1031</v>
      </c>
    </row>
    <row r="1030" spans="1:5">
      <c r="A1030">
        <f>HYPERLINK("http://www.twitter.com/realDonaldTrump/status/783738595987169280", "783738595987169280")</f>
        <v>0</v>
      </c>
      <c r="B1030" s="2">
        <v>42648.777974537</v>
      </c>
      <c r="C1030">
        <v>19430</v>
      </c>
      <c r="D1030">
        <v>7519</v>
      </c>
      <c r="E1030" t="s">
        <v>1032</v>
      </c>
    </row>
    <row r="1031" spans="1:5">
      <c r="A1031">
        <f>HYPERLINK("http://www.twitter.com/realDonaldTrump/status/783660227530862592", "783660227530862592")</f>
        <v>0</v>
      </c>
      <c r="B1031" s="2">
        <v>42648.561712963</v>
      </c>
      <c r="C1031">
        <v>49231</v>
      </c>
      <c r="D1031">
        <v>13326</v>
      </c>
      <c r="E1031" t="s">
        <v>1033</v>
      </c>
    </row>
    <row r="1032" spans="1:5">
      <c r="A1032">
        <f>HYPERLINK("http://www.twitter.com/realDonaldTrump/status/783495937708527616", "783495937708527616")</f>
        <v>0</v>
      </c>
      <c r="B1032" s="2">
        <v>42648.1083564815</v>
      </c>
      <c r="C1032">
        <v>120670</v>
      </c>
      <c r="D1032">
        <v>35965</v>
      </c>
      <c r="E1032" t="s">
        <v>1034</v>
      </c>
    </row>
    <row r="1033" spans="1:5">
      <c r="A1033">
        <f>HYPERLINK("http://www.twitter.com/realDonaldTrump/status/783494972213383168", "783494972213383168")</f>
        <v>0</v>
      </c>
      <c r="B1033" s="2">
        <v>42648.1056944444</v>
      </c>
      <c r="C1033">
        <v>0</v>
      </c>
      <c r="D1033">
        <v>13366</v>
      </c>
      <c r="E1033" t="s">
        <v>1035</v>
      </c>
    </row>
    <row r="1034" spans="1:5">
      <c r="A1034">
        <f>HYPERLINK("http://www.twitter.com/realDonaldTrump/status/783494760824614912", "783494760824614912")</f>
        <v>0</v>
      </c>
      <c r="B1034" s="2">
        <v>42648.1051157407</v>
      </c>
      <c r="C1034">
        <v>0</v>
      </c>
      <c r="D1034">
        <v>15302</v>
      </c>
      <c r="E1034" t="s">
        <v>1036</v>
      </c>
    </row>
    <row r="1035" spans="1:5">
      <c r="A1035">
        <f>HYPERLINK("http://www.twitter.com/realDonaldTrump/status/783494665232191488", "783494665232191488")</f>
        <v>0</v>
      </c>
      <c r="B1035" s="2">
        <v>42648.104849537</v>
      </c>
      <c r="C1035">
        <v>0</v>
      </c>
      <c r="D1035">
        <v>5882</v>
      </c>
      <c r="E1035" t="s">
        <v>1037</v>
      </c>
    </row>
    <row r="1036" spans="1:5">
      <c r="A1036">
        <f>HYPERLINK("http://www.twitter.com/realDonaldTrump/status/783494014276218884", "783494014276218884")</f>
        <v>0</v>
      </c>
      <c r="B1036" s="2">
        <v>42648.1030555556</v>
      </c>
      <c r="C1036">
        <v>32848</v>
      </c>
      <c r="D1036">
        <v>10193</v>
      </c>
      <c r="E1036" t="s">
        <v>1038</v>
      </c>
    </row>
    <row r="1037" spans="1:5">
      <c r="A1037">
        <f>HYPERLINK("http://www.twitter.com/realDonaldTrump/status/783493739486416896", "783493739486416896")</f>
        <v>0</v>
      </c>
      <c r="B1037" s="2">
        <v>42648.1022916667</v>
      </c>
      <c r="C1037">
        <v>31028</v>
      </c>
      <c r="D1037">
        <v>9406</v>
      </c>
      <c r="E1037" t="s">
        <v>1039</v>
      </c>
    </row>
    <row r="1038" spans="1:5">
      <c r="A1038">
        <f>HYPERLINK("http://www.twitter.com/realDonaldTrump/status/783493582803972096", "783493582803972096")</f>
        <v>0</v>
      </c>
      <c r="B1038" s="2">
        <v>42648.1018634259</v>
      </c>
      <c r="C1038">
        <v>16958</v>
      </c>
      <c r="D1038">
        <v>6608</v>
      </c>
      <c r="E1038" t="s">
        <v>1040</v>
      </c>
    </row>
    <row r="1039" spans="1:5">
      <c r="A1039">
        <f>HYPERLINK("http://www.twitter.com/realDonaldTrump/status/783492660128419840", "783492660128419840")</f>
        <v>0</v>
      </c>
      <c r="B1039" s="2">
        <v>42648.0993171296</v>
      </c>
      <c r="C1039">
        <v>19117</v>
      </c>
      <c r="D1039">
        <v>6052</v>
      </c>
      <c r="E1039" t="s">
        <v>1041</v>
      </c>
    </row>
    <row r="1040" spans="1:5">
      <c r="A1040">
        <f>HYPERLINK("http://www.twitter.com/realDonaldTrump/status/783492506319069184", "783492506319069184")</f>
        <v>0</v>
      </c>
      <c r="B1040" s="2">
        <v>42648.0988888889</v>
      </c>
      <c r="C1040">
        <v>22791</v>
      </c>
      <c r="D1040">
        <v>8903</v>
      </c>
      <c r="E1040" t="s">
        <v>1042</v>
      </c>
    </row>
    <row r="1041" spans="1:5">
      <c r="A1041">
        <f>HYPERLINK("http://www.twitter.com/realDonaldTrump/status/783491875885813761", "783491875885813761")</f>
        <v>0</v>
      </c>
      <c r="B1041" s="2">
        <v>42648.0971527778</v>
      </c>
      <c r="C1041">
        <v>18667</v>
      </c>
      <c r="D1041">
        <v>6348</v>
      </c>
      <c r="E1041" t="s">
        <v>1043</v>
      </c>
    </row>
    <row r="1042" spans="1:5">
      <c r="A1042">
        <f>HYPERLINK("http://www.twitter.com/realDonaldTrump/status/783491271088156672", "783491271088156672")</f>
        <v>0</v>
      </c>
      <c r="B1042" s="2">
        <v>42648.0954861111</v>
      </c>
      <c r="C1042">
        <v>0</v>
      </c>
      <c r="D1042">
        <v>6033</v>
      </c>
      <c r="E1042" t="s">
        <v>1044</v>
      </c>
    </row>
    <row r="1043" spans="1:5">
      <c r="A1043">
        <f>HYPERLINK("http://www.twitter.com/realDonaldTrump/status/783491231913349120", "783491231913349120")</f>
        <v>0</v>
      </c>
      <c r="B1043" s="2">
        <v>42648.0953703704</v>
      </c>
      <c r="C1043">
        <v>0</v>
      </c>
      <c r="D1043">
        <v>7068</v>
      </c>
      <c r="E1043" t="s">
        <v>1045</v>
      </c>
    </row>
    <row r="1044" spans="1:5">
      <c r="A1044">
        <f>HYPERLINK("http://www.twitter.com/realDonaldTrump/status/783490959027732484", "783490959027732484")</f>
        <v>0</v>
      </c>
      <c r="B1044" s="2">
        <v>42648.0946180556</v>
      </c>
      <c r="C1044">
        <v>18981</v>
      </c>
      <c r="D1044">
        <v>9341</v>
      </c>
      <c r="E1044" t="s">
        <v>1046</v>
      </c>
    </row>
    <row r="1045" spans="1:5">
      <c r="A1045">
        <f>HYPERLINK("http://www.twitter.com/realDonaldTrump/status/783490731964981248", "783490731964981248")</f>
        <v>0</v>
      </c>
      <c r="B1045" s="2">
        <v>42648.0939930556</v>
      </c>
      <c r="C1045">
        <v>15312</v>
      </c>
      <c r="D1045">
        <v>6236</v>
      </c>
      <c r="E1045" t="s">
        <v>1047</v>
      </c>
    </row>
    <row r="1046" spans="1:5">
      <c r="A1046">
        <f>HYPERLINK("http://www.twitter.com/realDonaldTrump/status/783490308818337796", "783490308818337796")</f>
        <v>0</v>
      </c>
      <c r="B1046" s="2">
        <v>42648.0928240741</v>
      </c>
      <c r="C1046">
        <v>15271</v>
      </c>
      <c r="D1046">
        <v>5325</v>
      </c>
      <c r="E1046" t="s">
        <v>1048</v>
      </c>
    </row>
    <row r="1047" spans="1:5">
      <c r="A1047">
        <f>HYPERLINK("http://www.twitter.com/realDonaldTrump/status/783489985718517760", "783489985718517760")</f>
        <v>0</v>
      </c>
      <c r="B1047" s="2">
        <v>42648.0919328704</v>
      </c>
      <c r="C1047">
        <v>22953</v>
      </c>
      <c r="D1047">
        <v>8834</v>
      </c>
      <c r="E1047" t="s">
        <v>1049</v>
      </c>
    </row>
    <row r="1048" spans="1:5">
      <c r="A1048">
        <f>HYPERLINK("http://www.twitter.com/realDonaldTrump/status/783489376651137025", "783489376651137025")</f>
        <v>0</v>
      </c>
      <c r="B1048" s="2">
        <v>42648.0902546296</v>
      </c>
      <c r="C1048">
        <v>15384</v>
      </c>
      <c r="D1048">
        <v>7079</v>
      </c>
      <c r="E1048" t="s">
        <v>1050</v>
      </c>
    </row>
    <row r="1049" spans="1:5">
      <c r="A1049">
        <f>HYPERLINK("http://www.twitter.com/realDonaldTrump/status/783488429442994176", "783488429442994176")</f>
        <v>0</v>
      </c>
      <c r="B1049" s="2">
        <v>42648.0876388889</v>
      </c>
      <c r="C1049">
        <v>0</v>
      </c>
      <c r="D1049">
        <v>7050</v>
      </c>
      <c r="E1049" t="s">
        <v>1051</v>
      </c>
    </row>
    <row r="1050" spans="1:5">
      <c r="A1050">
        <f>HYPERLINK("http://www.twitter.com/realDonaldTrump/status/783488370110451712", "783488370110451712")</f>
        <v>0</v>
      </c>
      <c r="B1050" s="2">
        <v>42648.0874768519</v>
      </c>
      <c r="C1050">
        <v>17370</v>
      </c>
      <c r="D1050">
        <v>6240</v>
      </c>
      <c r="E1050" t="s">
        <v>1052</v>
      </c>
    </row>
    <row r="1051" spans="1:5">
      <c r="A1051">
        <f>HYPERLINK("http://www.twitter.com/realDonaldTrump/status/783485558202916865", "783485558202916865")</f>
        <v>0</v>
      </c>
      <c r="B1051" s="2">
        <v>42648.0797222222</v>
      </c>
      <c r="C1051">
        <v>0</v>
      </c>
      <c r="D1051">
        <v>8324</v>
      </c>
      <c r="E1051" t="s">
        <v>1053</v>
      </c>
    </row>
    <row r="1052" spans="1:5">
      <c r="A1052">
        <f>HYPERLINK("http://www.twitter.com/realDonaldTrump/status/783485391084978176", "783485391084978176")</f>
        <v>0</v>
      </c>
      <c r="B1052" s="2">
        <v>42648.0792592593</v>
      </c>
      <c r="C1052">
        <v>21164</v>
      </c>
      <c r="D1052">
        <v>6107</v>
      </c>
      <c r="E1052" t="s">
        <v>1054</v>
      </c>
    </row>
    <row r="1053" spans="1:5">
      <c r="A1053">
        <f>HYPERLINK("http://www.twitter.com/realDonaldTrump/status/783485003795529728", "783485003795529728")</f>
        <v>0</v>
      </c>
      <c r="B1053" s="2">
        <v>42648.0781944444</v>
      </c>
      <c r="C1053">
        <v>22027</v>
      </c>
      <c r="D1053">
        <v>6859</v>
      </c>
      <c r="E1053" t="s">
        <v>1055</v>
      </c>
    </row>
    <row r="1054" spans="1:5">
      <c r="A1054">
        <f>HYPERLINK("http://www.twitter.com/realDonaldTrump/status/783484550861037568", "783484550861037568")</f>
        <v>0</v>
      </c>
      <c r="B1054" s="2">
        <v>42648.0769444444</v>
      </c>
      <c r="C1054">
        <v>37031</v>
      </c>
      <c r="D1054">
        <v>11037</v>
      </c>
      <c r="E1054" t="s">
        <v>1056</v>
      </c>
    </row>
    <row r="1055" spans="1:5">
      <c r="A1055">
        <f>HYPERLINK("http://www.twitter.com/realDonaldTrump/status/783483379966554114", "783483379966554114")</f>
        <v>0</v>
      </c>
      <c r="B1055" s="2">
        <v>42648.0737037037</v>
      </c>
      <c r="C1055">
        <v>17182</v>
      </c>
      <c r="D1055">
        <v>6287</v>
      </c>
      <c r="E1055" t="s">
        <v>1057</v>
      </c>
    </row>
    <row r="1056" spans="1:5">
      <c r="A1056">
        <f>HYPERLINK("http://www.twitter.com/realDonaldTrump/status/783481871032123392", "783481871032123392")</f>
        <v>0</v>
      </c>
      <c r="B1056" s="2">
        <v>42648.0695486111</v>
      </c>
      <c r="C1056">
        <v>0</v>
      </c>
      <c r="D1056">
        <v>5929</v>
      </c>
      <c r="E1056" t="s">
        <v>1058</v>
      </c>
    </row>
    <row r="1057" spans="1:5">
      <c r="A1057">
        <f>HYPERLINK("http://www.twitter.com/realDonaldTrump/status/783481240108146688", "783481240108146688")</f>
        <v>0</v>
      </c>
      <c r="B1057" s="2">
        <v>42648.0678009259</v>
      </c>
      <c r="C1057">
        <v>27457</v>
      </c>
      <c r="D1057">
        <v>6706</v>
      </c>
      <c r="E1057" t="s">
        <v>1059</v>
      </c>
    </row>
    <row r="1058" spans="1:5">
      <c r="A1058">
        <f>HYPERLINK("http://www.twitter.com/realDonaldTrump/status/783481080078749696", "783481080078749696")</f>
        <v>0</v>
      </c>
      <c r="B1058" s="2">
        <v>42648.0673611111</v>
      </c>
      <c r="C1058">
        <v>0</v>
      </c>
      <c r="D1058">
        <v>8569</v>
      </c>
      <c r="E1058" t="s">
        <v>1060</v>
      </c>
    </row>
    <row r="1059" spans="1:5">
      <c r="A1059">
        <f>HYPERLINK("http://www.twitter.com/realDonaldTrump/status/783480864395055104", "783480864395055104")</f>
        <v>0</v>
      </c>
      <c r="B1059" s="2">
        <v>42648.0667708333</v>
      </c>
      <c r="C1059">
        <v>0</v>
      </c>
      <c r="D1059">
        <v>3608</v>
      </c>
      <c r="E1059" t="s">
        <v>1061</v>
      </c>
    </row>
    <row r="1060" spans="1:5">
      <c r="A1060">
        <f>HYPERLINK("http://www.twitter.com/realDonaldTrump/status/783480766231552000", "783480766231552000")</f>
        <v>0</v>
      </c>
      <c r="B1060" s="2">
        <v>42648.0664930556</v>
      </c>
      <c r="C1060">
        <v>21216</v>
      </c>
      <c r="D1060">
        <v>9909</v>
      </c>
      <c r="E1060" t="s">
        <v>1062</v>
      </c>
    </row>
    <row r="1061" spans="1:5">
      <c r="A1061">
        <f>HYPERLINK("http://www.twitter.com/realDonaldTrump/status/783480681229799424", "783480681229799424")</f>
        <v>0</v>
      </c>
      <c r="B1061" s="2">
        <v>42648.0662615741</v>
      </c>
      <c r="C1061">
        <v>8477</v>
      </c>
      <c r="D1061">
        <v>1795</v>
      </c>
      <c r="E1061" t="s">
        <v>1063</v>
      </c>
    </row>
    <row r="1062" spans="1:5">
      <c r="A1062">
        <f>HYPERLINK("http://www.twitter.com/realDonaldTrump/status/783480600724328448", "783480600724328448")</f>
        <v>0</v>
      </c>
      <c r="B1062" s="2">
        <v>42648.0660416667</v>
      </c>
      <c r="C1062">
        <v>13347</v>
      </c>
      <c r="D1062">
        <v>3601</v>
      </c>
      <c r="E1062" t="s">
        <v>1064</v>
      </c>
    </row>
    <row r="1063" spans="1:5">
      <c r="A1063">
        <f>HYPERLINK("http://www.twitter.com/realDonaldTrump/status/783480517089828866", "783480517089828866")</f>
        <v>0</v>
      </c>
      <c r="B1063" s="2">
        <v>42648.0658101852</v>
      </c>
      <c r="C1063">
        <v>19462</v>
      </c>
      <c r="D1063">
        <v>4797</v>
      </c>
      <c r="E1063" t="s">
        <v>1065</v>
      </c>
    </row>
    <row r="1064" spans="1:5">
      <c r="A1064">
        <f>HYPERLINK("http://www.twitter.com/realDonaldTrump/status/783480283752390656", "783480283752390656")</f>
        <v>0</v>
      </c>
      <c r="B1064" s="2">
        <v>42648.065162037</v>
      </c>
      <c r="C1064">
        <v>17016</v>
      </c>
      <c r="D1064">
        <v>4388</v>
      </c>
      <c r="E1064" t="s">
        <v>1066</v>
      </c>
    </row>
    <row r="1065" spans="1:5">
      <c r="A1065">
        <f>HYPERLINK("http://www.twitter.com/realDonaldTrump/status/783480144614658048", "783480144614658048")</f>
        <v>0</v>
      </c>
      <c r="B1065" s="2">
        <v>42648.0647800926</v>
      </c>
      <c r="C1065">
        <v>17882</v>
      </c>
      <c r="D1065">
        <v>5141</v>
      </c>
      <c r="E1065" t="s">
        <v>1067</v>
      </c>
    </row>
    <row r="1066" spans="1:5">
      <c r="A1066">
        <f>HYPERLINK("http://www.twitter.com/realDonaldTrump/status/783479483873583105", "783479483873583105")</f>
        <v>0</v>
      </c>
      <c r="B1066" s="2">
        <v>42648.0629513889</v>
      </c>
      <c r="C1066">
        <v>42946</v>
      </c>
      <c r="D1066">
        <v>10753</v>
      </c>
      <c r="E1066" t="s">
        <v>1068</v>
      </c>
    </row>
    <row r="1067" spans="1:5">
      <c r="A1067">
        <f>HYPERLINK("http://www.twitter.com/realDonaldTrump/status/783479122555080704", "783479122555080704")</f>
        <v>0</v>
      </c>
      <c r="B1067" s="2">
        <v>42648.0619560185</v>
      </c>
      <c r="C1067">
        <v>16829</v>
      </c>
      <c r="D1067">
        <v>4690</v>
      </c>
      <c r="E1067" t="s">
        <v>1069</v>
      </c>
    </row>
    <row r="1068" spans="1:5">
      <c r="A1068">
        <f>HYPERLINK("http://www.twitter.com/realDonaldTrump/status/783478918087004160", "783478918087004160")</f>
        <v>0</v>
      </c>
      <c r="B1068" s="2">
        <v>42648.061400463</v>
      </c>
      <c r="C1068">
        <v>28257</v>
      </c>
      <c r="D1068">
        <v>9004</v>
      </c>
      <c r="E1068" t="s">
        <v>1070</v>
      </c>
    </row>
    <row r="1069" spans="1:5">
      <c r="A1069">
        <f>HYPERLINK("http://www.twitter.com/realDonaldTrump/status/783478348848574465", "783478348848574465")</f>
        <v>0</v>
      </c>
      <c r="B1069" s="2">
        <v>42648.0598263889</v>
      </c>
      <c r="C1069">
        <v>19548</v>
      </c>
      <c r="D1069">
        <v>4876</v>
      </c>
      <c r="E1069" t="s">
        <v>1071</v>
      </c>
    </row>
    <row r="1070" spans="1:5">
      <c r="A1070">
        <f>HYPERLINK("http://www.twitter.com/realDonaldTrump/status/783477966906925056", "783477966906925056")</f>
        <v>0</v>
      </c>
      <c r="B1070" s="2">
        <v>42648.0587731482</v>
      </c>
      <c r="C1070">
        <v>0</v>
      </c>
      <c r="D1070">
        <v>9999</v>
      </c>
      <c r="E1070" t="s">
        <v>1072</v>
      </c>
    </row>
    <row r="1071" spans="1:5">
      <c r="A1071">
        <f>HYPERLINK("http://www.twitter.com/realDonaldTrump/status/783477336645566464", "783477336645566464")</f>
        <v>0</v>
      </c>
      <c r="B1071" s="2">
        <v>42648.057037037</v>
      </c>
      <c r="C1071">
        <v>20324</v>
      </c>
      <c r="D1071">
        <v>5790</v>
      </c>
      <c r="E1071" t="s">
        <v>1073</v>
      </c>
    </row>
    <row r="1072" spans="1:5">
      <c r="A1072">
        <f>HYPERLINK("http://www.twitter.com/realDonaldTrump/status/783477292668375040", "783477292668375040")</f>
        <v>0</v>
      </c>
      <c r="B1072" s="2">
        <v>42648.0569097222</v>
      </c>
      <c r="C1072">
        <v>0</v>
      </c>
      <c r="D1072">
        <v>12669</v>
      </c>
      <c r="E1072" t="s">
        <v>1074</v>
      </c>
    </row>
    <row r="1073" spans="1:5">
      <c r="A1073">
        <f>HYPERLINK("http://www.twitter.com/realDonaldTrump/status/783477156647018496", "783477156647018496")</f>
        <v>0</v>
      </c>
      <c r="B1073" s="2">
        <v>42648.0565393519</v>
      </c>
      <c r="C1073">
        <v>0</v>
      </c>
      <c r="D1073">
        <v>5486</v>
      </c>
      <c r="E1073" t="s">
        <v>1075</v>
      </c>
    </row>
    <row r="1074" spans="1:5">
      <c r="A1074">
        <f>HYPERLINK("http://www.twitter.com/realDonaldTrump/status/783475795238858752", "783475795238858752")</f>
        <v>0</v>
      </c>
      <c r="B1074" s="2">
        <v>42648.0527777778</v>
      </c>
      <c r="C1074">
        <v>22376</v>
      </c>
      <c r="D1074">
        <v>5381</v>
      </c>
      <c r="E1074" t="s">
        <v>1076</v>
      </c>
    </row>
    <row r="1075" spans="1:5">
      <c r="A1075">
        <f>HYPERLINK("http://www.twitter.com/realDonaldTrump/status/783475635712765952", "783475635712765952")</f>
        <v>0</v>
      </c>
      <c r="B1075" s="2">
        <v>42648.052337963</v>
      </c>
      <c r="C1075">
        <v>17319</v>
      </c>
      <c r="D1075">
        <v>3609</v>
      </c>
      <c r="E1075" t="s">
        <v>1077</v>
      </c>
    </row>
    <row r="1076" spans="1:5">
      <c r="A1076">
        <f>HYPERLINK("http://www.twitter.com/realDonaldTrump/status/783474976842059777", "783474976842059777")</f>
        <v>0</v>
      </c>
      <c r="B1076" s="2">
        <v>42648.0505208333</v>
      </c>
      <c r="C1076">
        <v>20756</v>
      </c>
      <c r="D1076">
        <v>6510</v>
      </c>
      <c r="E1076" t="s">
        <v>1078</v>
      </c>
    </row>
    <row r="1077" spans="1:5">
      <c r="A1077">
        <f>HYPERLINK("http://www.twitter.com/realDonaldTrump/status/783473285535150080", "783473285535150080")</f>
        <v>0</v>
      </c>
      <c r="B1077" s="2">
        <v>42648.0458564815</v>
      </c>
      <c r="C1077">
        <v>14136</v>
      </c>
      <c r="D1077">
        <v>3613</v>
      </c>
      <c r="E1077" t="s">
        <v>1079</v>
      </c>
    </row>
    <row r="1078" spans="1:5">
      <c r="A1078">
        <f>HYPERLINK("http://www.twitter.com/realDonaldTrump/status/783473247694102528", "783473247694102528")</f>
        <v>0</v>
      </c>
      <c r="B1078" s="2">
        <v>42648.0457523148</v>
      </c>
      <c r="C1078">
        <v>11190</v>
      </c>
      <c r="D1078">
        <v>2139</v>
      </c>
      <c r="E1078" t="s">
        <v>1080</v>
      </c>
    </row>
    <row r="1079" spans="1:5">
      <c r="A1079">
        <f>HYPERLINK("http://www.twitter.com/realDonaldTrump/status/783472068796911616", "783472068796911616")</f>
        <v>0</v>
      </c>
      <c r="B1079" s="2">
        <v>42648.0425</v>
      </c>
      <c r="C1079">
        <v>17242</v>
      </c>
      <c r="D1079">
        <v>4020</v>
      </c>
      <c r="E1079" t="s">
        <v>1081</v>
      </c>
    </row>
    <row r="1080" spans="1:5">
      <c r="A1080">
        <f>HYPERLINK("http://www.twitter.com/realDonaldTrump/status/783461358436089856", "783461358436089856")</f>
        <v>0</v>
      </c>
      <c r="B1080" s="2">
        <v>42648.0129398148</v>
      </c>
      <c r="C1080">
        <v>20253</v>
      </c>
      <c r="D1080">
        <v>5230</v>
      </c>
      <c r="E1080" t="s">
        <v>1082</v>
      </c>
    </row>
    <row r="1081" spans="1:5">
      <c r="A1081">
        <f>HYPERLINK("http://www.twitter.com/realDonaldTrump/status/783459936361512960", "783459936361512960")</f>
        <v>0</v>
      </c>
      <c r="B1081" s="2">
        <v>42648.0090162037</v>
      </c>
      <c r="C1081">
        <v>33693</v>
      </c>
      <c r="D1081">
        <v>8100</v>
      </c>
      <c r="E1081" t="s">
        <v>1083</v>
      </c>
    </row>
    <row r="1082" spans="1:5">
      <c r="A1082">
        <f>HYPERLINK("http://www.twitter.com/realDonaldTrump/status/783455640643514368", "783455640643514368")</f>
        <v>0</v>
      </c>
      <c r="B1082" s="2">
        <v>42647.9971643519</v>
      </c>
      <c r="C1082">
        <v>33011</v>
      </c>
      <c r="D1082">
        <v>11407</v>
      </c>
      <c r="E1082" t="s">
        <v>1084</v>
      </c>
    </row>
    <row r="1083" spans="1:5">
      <c r="A1083">
        <f>HYPERLINK("http://www.twitter.com/realDonaldTrump/status/783452759462850560", "783452759462850560")</f>
        <v>0</v>
      </c>
      <c r="B1083" s="2">
        <v>42647.989212963</v>
      </c>
      <c r="C1083">
        <v>13599</v>
      </c>
      <c r="D1083">
        <v>5377</v>
      </c>
      <c r="E1083" t="s">
        <v>1085</v>
      </c>
    </row>
    <row r="1084" spans="1:5">
      <c r="A1084">
        <f>HYPERLINK("http://www.twitter.com/realDonaldTrump/status/783436108176629760", "783436108176629760")</f>
        <v>0</v>
      </c>
      <c r="B1084" s="2">
        <v>42647.9432638889</v>
      </c>
      <c r="C1084">
        <v>18789</v>
      </c>
      <c r="D1084">
        <v>6637</v>
      </c>
      <c r="E1084" t="s">
        <v>1086</v>
      </c>
    </row>
    <row r="1085" spans="1:5">
      <c r="A1085">
        <f>HYPERLINK("http://www.twitter.com/realDonaldTrump/status/783393314309484544", "783393314309484544")</f>
        <v>0</v>
      </c>
      <c r="B1085" s="2">
        <v>42647.8251736111</v>
      </c>
      <c r="C1085">
        <v>22935</v>
      </c>
      <c r="D1085">
        <v>9219</v>
      </c>
      <c r="E1085" t="s">
        <v>1087</v>
      </c>
    </row>
    <row r="1086" spans="1:5">
      <c r="A1086">
        <f>HYPERLINK("http://www.twitter.com/realDonaldTrump/status/783391423663964160", "783391423663964160")</f>
        <v>0</v>
      </c>
      <c r="B1086" s="2">
        <v>42647.8199537037</v>
      </c>
      <c r="C1086">
        <v>24922</v>
      </c>
      <c r="D1086">
        <v>7227</v>
      </c>
      <c r="E1086" t="s">
        <v>1088</v>
      </c>
    </row>
    <row r="1087" spans="1:5">
      <c r="A1087">
        <f>HYPERLINK("http://www.twitter.com/realDonaldTrump/status/783390310969651200", "783390310969651200")</f>
        <v>0</v>
      </c>
      <c r="B1087" s="2">
        <v>42647.8168865741</v>
      </c>
      <c r="C1087">
        <v>9465</v>
      </c>
      <c r="D1087">
        <v>3208</v>
      </c>
      <c r="E1087" t="s">
        <v>1089</v>
      </c>
    </row>
    <row r="1088" spans="1:5">
      <c r="A1088">
        <f>HYPERLINK("http://www.twitter.com/realDonaldTrump/status/783149570721144832", "783149570721144832")</f>
        <v>0</v>
      </c>
      <c r="B1088" s="2">
        <v>42647.1525694444</v>
      </c>
      <c r="C1088">
        <v>15688</v>
      </c>
      <c r="D1088">
        <v>6610</v>
      </c>
      <c r="E1088" t="s">
        <v>1090</v>
      </c>
    </row>
    <row r="1089" spans="1:5">
      <c r="A1089">
        <f>HYPERLINK("http://www.twitter.com/realDonaldTrump/status/783129603363659776", "783129603363659776")</f>
        <v>0</v>
      </c>
      <c r="B1089" s="2">
        <v>42647.0974652778</v>
      </c>
      <c r="C1089">
        <v>22341</v>
      </c>
      <c r="D1089">
        <v>8977</v>
      </c>
      <c r="E1089" t="s">
        <v>1091</v>
      </c>
    </row>
    <row r="1090" spans="1:5">
      <c r="A1090">
        <f>HYPERLINK("http://www.twitter.com/realDonaldTrump/status/783065029172088832", "783065029172088832")</f>
        <v>0</v>
      </c>
      <c r="B1090" s="2">
        <v>42646.9192824074</v>
      </c>
      <c r="C1090">
        <v>25231</v>
      </c>
      <c r="D1090">
        <v>11553</v>
      </c>
      <c r="E1090" t="s">
        <v>1092</v>
      </c>
    </row>
    <row r="1091" spans="1:5">
      <c r="A1091">
        <f>HYPERLINK("http://www.twitter.com/realDonaldTrump/status/783059449128759296", "783059449128759296")</f>
        <v>0</v>
      </c>
      <c r="B1091" s="2">
        <v>42646.9038773148</v>
      </c>
      <c r="C1091">
        <v>16090</v>
      </c>
      <c r="D1091">
        <v>6439</v>
      </c>
      <c r="E1091" t="s">
        <v>1093</v>
      </c>
    </row>
    <row r="1092" spans="1:5">
      <c r="A1092">
        <f>HYPERLINK("http://www.twitter.com/realDonaldTrump/status/782946021957599232", "782946021957599232")</f>
        <v>0</v>
      </c>
      <c r="B1092" s="2">
        <v>42646.5908796296</v>
      </c>
      <c r="C1092">
        <v>14844</v>
      </c>
      <c r="D1092">
        <v>5978</v>
      </c>
      <c r="E1092" t="s">
        <v>1094</v>
      </c>
    </row>
    <row r="1093" spans="1:5">
      <c r="A1093">
        <f>HYPERLINK("http://www.twitter.com/realDonaldTrump/status/782728287718150144", "782728287718150144")</f>
        <v>0</v>
      </c>
      <c r="B1093" s="2">
        <v>42645.9900462963</v>
      </c>
      <c r="C1093">
        <v>38188</v>
      </c>
      <c r="D1093">
        <v>13900</v>
      </c>
      <c r="E1093" t="s">
        <v>1095</v>
      </c>
    </row>
    <row r="1094" spans="1:5">
      <c r="A1094">
        <f>HYPERLINK("http://www.twitter.com/realDonaldTrump/status/782701472685420544", "782701472685420544")</f>
        <v>0</v>
      </c>
      <c r="B1094" s="2">
        <v>42645.9160532407</v>
      </c>
      <c r="C1094">
        <v>38549</v>
      </c>
      <c r="D1094">
        <v>12114</v>
      </c>
      <c r="E1094" t="s">
        <v>1096</v>
      </c>
    </row>
    <row r="1095" spans="1:5">
      <c r="A1095">
        <f>HYPERLINK("http://www.twitter.com/realDonaldTrump/status/782698760514207744", "782698760514207744")</f>
        <v>0</v>
      </c>
      <c r="B1095" s="2">
        <v>42645.9085763889</v>
      </c>
      <c r="C1095">
        <v>44464</v>
      </c>
      <c r="D1095">
        <v>16577</v>
      </c>
      <c r="E1095" t="s">
        <v>1097</v>
      </c>
    </row>
    <row r="1096" spans="1:5">
      <c r="A1096">
        <f>HYPERLINK("http://www.twitter.com/realDonaldTrump/status/782553353242841088", "782553353242841088")</f>
        <v>0</v>
      </c>
      <c r="B1096" s="2">
        <v>42645.5073263889</v>
      </c>
      <c r="C1096">
        <v>28102</v>
      </c>
      <c r="D1096">
        <v>10306</v>
      </c>
      <c r="E1096" t="s">
        <v>1098</v>
      </c>
    </row>
    <row r="1097" spans="1:5">
      <c r="A1097">
        <f>HYPERLINK("http://www.twitter.com/realDonaldTrump/status/782544407593619457", "782544407593619457")</f>
        <v>0</v>
      </c>
      <c r="B1097" s="2">
        <v>42645.4826388889</v>
      </c>
      <c r="C1097">
        <v>51370</v>
      </c>
      <c r="D1097">
        <v>19251</v>
      </c>
      <c r="E1097" t="s">
        <v>1099</v>
      </c>
    </row>
    <row r="1098" spans="1:5">
      <c r="A1098">
        <f>HYPERLINK("http://www.twitter.com/realDonaldTrump/status/782541307168391168", "782541307168391168")</f>
        <v>0</v>
      </c>
      <c r="B1098" s="2">
        <v>42645.4740856482</v>
      </c>
      <c r="C1098">
        <v>41596</v>
      </c>
      <c r="D1098">
        <v>15466</v>
      </c>
      <c r="E1098" t="s">
        <v>1100</v>
      </c>
    </row>
    <row r="1099" spans="1:5">
      <c r="A1099">
        <f>HYPERLINK("http://www.twitter.com/realDonaldTrump/status/782331741369462784", "782331741369462784")</f>
        <v>0</v>
      </c>
      <c r="B1099" s="2">
        <v>42644.895787037</v>
      </c>
      <c r="C1099">
        <v>30728</v>
      </c>
      <c r="D1099">
        <v>8951</v>
      </c>
      <c r="E1099" t="s">
        <v>1101</v>
      </c>
    </row>
    <row r="1100" spans="1:5">
      <c r="A1100">
        <f>HYPERLINK("http://www.twitter.com/realDonaldTrump/status/782330717539803136", "782330717539803136")</f>
        <v>0</v>
      </c>
      <c r="B1100" s="2">
        <v>42644.892962963</v>
      </c>
      <c r="C1100">
        <v>31674</v>
      </c>
      <c r="D1100">
        <v>10953</v>
      </c>
      <c r="E1100" t="s">
        <v>1102</v>
      </c>
    </row>
    <row r="1101" spans="1:5">
      <c r="A1101">
        <f>HYPERLINK("http://www.twitter.com/realDonaldTrump/status/782321125984436224", "782321125984436224")</f>
        <v>0</v>
      </c>
      <c r="B1101" s="2">
        <v>42644.8664930556</v>
      </c>
      <c r="C1101">
        <v>28875</v>
      </c>
      <c r="D1101">
        <v>10515</v>
      </c>
      <c r="E1101" t="s">
        <v>1103</v>
      </c>
    </row>
    <row r="1102" spans="1:5">
      <c r="A1102">
        <f>HYPERLINK("http://www.twitter.com/realDonaldTrump/status/782313153308884992", "782313153308884992")</f>
        <v>0</v>
      </c>
      <c r="B1102" s="2">
        <v>42644.8445023148</v>
      </c>
      <c r="C1102">
        <v>36672</v>
      </c>
      <c r="D1102">
        <v>10686</v>
      </c>
      <c r="E1102" t="s">
        <v>1104</v>
      </c>
    </row>
    <row r="1103" spans="1:5">
      <c r="A1103">
        <f>HYPERLINK("http://www.twitter.com/realDonaldTrump/status/782264189574377472", "782264189574377472")</f>
        <v>0</v>
      </c>
      <c r="B1103" s="2">
        <v>42644.7093865741</v>
      </c>
      <c r="C1103">
        <v>30990</v>
      </c>
      <c r="D1103">
        <v>16364</v>
      </c>
      <c r="E1103" t="s">
        <v>1105</v>
      </c>
    </row>
    <row r="1104" spans="1:5">
      <c r="A1104">
        <f>HYPERLINK("http://www.twitter.com/realDonaldTrump/status/782020266771812352", "782020266771812352")</f>
        <v>0</v>
      </c>
      <c r="B1104" s="2">
        <v>42644.0362847222</v>
      </c>
      <c r="C1104">
        <v>40480</v>
      </c>
      <c r="D1104">
        <v>17351</v>
      </c>
      <c r="E1104" t="s">
        <v>1106</v>
      </c>
    </row>
    <row r="1105" spans="1:5">
      <c r="A1105">
        <f>HYPERLINK("http://www.twitter.com/realDonaldTrump/status/781992481160323072", "781992481160323072")</f>
        <v>0</v>
      </c>
      <c r="B1105" s="2">
        <v>42643.9596064815</v>
      </c>
      <c r="C1105">
        <v>25427</v>
      </c>
      <c r="D1105">
        <v>10369</v>
      </c>
      <c r="E1105" t="s">
        <v>1107</v>
      </c>
    </row>
    <row r="1106" spans="1:5">
      <c r="A1106">
        <f>HYPERLINK("http://www.twitter.com/realDonaldTrump/status/781949464152006657", "781949464152006657")</f>
        <v>0</v>
      </c>
      <c r="B1106" s="2">
        <v>42643.8409027778</v>
      </c>
      <c r="C1106">
        <v>21431</v>
      </c>
      <c r="D1106">
        <v>8357</v>
      </c>
      <c r="E1106" t="s">
        <v>1108</v>
      </c>
    </row>
    <row r="1107" spans="1:5">
      <c r="A1107">
        <f>HYPERLINK("http://www.twitter.com/realDonaldTrump/status/781947646319665152", "781947646319665152")</f>
        <v>0</v>
      </c>
      <c r="B1107" s="2">
        <v>42643.8358912037</v>
      </c>
      <c r="C1107">
        <v>14256</v>
      </c>
      <c r="D1107">
        <v>5785</v>
      </c>
      <c r="E1107" t="s">
        <v>1109</v>
      </c>
    </row>
    <row r="1108" spans="1:5">
      <c r="A1108">
        <f>HYPERLINK("http://www.twitter.com/realDonaldTrump/status/781926033159249920", "781926033159249920")</f>
        <v>0</v>
      </c>
      <c r="B1108" s="2">
        <v>42643.77625</v>
      </c>
      <c r="C1108">
        <v>107449</v>
      </c>
      <c r="D1108">
        <v>40904</v>
      </c>
      <c r="E1108" t="s">
        <v>1110</v>
      </c>
    </row>
    <row r="1109" spans="1:5">
      <c r="A1109">
        <f>HYPERLINK("http://www.twitter.com/realDonaldTrump/status/781922648645185536", "781922648645185536")</f>
        <v>0</v>
      </c>
      <c r="B1109" s="2">
        <v>42643.7669097222</v>
      </c>
      <c r="C1109">
        <v>54362</v>
      </c>
      <c r="D1109">
        <v>26230</v>
      </c>
      <c r="E1109" t="s">
        <v>1111</v>
      </c>
    </row>
    <row r="1110" spans="1:5">
      <c r="A1110">
        <f>HYPERLINK("http://www.twitter.com/realDonaldTrump/status/781861632167256064", "781861632167256064")</f>
        <v>0</v>
      </c>
      <c r="B1110" s="2">
        <v>42643.5985416667</v>
      </c>
      <c r="C1110">
        <v>38658</v>
      </c>
      <c r="D1110">
        <v>13854</v>
      </c>
      <c r="E1110" t="s">
        <v>1112</v>
      </c>
    </row>
    <row r="1111" spans="1:5">
      <c r="A1111">
        <f>HYPERLINK("http://www.twitter.com/realDonaldTrump/status/781838706030313472", "781838706030313472")</f>
        <v>0</v>
      </c>
      <c r="B1111" s="2">
        <v>42643.5352777778</v>
      </c>
      <c r="C1111">
        <v>39626</v>
      </c>
      <c r="D1111">
        <v>17116</v>
      </c>
      <c r="E1111" t="s">
        <v>1113</v>
      </c>
    </row>
    <row r="1112" spans="1:5">
      <c r="A1112">
        <f>HYPERLINK("http://www.twitter.com/realDonaldTrump/status/781788223055994880", "781788223055994880")</f>
        <v>0</v>
      </c>
      <c r="B1112" s="2">
        <v>42643.3959606482</v>
      </c>
      <c r="C1112">
        <v>35691</v>
      </c>
      <c r="D1112">
        <v>17892</v>
      </c>
      <c r="E1112" t="s">
        <v>1114</v>
      </c>
    </row>
    <row r="1113" spans="1:5">
      <c r="A1113">
        <f>HYPERLINK("http://www.twitter.com/realDonaldTrump/status/781785509639118848", "781785509639118848")</f>
        <v>0</v>
      </c>
      <c r="B1113" s="2">
        <v>42643.3884837963</v>
      </c>
      <c r="C1113">
        <v>29764</v>
      </c>
      <c r="D1113">
        <v>11548</v>
      </c>
      <c r="E1113" t="s">
        <v>1115</v>
      </c>
    </row>
    <row r="1114" spans="1:5">
      <c r="A1114">
        <f>HYPERLINK("http://www.twitter.com/realDonaldTrump/status/781784161044553728", "781784161044553728")</f>
        <v>0</v>
      </c>
      <c r="B1114" s="2">
        <v>42643.3847569444</v>
      </c>
      <c r="C1114">
        <v>29583</v>
      </c>
      <c r="D1114">
        <v>11110</v>
      </c>
      <c r="E1114" t="s">
        <v>1116</v>
      </c>
    </row>
    <row r="1115" spans="1:5">
      <c r="A1115">
        <f>HYPERLINK("http://www.twitter.com/realDonaldTrump/status/781755469488615424", "781755469488615424")</f>
        <v>0</v>
      </c>
      <c r="B1115" s="2">
        <v>42643.3055787037</v>
      </c>
      <c r="C1115">
        <v>46405</v>
      </c>
      <c r="D1115">
        <v>18796</v>
      </c>
      <c r="E1115" t="s">
        <v>1117</v>
      </c>
    </row>
    <row r="1116" spans="1:5">
      <c r="A1116">
        <f>HYPERLINK("http://www.twitter.com/realDonaldTrump/status/781678954570735616", "781678954570735616")</f>
        <v>0</v>
      </c>
      <c r="B1116" s="2">
        <v>42643.0944444444</v>
      </c>
      <c r="C1116">
        <v>38675</v>
      </c>
      <c r="D1116">
        <v>13800</v>
      </c>
      <c r="E1116" t="s">
        <v>1118</v>
      </c>
    </row>
    <row r="1117" spans="1:5">
      <c r="A1117">
        <f>HYPERLINK("http://www.twitter.com/realDonaldTrump/status/781619038699094016", "781619038699094016")</f>
        <v>0</v>
      </c>
      <c r="B1117" s="2">
        <v>42642.9291087963</v>
      </c>
      <c r="C1117">
        <v>31304</v>
      </c>
      <c r="D1117">
        <v>17016</v>
      </c>
      <c r="E1117" t="s">
        <v>1119</v>
      </c>
    </row>
    <row r="1118" spans="1:5">
      <c r="A1118">
        <f>HYPERLINK("http://www.twitter.com/realDonaldTrump/status/781608228710785024", "781608228710785024")</f>
        <v>0</v>
      </c>
      <c r="B1118" s="2">
        <v>42642.8992708333</v>
      </c>
      <c r="C1118">
        <v>17513</v>
      </c>
      <c r="D1118">
        <v>6469</v>
      </c>
      <c r="E1118" t="s">
        <v>1120</v>
      </c>
    </row>
    <row r="1119" spans="1:5">
      <c r="A1119">
        <f>HYPERLINK("http://www.twitter.com/realDonaldTrump/status/781573427417128960", "781573427417128960")</f>
        <v>0</v>
      </c>
      <c r="B1119" s="2">
        <v>42642.8032407407</v>
      </c>
      <c r="C1119">
        <v>16761</v>
      </c>
      <c r="D1119">
        <v>7062</v>
      </c>
      <c r="E1119" t="s">
        <v>1121</v>
      </c>
    </row>
    <row r="1120" spans="1:5">
      <c r="A1120">
        <f>HYPERLINK("http://www.twitter.com/realDonaldTrump/status/781555624446418944", "781555624446418944")</f>
        <v>0</v>
      </c>
      <c r="B1120" s="2">
        <v>42642.7541203704</v>
      </c>
      <c r="C1120">
        <v>39365</v>
      </c>
      <c r="D1120">
        <v>11205</v>
      </c>
      <c r="E1120" t="s">
        <v>1122</v>
      </c>
    </row>
    <row r="1121" spans="1:5">
      <c r="A1121">
        <f>HYPERLINK("http://www.twitter.com/realDonaldTrump/status/781338220609073152", "781338220609073152")</f>
        <v>0</v>
      </c>
      <c r="B1121" s="2">
        <v>42642.1542013889</v>
      </c>
      <c r="C1121">
        <v>17109</v>
      </c>
      <c r="D1121">
        <v>7152</v>
      </c>
      <c r="E1121" t="s">
        <v>1123</v>
      </c>
    </row>
    <row r="1122" spans="1:5">
      <c r="A1122">
        <f>HYPERLINK("http://www.twitter.com/realDonaldTrump/status/781333457477758976", "781333457477758976")</f>
        <v>0</v>
      </c>
      <c r="B1122" s="2">
        <v>42642.1410532407</v>
      </c>
      <c r="C1122">
        <v>16753</v>
      </c>
      <c r="D1122">
        <v>6546</v>
      </c>
      <c r="E1122" t="s">
        <v>1124</v>
      </c>
    </row>
    <row r="1123" spans="1:5">
      <c r="A1123">
        <f>HYPERLINK("http://www.twitter.com/realDonaldTrump/status/781325613189754880", "781325613189754880")</f>
        <v>0</v>
      </c>
      <c r="B1123" s="2">
        <v>42642.1194097222</v>
      </c>
      <c r="C1123">
        <v>17065</v>
      </c>
      <c r="D1123">
        <v>6679</v>
      </c>
      <c r="E1123" t="s">
        <v>1125</v>
      </c>
    </row>
    <row r="1124" spans="1:5">
      <c r="A1124">
        <f>HYPERLINK("http://www.twitter.com/realDonaldTrump/status/781282739026735105", "781282739026735105")</f>
        <v>0</v>
      </c>
      <c r="B1124" s="2">
        <v>42642.001099537</v>
      </c>
      <c r="C1124">
        <v>15205</v>
      </c>
      <c r="D1124">
        <v>4271</v>
      </c>
      <c r="E1124" t="s">
        <v>1126</v>
      </c>
    </row>
    <row r="1125" spans="1:5">
      <c r="A1125">
        <f>HYPERLINK("http://www.twitter.com/realDonaldTrump/status/781280866634964992", "781280866634964992")</f>
        <v>0</v>
      </c>
      <c r="B1125" s="2">
        <v>42641.9959259259</v>
      </c>
      <c r="C1125">
        <v>11826</v>
      </c>
      <c r="D1125">
        <v>3830</v>
      </c>
      <c r="E1125" t="s">
        <v>1127</v>
      </c>
    </row>
    <row r="1126" spans="1:5">
      <c r="A1126">
        <f>HYPERLINK("http://www.twitter.com/realDonaldTrump/status/781265981675036672", "781265981675036672")</f>
        <v>0</v>
      </c>
      <c r="B1126" s="2">
        <v>42641.954849537</v>
      </c>
      <c r="C1126">
        <v>21251</v>
      </c>
      <c r="D1126">
        <v>8652</v>
      </c>
      <c r="E1126" t="s">
        <v>1128</v>
      </c>
    </row>
    <row r="1127" spans="1:5">
      <c r="A1127">
        <f>HYPERLINK("http://www.twitter.com/realDonaldTrump/status/781247791473451008", "781247791473451008")</f>
        <v>0</v>
      </c>
      <c r="B1127" s="2">
        <v>42641.9046643519</v>
      </c>
      <c r="C1127">
        <v>0</v>
      </c>
      <c r="D1127">
        <v>10050</v>
      </c>
      <c r="E1127" t="s">
        <v>1129</v>
      </c>
    </row>
    <row r="1128" spans="1:5">
      <c r="A1128">
        <f>HYPERLINK("http://www.twitter.com/realDonaldTrump/status/781186755177308165", "781186755177308165")</f>
        <v>0</v>
      </c>
      <c r="B1128" s="2">
        <v>42641.7362268519</v>
      </c>
      <c r="C1128">
        <v>18431</v>
      </c>
      <c r="D1128">
        <v>7241</v>
      </c>
      <c r="E1128" t="s">
        <v>1130</v>
      </c>
    </row>
    <row r="1129" spans="1:5">
      <c r="A1129">
        <f>HYPERLINK("http://www.twitter.com/realDonaldTrump/status/781183298110230528", "781183298110230528")</f>
        <v>0</v>
      </c>
      <c r="B1129" s="2">
        <v>42641.7266898148</v>
      </c>
      <c r="C1129">
        <v>18184</v>
      </c>
      <c r="D1129">
        <v>6464</v>
      </c>
      <c r="E1129" t="s">
        <v>1131</v>
      </c>
    </row>
    <row r="1130" spans="1:5">
      <c r="A1130">
        <f>HYPERLINK("http://www.twitter.com/realDonaldTrump/status/781166581963296768", "781166581963296768")</f>
        <v>0</v>
      </c>
      <c r="B1130" s="2">
        <v>42641.6805671296</v>
      </c>
      <c r="C1130">
        <v>12415</v>
      </c>
      <c r="D1130">
        <v>4454</v>
      </c>
      <c r="E1130" t="s">
        <v>1132</v>
      </c>
    </row>
    <row r="1131" spans="1:5">
      <c r="A1131">
        <f>HYPERLINK("http://www.twitter.com/realDonaldTrump/status/781111479974199296", "781111479974199296")</f>
        <v>0</v>
      </c>
      <c r="B1131" s="2">
        <v>42641.5285069444</v>
      </c>
      <c r="C1131">
        <v>38656</v>
      </c>
      <c r="D1131">
        <v>11048</v>
      </c>
      <c r="E1131" t="s">
        <v>1133</v>
      </c>
    </row>
    <row r="1132" spans="1:5">
      <c r="A1132">
        <f>HYPERLINK("http://www.twitter.com/realDonaldTrump/status/780954455504199680", "780954455504199680")</f>
        <v>0</v>
      </c>
      <c r="B1132" s="2">
        <v>42641.0952083333</v>
      </c>
      <c r="C1132">
        <v>29845</v>
      </c>
      <c r="D1132">
        <v>10023</v>
      </c>
      <c r="E1132" t="s">
        <v>1134</v>
      </c>
    </row>
    <row r="1133" spans="1:5">
      <c r="A1133">
        <f>HYPERLINK("http://www.twitter.com/realDonaldTrump/status/780935820299599872", "780935820299599872")</f>
        <v>0</v>
      </c>
      <c r="B1133" s="2">
        <v>42641.0437847222</v>
      </c>
      <c r="C1133">
        <v>45331</v>
      </c>
      <c r="D1133">
        <v>16575</v>
      </c>
      <c r="E1133" t="s">
        <v>1135</v>
      </c>
    </row>
    <row r="1134" spans="1:5">
      <c r="A1134">
        <f>HYPERLINK("http://www.twitter.com/realDonaldTrump/status/780893126605037568", "780893126605037568")</f>
        <v>0</v>
      </c>
      <c r="B1134" s="2">
        <v>42640.9259722222</v>
      </c>
      <c r="C1134">
        <v>15291</v>
      </c>
      <c r="D1134">
        <v>5580</v>
      </c>
      <c r="E1134" t="s">
        <v>1136</v>
      </c>
    </row>
    <row r="1135" spans="1:5">
      <c r="A1135">
        <f>HYPERLINK("http://www.twitter.com/realDonaldTrump/status/780876760086880256", "780876760086880256")</f>
        <v>0</v>
      </c>
      <c r="B1135" s="2">
        <v>42640.8808101852</v>
      </c>
      <c r="C1135">
        <v>23283</v>
      </c>
      <c r="D1135">
        <v>9616</v>
      </c>
      <c r="E1135" t="s">
        <v>1137</v>
      </c>
    </row>
    <row r="1136" spans="1:5">
      <c r="A1136">
        <f>HYPERLINK("http://www.twitter.com/realDonaldTrump/status/780867418012979204", "780867418012979204")</f>
        <v>0</v>
      </c>
      <c r="B1136" s="2">
        <v>42640.8550231481</v>
      </c>
      <c r="C1136">
        <v>0</v>
      </c>
      <c r="D1136">
        <v>5939</v>
      </c>
      <c r="E1136" t="s">
        <v>1138</v>
      </c>
    </row>
    <row r="1137" spans="1:5">
      <c r="A1137">
        <f>HYPERLINK("http://www.twitter.com/realDonaldTrump/status/780863218646474757", "780863218646474757")</f>
        <v>0</v>
      </c>
      <c r="B1137" s="2">
        <v>42640.8434375</v>
      </c>
      <c r="C1137">
        <v>16814</v>
      </c>
      <c r="D1137">
        <v>7286</v>
      </c>
      <c r="E1137" t="s">
        <v>1139</v>
      </c>
    </row>
    <row r="1138" spans="1:5">
      <c r="A1138">
        <f>HYPERLINK("http://www.twitter.com/realDonaldTrump/status/780861171238834176", "780861171238834176")</f>
        <v>0</v>
      </c>
      <c r="B1138" s="2">
        <v>42640.8377893519</v>
      </c>
      <c r="C1138">
        <v>18576</v>
      </c>
      <c r="D1138">
        <v>7609</v>
      </c>
      <c r="E1138" t="s">
        <v>1140</v>
      </c>
    </row>
    <row r="1139" spans="1:5">
      <c r="A1139">
        <f>HYPERLINK("http://www.twitter.com/realDonaldTrump/status/780859319319400448", "780859319319400448")</f>
        <v>0</v>
      </c>
      <c r="B1139" s="2">
        <v>42640.8326851852</v>
      </c>
      <c r="C1139">
        <v>24451</v>
      </c>
      <c r="D1139">
        <v>8913</v>
      </c>
      <c r="E1139" t="s">
        <v>1141</v>
      </c>
    </row>
    <row r="1140" spans="1:5">
      <c r="A1140">
        <f>HYPERLINK("http://www.twitter.com/realDonaldTrump/status/780853860135006211", "780853860135006211")</f>
        <v>0</v>
      </c>
      <c r="B1140" s="2">
        <v>42640.8176157407</v>
      </c>
      <c r="C1140">
        <v>36794</v>
      </c>
      <c r="D1140">
        <v>10954</v>
      </c>
      <c r="E1140" t="s">
        <v>1142</v>
      </c>
    </row>
    <row r="1141" spans="1:5">
      <c r="A1141">
        <f>HYPERLINK("http://www.twitter.com/realDonaldTrump/status/780826236213927937", "780826236213927937")</f>
        <v>0</v>
      </c>
      <c r="B1141" s="2">
        <v>42640.7413888889</v>
      </c>
      <c r="C1141">
        <v>36805</v>
      </c>
      <c r="D1141">
        <v>11457</v>
      </c>
      <c r="E1141" t="s">
        <v>1143</v>
      </c>
    </row>
    <row r="1142" spans="1:5">
      <c r="A1142">
        <f>HYPERLINK("http://www.twitter.com/realDonaldTrump/status/780813996739981316", "780813996739981316")</f>
        <v>0</v>
      </c>
      <c r="B1142" s="2">
        <v>42640.7076157407</v>
      </c>
      <c r="C1142">
        <v>17077</v>
      </c>
      <c r="D1142">
        <v>6107</v>
      </c>
      <c r="E1142" t="s">
        <v>1144</v>
      </c>
    </row>
    <row r="1143" spans="1:5">
      <c r="A1143">
        <f>HYPERLINK("http://www.twitter.com/realDonaldTrump/status/780796008854876160", "780796008854876160")</f>
        <v>0</v>
      </c>
      <c r="B1143" s="2">
        <v>42640.657974537</v>
      </c>
      <c r="C1143">
        <v>34641</v>
      </c>
      <c r="D1143">
        <v>17539</v>
      </c>
      <c r="E1143" t="s">
        <v>1145</v>
      </c>
    </row>
    <row r="1144" spans="1:5">
      <c r="A1144">
        <f>HYPERLINK("http://www.twitter.com/realDonaldTrump/status/780783037743267840", "780783037743267840")</f>
        <v>0</v>
      </c>
      <c r="B1144" s="2">
        <v>42640.6221875</v>
      </c>
      <c r="C1144">
        <v>13545</v>
      </c>
      <c r="D1144">
        <v>7434</v>
      </c>
      <c r="E1144" t="s">
        <v>1146</v>
      </c>
    </row>
    <row r="1145" spans="1:5">
      <c r="A1145">
        <f>HYPERLINK("http://www.twitter.com/realDonaldTrump/status/780781898071207940", "780781898071207940")</f>
        <v>0</v>
      </c>
      <c r="B1145" s="2">
        <v>42640.6190393519</v>
      </c>
      <c r="C1145">
        <v>20753</v>
      </c>
      <c r="D1145">
        <v>9108</v>
      </c>
      <c r="E1145" t="s">
        <v>1147</v>
      </c>
    </row>
    <row r="1146" spans="1:5">
      <c r="A1146">
        <f>HYPERLINK("http://www.twitter.com/realDonaldTrump/status/780781327050235905", "780781327050235905")</f>
        <v>0</v>
      </c>
      <c r="B1146" s="2">
        <v>42640.6174652778</v>
      </c>
      <c r="C1146">
        <v>39963</v>
      </c>
      <c r="D1146">
        <v>15918</v>
      </c>
      <c r="E1146" t="s">
        <v>1148</v>
      </c>
    </row>
    <row r="1147" spans="1:5">
      <c r="A1147">
        <f>HYPERLINK("http://www.twitter.com/realDonaldTrump/status/780766220618436608", "780766220618436608")</f>
        <v>0</v>
      </c>
      <c r="B1147" s="2">
        <v>42640.575775463</v>
      </c>
      <c r="C1147">
        <v>17247</v>
      </c>
      <c r="D1147">
        <v>7658</v>
      </c>
      <c r="E1147" t="s">
        <v>1149</v>
      </c>
    </row>
    <row r="1148" spans="1:5">
      <c r="A1148">
        <f>HYPERLINK("http://www.twitter.com/realDonaldTrump/status/780758306239512577", "780758306239512577")</f>
        <v>0</v>
      </c>
      <c r="B1148" s="2">
        <v>42640.5539351852</v>
      </c>
      <c r="C1148">
        <v>59988</v>
      </c>
      <c r="D1148">
        <v>22172</v>
      </c>
      <c r="E1148" t="s">
        <v>1150</v>
      </c>
    </row>
    <row r="1149" spans="1:5">
      <c r="A1149">
        <f>HYPERLINK("http://www.twitter.com/realDonaldTrump/status/780757611914391552", "780757611914391552")</f>
        <v>0</v>
      </c>
      <c r="B1149" s="2">
        <v>42640.552025463</v>
      </c>
      <c r="C1149">
        <v>33689</v>
      </c>
      <c r="D1149">
        <v>11311</v>
      </c>
      <c r="E1149" t="s">
        <v>1151</v>
      </c>
    </row>
    <row r="1150" spans="1:5">
      <c r="A1150">
        <f>HYPERLINK("http://www.twitter.com/realDonaldTrump/status/780752731418009600", "780752731418009600")</f>
        <v>0</v>
      </c>
      <c r="B1150" s="2">
        <v>42640.5385532407</v>
      </c>
      <c r="C1150">
        <v>18769</v>
      </c>
      <c r="D1150">
        <v>8424</v>
      </c>
      <c r="E1150" t="s">
        <v>1152</v>
      </c>
    </row>
    <row r="1151" spans="1:5">
      <c r="A1151">
        <f>HYPERLINK("http://www.twitter.com/realDonaldTrump/status/780752274020761601", "780752274020761601")</f>
        <v>0</v>
      </c>
      <c r="B1151" s="2">
        <v>42640.5372916667</v>
      </c>
      <c r="C1151">
        <v>72562</v>
      </c>
      <c r="D1151">
        <v>25812</v>
      </c>
      <c r="E1151" t="s">
        <v>1153</v>
      </c>
    </row>
    <row r="1152" spans="1:5">
      <c r="A1152">
        <f>HYPERLINK("http://www.twitter.com/realDonaldTrump/status/780719876335894528", "780719876335894528")</f>
        <v>0</v>
      </c>
      <c r="B1152" s="2">
        <v>42640.4478935185</v>
      </c>
      <c r="C1152">
        <v>17820</v>
      </c>
      <c r="D1152">
        <v>4785</v>
      </c>
      <c r="E1152" t="s">
        <v>1154</v>
      </c>
    </row>
    <row r="1153" spans="1:5">
      <c r="A1153">
        <f>HYPERLINK("http://www.twitter.com/realDonaldTrump/status/780656338628145153", "780656338628145153")</f>
        <v>0</v>
      </c>
      <c r="B1153" s="2">
        <v>42640.2725578704</v>
      </c>
      <c r="C1153">
        <v>25762</v>
      </c>
      <c r="D1153">
        <v>11302</v>
      </c>
      <c r="E1153" t="s">
        <v>1155</v>
      </c>
    </row>
    <row r="1154" spans="1:5">
      <c r="A1154">
        <f>HYPERLINK("http://www.twitter.com/realDonaldTrump/status/780646830090641408", "780646830090641408")</f>
        <v>0</v>
      </c>
      <c r="B1154" s="2">
        <v>42640.2463194444</v>
      </c>
      <c r="C1154">
        <v>26415</v>
      </c>
      <c r="D1154">
        <v>11284</v>
      </c>
      <c r="E1154" t="s">
        <v>1156</v>
      </c>
    </row>
    <row r="1155" spans="1:5">
      <c r="A1155">
        <f>HYPERLINK("http://www.twitter.com/realDonaldTrump/status/780644145492877312", "780644145492877312")</f>
        <v>0</v>
      </c>
      <c r="B1155" s="2">
        <v>42640.238912037</v>
      </c>
      <c r="C1155">
        <v>37012</v>
      </c>
      <c r="D1155">
        <v>17013</v>
      </c>
      <c r="E1155" t="s">
        <v>1157</v>
      </c>
    </row>
    <row r="1156" spans="1:5">
      <c r="A1156">
        <f>HYPERLINK("http://www.twitter.com/realDonaldTrump/status/780642262921441280", "780642262921441280")</f>
        <v>0</v>
      </c>
      <c r="B1156" s="2">
        <v>42640.2337152778</v>
      </c>
      <c r="C1156">
        <v>28512</v>
      </c>
      <c r="D1156">
        <v>12694</v>
      </c>
      <c r="E1156" t="s">
        <v>1158</v>
      </c>
    </row>
    <row r="1157" spans="1:5">
      <c r="A1157">
        <f>HYPERLINK("http://www.twitter.com/realDonaldTrump/status/780637633890451456", "780637633890451456")</f>
        <v>0</v>
      </c>
      <c r="B1157" s="2">
        <v>42640.2209490741</v>
      </c>
      <c r="C1157">
        <v>25449</v>
      </c>
      <c r="D1157">
        <v>7942</v>
      </c>
      <c r="E1157" t="s">
        <v>1159</v>
      </c>
    </row>
    <row r="1158" spans="1:5">
      <c r="A1158">
        <f>HYPERLINK("http://www.twitter.com/realDonaldTrump/status/780626558176333824", "780626558176333824")</f>
        <v>0</v>
      </c>
      <c r="B1158" s="2">
        <v>42640.1903819444</v>
      </c>
      <c r="C1158">
        <v>41410</v>
      </c>
      <c r="D1158">
        <v>12810</v>
      </c>
      <c r="E1158" t="s">
        <v>1160</v>
      </c>
    </row>
    <row r="1159" spans="1:5">
      <c r="A1159">
        <f>HYPERLINK("http://www.twitter.com/realDonaldTrump/status/780618680338178048", "780618680338178048")</f>
        <v>0</v>
      </c>
      <c r="B1159" s="2">
        <v>42640.1686458333</v>
      </c>
      <c r="C1159">
        <v>15506</v>
      </c>
      <c r="D1159">
        <v>5740</v>
      </c>
      <c r="E1159" t="s">
        <v>1161</v>
      </c>
    </row>
    <row r="1160" spans="1:5">
      <c r="A1160">
        <f>HYPERLINK("http://www.twitter.com/realDonaldTrump/status/780618351601192960", "780618351601192960")</f>
        <v>0</v>
      </c>
      <c r="B1160" s="2">
        <v>42640.1677314815</v>
      </c>
      <c r="C1160">
        <v>23338</v>
      </c>
      <c r="D1160">
        <v>7658</v>
      </c>
      <c r="E1160" t="s">
        <v>1162</v>
      </c>
    </row>
    <row r="1161" spans="1:5">
      <c r="A1161">
        <f>HYPERLINK("http://www.twitter.com/realDonaldTrump/status/780617562476441601", "780617562476441601")</f>
        <v>0</v>
      </c>
      <c r="B1161" s="2">
        <v>42640.1655555556</v>
      </c>
      <c r="C1161">
        <v>41526</v>
      </c>
      <c r="D1161">
        <v>19313</v>
      </c>
      <c r="E1161" t="s">
        <v>1163</v>
      </c>
    </row>
    <row r="1162" spans="1:5">
      <c r="A1162">
        <f>HYPERLINK("http://www.twitter.com/realDonaldTrump/status/780598541441912832", "780598541441912832")</f>
        <v>0</v>
      </c>
      <c r="B1162" s="2">
        <v>42640.1130671296</v>
      </c>
      <c r="C1162">
        <v>20059</v>
      </c>
      <c r="D1162">
        <v>8804</v>
      </c>
      <c r="E1162" t="s">
        <v>1164</v>
      </c>
    </row>
    <row r="1163" spans="1:5">
      <c r="A1163">
        <f>HYPERLINK("http://www.twitter.com/realDonaldTrump/status/780597941979480064", "780597941979480064")</f>
        <v>0</v>
      </c>
      <c r="B1163" s="2">
        <v>42640.111412037</v>
      </c>
      <c r="C1163">
        <v>58771</v>
      </c>
      <c r="D1163">
        <v>31071</v>
      </c>
      <c r="E1163" t="s">
        <v>1165</v>
      </c>
    </row>
    <row r="1164" spans="1:5">
      <c r="A1164">
        <f>HYPERLINK("http://www.twitter.com/realDonaldTrump/status/780596871102201856", "780596871102201856")</f>
        <v>0</v>
      </c>
      <c r="B1164" s="2">
        <v>42640.1084606481</v>
      </c>
      <c r="C1164">
        <v>15948</v>
      </c>
      <c r="D1164">
        <v>6808</v>
      </c>
      <c r="E1164" t="s">
        <v>1166</v>
      </c>
    </row>
    <row r="1165" spans="1:5">
      <c r="A1165">
        <f>HYPERLINK("http://www.twitter.com/realDonaldTrump/status/780596317865254913", "780596317865254913")</f>
        <v>0</v>
      </c>
      <c r="B1165" s="2">
        <v>42640.1069328704</v>
      </c>
      <c r="C1165">
        <v>0</v>
      </c>
      <c r="D1165">
        <v>6352</v>
      </c>
      <c r="E1165" t="s">
        <v>1167</v>
      </c>
    </row>
    <row r="1166" spans="1:5">
      <c r="A1166">
        <f>HYPERLINK("http://www.twitter.com/realDonaldTrump/status/780594918616162304", "780594918616162304")</f>
        <v>0</v>
      </c>
      <c r="B1166" s="2">
        <v>42640.1030787037</v>
      </c>
      <c r="C1166">
        <v>28218</v>
      </c>
      <c r="D1166">
        <v>12293</v>
      </c>
      <c r="E1166" t="s">
        <v>1168</v>
      </c>
    </row>
    <row r="1167" spans="1:5">
      <c r="A1167">
        <f>HYPERLINK("http://www.twitter.com/realDonaldTrump/status/780594362862362624", "780594362862362624")</f>
        <v>0</v>
      </c>
      <c r="B1167" s="2">
        <v>42640.1015393519</v>
      </c>
      <c r="C1167">
        <v>42967</v>
      </c>
      <c r="D1167">
        <v>22917</v>
      </c>
      <c r="E1167" t="s">
        <v>1169</v>
      </c>
    </row>
    <row r="1168" spans="1:5">
      <c r="A1168">
        <f>HYPERLINK("http://www.twitter.com/realDonaldTrump/status/780593350604824576", "780593350604824576")</f>
        <v>0</v>
      </c>
      <c r="B1168" s="2">
        <v>42640.09875</v>
      </c>
      <c r="C1168">
        <v>0</v>
      </c>
      <c r="D1168">
        <v>7851</v>
      </c>
      <c r="E1168" t="s">
        <v>1170</v>
      </c>
    </row>
    <row r="1169" spans="1:5">
      <c r="A1169">
        <f>HYPERLINK("http://www.twitter.com/realDonaldTrump/status/780593298247483392", "780593298247483392")</f>
        <v>0</v>
      </c>
      <c r="B1169" s="2">
        <v>42640.098599537</v>
      </c>
      <c r="C1169">
        <v>21329</v>
      </c>
      <c r="D1169">
        <v>9164</v>
      </c>
      <c r="E1169" t="s">
        <v>1171</v>
      </c>
    </row>
    <row r="1170" spans="1:5">
      <c r="A1170">
        <f>HYPERLINK("http://www.twitter.com/realDonaldTrump/status/780592744355893248", "780592744355893248")</f>
        <v>0</v>
      </c>
      <c r="B1170" s="2">
        <v>42640.0970717593</v>
      </c>
      <c r="C1170">
        <v>12894</v>
      </c>
      <c r="D1170">
        <v>5862</v>
      </c>
      <c r="E1170" t="s">
        <v>1172</v>
      </c>
    </row>
    <row r="1171" spans="1:5">
      <c r="A1171">
        <f>HYPERLINK("http://www.twitter.com/realDonaldTrump/status/780592630585499648", "780592630585499648")</f>
        <v>0</v>
      </c>
      <c r="B1171" s="2">
        <v>42640.0967592593</v>
      </c>
      <c r="C1171">
        <v>0</v>
      </c>
      <c r="D1171">
        <v>5389</v>
      </c>
      <c r="E1171" t="s">
        <v>1173</v>
      </c>
    </row>
    <row r="1172" spans="1:5">
      <c r="A1172">
        <f>HYPERLINK("http://www.twitter.com/realDonaldTrump/status/780590406501150723", "780590406501150723")</f>
        <v>0</v>
      </c>
      <c r="B1172" s="2">
        <v>42640.090625</v>
      </c>
      <c r="C1172">
        <v>0</v>
      </c>
      <c r="D1172">
        <v>5750</v>
      </c>
      <c r="E1172" t="s">
        <v>1174</v>
      </c>
    </row>
    <row r="1173" spans="1:5">
      <c r="A1173">
        <f>HYPERLINK("http://www.twitter.com/realDonaldTrump/status/780585742850555904", "780585742850555904")</f>
        <v>0</v>
      </c>
      <c r="B1173" s="2">
        <v>42640.0777546296</v>
      </c>
      <c r="C1173">
        <v>35065</v>
      </c>
      <c r="D1173">
        <v>12561</v>
      </c>
      <c r="E1173" t="s">
        <v>1175</v>
      </c>
    </row>
    <row r="1174" spans="1:5">
      <c r="A1174">
        <f>HYPERLINK("http://www.twitter.com/realDonaldTrump/status/780585254583169078", "780585254583169078")</f>
        <v>0</v>
      </c>
      <c r="B1174" s="2">
        <v>42640.076400463</v>
      </c>
      <c r="C1174">
        <v>0</v>
      </c>
      <c r="D1174">
        <v>4796</v>
      </c>
      <c r="E1174" t="s">
        <v>1176</v>
      </c>
    </row>
    <row r="1175" spans="1:5">
      <c r="A1175">
        <f>HYPERLINK("http://www.twitter.com/realDonaldTrump/status/780583741051768832", "780583741051768832")</f>
        <v>0</v>
      </c>
      <c r="B1175" s="2">
        <v>42640.0722337963</v>
      </c>
      <c r="C1175">
        <v>0</v>
      </c>
      <c r="D1175">
        <v>2023</v>
      </c>
      <c r="E1175" t="s">
        <v>1177</v>
      </c>
    </row>
    <row r="1176" spans="1:5">
      <c r="A1176">
        <f>HYPERLINK("http://www.twitter.com/realDonaldTrump/status/780581933176778752", "780581933176778752")</f>
        <v>0</v>
      </c>
      <c r="B1176" s="2">
        <v>42640.0672453704</v>
      </c>
      <c r="C1176">
        <v>33231</v>
      </c>
      <c r="D1176">
        <v>13406</v>
      </c>
      <c r="E1176" t="s">
        <v>1178</v>
      </c>
    </row>
    <row r="1177" spans="1:5">
      <c r="A1177">
        <f>HYPERLINK("http://www.twitter.com/realDonaldTrump/status/780581215820591104", "780581215820591104")</f>
        <v>0</v>
      </c>
      <c r="B1177" s="2">
        <v>42640.0652662037</v>
      </c>
      <c r="C1177">
        <v>22527</v>
      </c>
      <c r="D1177">
        <v>12310</v>
      </c>
      <c r="E1177" t="s">
        <v>1179</v>
      </c>
    </row>
    <row r="1178" spans="1:5">
      <c r="A1178">
        <f>HYPERLINK("http://www.twitter.com/realDonaldTrump/status/780580825234415616", "780580825234415616")</f>
        <v>0</v>
      </c>
      <c r="B1178" s="2">
        <v>42640.0641782407</v>
      </c>
      <c r="C1178">
        <v>17132</v>
      </c>
      <c r="D1178">
        <v>8101</v>
      </c>
      <c r="E1178" t="s">
        <v>1180</v>
      </c>
    </row>
    <row r="1179" spans="1:5">
      <c r="A1179">
        <f>HYPERLINK("http://www.twitter.com/realDonaldTrump/status/780579923295600640", "780579923295600640")</f>
        <v>0</v>
      </c>
      <c r="B1179" s="2">
        <v>42640.0616898148</v>
      </c>
      <c r="C1179">
        <v>23422</v>
      </c>
      <c r="D1179">
        <v>9839</v>
      </c>
      <c r="E1179" t="s">
        <v>1181</v>
      </c>
    </row>
    <row r="1180" spans="1:5">
      <c r="A1180">
        <f>HYPERLINK("http://www.twitter.com/realDonaldTrump/status/780579728964980736", "780579728964980736")</f>
        <v>0</v>
      </c>
      <c r="B1180" s="2">
        <v>42640.0611574074</v>
      </c>
      <c r="C1180">
        <v>20821</v>
      </c>
      <c r="D1180">
        <v>7677</v>
      </c>
      <c r="E1180" t="s">
        <v>1182</v>
      </c>
    </row>
    <row r="1181" spans="1:5">
      <c r="A1181">
        <f>HYPERLINK("http://www.twitter.com/realDonaldTrump/status/780578636294459392", "780578636294459392")</f>
        <v>0</v>
      </c>
      <c r="B1181" s="2">
        <v>42640.0581365741</v>
      </c>
      <c r="C1181">
        <v>13622</v>
      </c>
      <c r="D1181">
        <v>5172</v>
      </c>
      <c r="E1181" t="s">
        <v>1183</v>
      </c>
    </row>
    <row r="1182" spans="1:5">
      <c r="A1182">
        <f>HYPERLINK("http://www.twitter.com/realDonaldTrump/status/780577426657120258", "780577426657120258")</f>
        <v>0</v>
      </c>
      <c r="B1182" s="2">
        <v>42640.0548032407</v>
      </c>
      <c r="C1182">
        <v>17838</v>
      </c>
      <c r="D1182">
        <v>7858</v>
      </c>
      <c r="E1182" t="s">
        <v>1184</v>
      </c>
    </row>
    <row r="1183" spans="1:5">
      <c r="A1183">
        <f>HYPERLINK("http://www.twitter.com/realDonaldTrump/status/780576225848885249", "780576225848885249")</f>
        <v>0</v>
      </c>
      <c r="B1183" s="2">
        <v>42640.0514930556</v>
      </c>
      <c r="C1183">
        <v>0</v>
      </c>
      <c r="D1183">
        <v>4159</v>
      </c>
      <c r="E1183" t="s">
        <v>1185</v>
      </c>
    </row>
    <row r="1184" spans="1:5">
      <c r="A1184">
        <f>HYPERLINK("http://www.twitter.com/realDonaldTrump/status/780569413321789440", "780569413321789440")</f>
        <v>0</v>
      </c>
      <c r="B1184" s="2">
        <v>42640.0326967593</v>
      </c>
      <c r="C1184">
        <v>33853</v>
      </c>
      <c r="D1184">
        <v>18485</v>
      </c>
      <c r="E1184" t="s">
        <v>1186</v>
      </c>
    </row>
    <row r="1185" spans="1:5">
      <c r="A1185">
        <f>HYPERLINK("http://www.twitter.com/realDonaldTrump/status/780550185365737472", "780550185365737472")</f>
        <v>0</v>
      </c>
      <c r="B1185" s="2">
        <v>42639.9796296296</v>
      </c>
      <c r="C1185">
        <v>0</v>
      </c>
      <c r="D1185">
        <v>3585</v>
      </c>
      <c r="E1185" t="s">
        <v>1187</v>
      </c>
    </row>
    <row r="1186" spans="1:5">
      <c r="A1186">
        <f>HYPERLINK("http://www.twitter.com/realDonaldTrump/status/780535389853458432", "780535389853458432")</f>
        <v>0</v>
      </c>
      <c r="B1186" s="2">
        <v>42639.9388078704</v>
      </c>
      <c r="C1186">
        <v>57572</v>
      </c>
      <c r="D1186">
        <v>19327</v>
      </c>
      <c r="E1186" t="s">
        <v>1188</v>
      </c>
    </row>
    <row r="1187" spans="1:5">
      <c r="A1187">
        <f>HYPERLINK("http://www.twitter.com/realDonaldTrump/status/780444199737036800", "780444199737036800")</f>
        <v>0</v>
      </c>
      <c r="B1187" s="2">
        <v>42639.6871643519</v>
      </c>
      <c r="C1187">
        <v>0</v>
      </c>
      <c r="D1187">
        <v>7894</v>
      </c>
      <c r="E1187" t="s">
        <v>1189</v>
      </c>
    </row>
    <row r="1188" spans="1:5">
      <c r="A1188">
        <f>HYPERLINK("http://www.twitter.com/realDonaldTrump/status/780377077518364673", "780377077518364673")</f>
        <v>0</v>
      </c>
      <c r="B1188" s="2">
        <v>42639.5019444444</v>
      </c>
      <c r="C1188">
        <v>28583</v>
      </c>
      <c r="D1188">
        <v>11422</v>
      </c>
      <c r="E1188" t="s">
        <v>1190</v>
      </c>
    </row>
    <row r="1189" spans="1:5">
      <c r="A1189">
        <f>HYPERLINK("http://www.twitter.com/realDonaldTrump/status/780213717082529792", "780213717082529792")</f>
        <v>0</v>
      </c>
      <c r="B1189" s="2">
        <v>42639.0511574074</v>
      </c>
      <c r="C1189">
        <v>60805</v>
      </c>
      <c r="D1189">
        <v>16786</v>
      </c>
      <c r="E1189" t="s">
        <v>1191</v>
      </c>
    </row>
    <row r="1190" spans="1:5">
      <c r="A1190">
        <f>HYPERLINK("http://www.twitter.com/realDonaldTrump/status/780199873979219968", "780199873979219968")</f>
        <v>0</v>
      </c>
      <c r="B1190" s="2">
        <v>42639.012962963</v>
      </c>
      <c r="C1190">
        <v>29858</v>
      </c>
      <c r="D1190">
        <v>11119</v>
      </c>
      <c r="E1190" t="s">
        <v>1192</v>
      </c>
    </row>
    <row r="1191" spans="1:5">
      <c r="A1191">
        <f>HYPERLINK("http://www.twitter.com/realDonaldTrump/status/780108403326775297", "780108403326775297")</f>
        <v>0</v>
      </c>
      <c r="B1191" s="2">
        <v>42638.7605439815</v>
      </c>
      <c r="C1191">
        <v>30328</v>
      </c>
      <c r="D1191">
        <v>11541</v>
      </c>
      <c r="E1191" t="s">
        <v>1193</v>
      </c>
    </row>
    <row r="1192" spans="1:5">
      <c r="A1192">
        <f>HYPERLINK("http://www.twitter.com/realDonaldTrump/status/780034352604405760", "780034352604405760")</f>
        <v>0</v>
      </c>
      <c r="B1192" s="2">
        <v>42638.5562037037</v>
      </c>
      <c r="C1192">
        <v>30799</v>
      </c>
      <c r="D1192">
        <v>8424</v>
      </c>
      <c r="E1192" t="s">
        <v>1194</v>
      </c>
    </row>
    <row r="1193" spans="1:5">
      <c r="A1193">
        <f>HYPERLINK("http://www.twitter.com/realDonaldTrump/status/780030282854432768", "780030282854432768")</f>
        <v>0</v>
      </c>
      <c r="B1193" s="2">
        <v>42638.5449768519</v>
      </c>
      <c r="C1193">
        <v>26260</v>
      </c>
      <c r="D1193">
        <v>8356</v>
      </c>
      <c r="E1193" t="s">
        <v>1195</v>
      </c>
    </row>
    <row r="1194" spans="1:5">
      <c r="A1194">
        <f>HYPERLINK("http://www.twitter.com/realDonaldTrump/status/780021651962462208", "780021651962462208")</f>
        <v>0</v>
      </c>
      <c r="B1194" s="2">
        <v>42638.5211574074</v>
      </c>
      <c r="C1194">
        <v>28376</v>
      </c>
      <c r="D1194">
        <v>8479</v>
      </c>
      <c r="E1194" t="s">
        <v>1196</v>
      </c>
    </row>
    <row r="1195" spans="1:5">
      <c r="A1195">
        <f>HYPERLINK("http://www.twitter.com/realDonaldTrump/status/779827513375780864", "779827513375780864")</f>
        <v>0</v>
      </c>
      <c r="B1195" s="2">
        <v>42637.9854398148</v>
      </c>
      <c r="C1195">
        <v>20485</v>
      </c>
      <c r="D1195">
        <v>6393</v>
      </c>
      <c r="E1195" t="s">
        <v>1197</v>
      </c>
    </row>
    <row r="1196" spans="1:5">
      <c r="A1196">
        <f>HYPERLINK("http://www.twitter.com/realDonaldTrump/status/779729180334387200", "779729180334387200")</f>
        <v>0</v>
      </c>
      <c r="B1196" s="2">
        <v>42637.7140856481</v>
      </c>
      <c r="C1196">
        <v>65993</v>
      </c>
      <c r="D1196">
        <v>31050</v>
      </c>
      <c r="E1196" t="s">
        <v>1198</v>
      </c>
    </row>
    <row r="1197" spans="1:5">
      <c r="A1197">
        <f>HYPERLINK("http://www.twitter.com/realDonaldTrump/status/779684468814667777", "779684468814667777")</f>
        <v>0</v>
      </c>
      <c r="B1197" s="2">
        <v>42637.5907060185</v>
      </c>
      <c r="C1197">
        <v>16142</v>
      </c>
      <c r="D1197">
        <v>4739</v>
      </c>
      <c r="E1197" t="s">
        <v>1199</v>
      </c>
    </row>
    <row r="1198" spans="1:5">
      <c r="A1198">
        <f>HYPERLINK("http://www.twitter.com/realDonaldTrump/status/779662636770353152", "779662636770353152")</f>
        <v>0</v>
      </c>
      <c r="B1198" s="2">
        <v>42637.530462963</v>
      </c>
      <c r="C1198">
        <v>24660</v>
      </c>
      <c r="D1198">
        <v>9996</v>
      </c>
      <c r="E1198" t="s">
        <v>1200</v>
      </c>
    </row>
    <row r="1199" spans="1:5">
      <c r="A1199">
        <f>HYPERLINK("http://www.twitter.com/realDonaldTrump/status/779660413000617985", "779660413000617985")</f>
        <v>0</v>
      </c>
      <c r="B1199" s="2">
        <v>42637.5243287037</v>
      </c>
      <c r="C1199">
        <v>42390</v>
      </c>
      <c r="D1199">
        <v>12431</v>
      </c>
      <c r="E1199" t="s">
        <v>1201</v>
      </c>
    </row>
    <row r="1200" spans="1:5">
      <c r="A1200">
        <f>HYPERLINK("http://www.twitter.com/realDonaldTrump/status/779638140810194944", "779638140810194944")</f>
        <v>0</v>
      </c>
      <c r="B1200" s="2">
        <v>42637.4628703704</v>
      </c>
      <c r="C1200">
        <v>19025</v>
      </c>
      <c r="D1200">
        <v>6962</v>
      </c>
      <c r="E1200" t="s">
        <v>1202</v>
      </c>
    </row>
    <row r="1201" spans="1:5">
      <c r="A1201">
        <f>HYPERLINK("http://www.twitter.com/realDonaldTrump/status/779503099492831233", "779503099492831233")</f>
        <v>0</v>
      </c>
      <c r="B1201" s="2">
        <v>42637.0902314815</v>
      </c>
      <c r="C1201">
        <v>28081</v>
      </c>
      <c r="D1201">
        <v>9185</v>
      </c>
      <c r="E1201" t="s">
        <v>1203</v>
      </c>
    </row>
    <row r="1202" spans="1:5">
      <c r="A1202">
        <f>HYPERLINK("http://www.twitter.com/realDonaldTrump/status/779413482882162688", "779413482882162688")</f>
        <v>0</v>
      </c>
      <c r="B1202" s="2">
        <v>42636.8429282407</v>
      </c>
      <c r="C1202">
        <v>13326</v>
      </c>
      <c r="D1202">
        <v>4510</v>
      </c>
      <c r="E1202" t="s">
        <v>1204</v>
      </c>
    </row>
    <row r="1203" spans="1:5">
      <c r="A1203">
        <f>HYPERLINK("http://www.twitter.com/realDonaldTrump/status/779372844513947648", "779372844513947648")</f>
        <v>0</v>
      </c>
      <c r="B1203" s="2">
        <v>42636.730787037</v>
      </c>
      <c r="C1203">
        <v>15950</v>
      </c>
      <c r="D1203">
        <v>7000</v>
      </c>
      <c r="E1203" t="s">
        <v>1205</v>
      </c>
    </row>
    <row r="1204" spans="1:5">
      <c r="A1204">
        <f>HYPERLINK("http://www.twitter.com/realDonaldTrump/status/779371482329837568", "779371482329837568")</f>
        <v>0</v>
      </c>
      <c r="B1204" s="2">
        <v>42636.727037037</v>
      </c>
      <c r="C1204">
        <v>39816</v>
      </c>
      <c r="D1204">
        <v>19839</v>
      </c>
      <c r="E1204" t="s">
        <v>1206</v>
      </c>
    </row>
    <row r="1205" spans="1:5">
      <c r="A1205">
        <f>HYPERLINK("http://www.twitter.com/realDonaldTrump/status/779349049778601984", "779349049778601984")</f>
        <v>0</v>
      </c>
      <c r="B1205" s="2">
        <v>42636.6651273148</v>
      </c>
      <c r="C1205">
        <v>16320</v>
      </c>
      <c r="D1205">
        <v>6145</v>
      </c>
      <c r="E1205" t="s">
        <v>1207</v>
      </c>
    </row>
    <row r="1206" spans="1:5">
      <c r="A1206">
        <f>HYPERLINK("http://www.twitter.com/realDonaldTrump/status/779348578040963073", "779348578040963073")</f>
        <v>0</v>
      </c>
      <c r="B1206" s="2">
        <v>42636.6638310185</v>
      </c>
      <c r="C1206">
        <v>0</v>
      </c>
      <c r="D1206">
        <v>6284</v>
      </c>
      <c r="E1206" t="s">
        <v>1208</v>
      </c>
    </row>
    <row r="1207" spans="1:5">
      <c r="A1207">
        <f>HYPERLINK("http://www.twitter.com/realDonaldTrump/status/779140534753435648", "779140534753435648")</f>
        <v>0</v>
      </c>
      <c r="B1207" s="2">
        <v>42636.0897337963</v>
      </c>
      <c r="C1207">
        <v>27367</v>
      </c>
      <c r="D1207">
        <v>8171</v>
      </c>
      <c r="E1207" t="s">
        <v>1209</v>
      </c>
    </row>
    <row r="1208" spans="1:5">
      <c r="A1208">
        <f>HYPERLINK("http://www.twitter.com/realDonaldTrump/status/779127602988650498", "779127602988650498")</f>
        <v>0</v>
      </c>
      <c r="B1208" s="2">
        <v>42636.0540509259</v>
      </c>
      <c r="C1208">
        <v>18575</v>
      </c>
      <c r="D1208">
        <v>6151</v>
      </c>
      <c r="E1208" t="s">
        <v>1210</v>
      </c>
    </row>
    <row r="1209" spans="1:5">
      <c r="A1209">
        <f>HYPERLINK("http://www.twitter.com/realDonaldTrump/status/778968533749338112", "778968533749338112")</f>
        <v>0</v>
      </c>
      <c r="B1209" s="2">
        <v>42635.6151041667</v>
      </c>
      <c r="C1209">
        <v>13551</v>
      </c>
      <c r="D1209">
        <v>4398</v>
      </c>
      <c r="E1209" t="s">
        <v>1211</v>
      </c>
    </row>
    <row r="1210" spans="1:5">
      <c r="A1210">
        <f>HYPERLINK("http://www.twitter.com/realDonaldTrump/status/778912230633005056", "778912230633005056")</f>
        <v>0</v>
      </c>
      <c r="B1210" s="2">
        <v>42635.4597337963</v>
      </c>
      <c r="C1210">
        <v>12631</v>
      </c>
      <c r="D1210">
        <v>2271</v>
      </c>
      <c r="E1210" t="s">
        <v>1212</v>
      </c>
    </row>
    <row r="1211" spans="1:5">
      <c r="A1211">
        <f>HYPERLINK("http://www.twitter.com/realDonaldTrump/status/778760237629210624", "778760237629210624")</f>
        <v>0</v>
      </c>
      <c r="B1211" s="2">
        <v>42635.0403125</v>
      </c>
      <c r="C1211">
        <v>14506</v>
      </c>
      <c r="D1211">
        <v>3885</v>
      </c>
      <c r="E1211" t="s">
        <v>1213</v>
      </c>
    </row>
    <row r="1212" spans="1:5">
      <c r="A1212">
        <f>HYPERLINK("http://www.twitter.com/realDonaldTrump/status/778759324491538432", "778759324491538432")</f>
        <v>0</v>
      </c>
      <c r="B1212" s="2">
        <v>42635.0378009259</v>
      </c>
      <c r="C1212">
        <v>15766</v>
      </c>
      <c r="D1212">
        <v>4562</v>
      </c>
      <c r="E1212" t="s">
        <v>1214</v>
      </c>
    </row>
    <row r="1213" spans="1:5">
      <c r="A1213">
        <f>HYPERLINK("http://www.twitter.com/realDonaldTrump/status/778758058394738689", "778758058394738689")</f>
        <v>0</v>
      </c>
      <c r="B1213" s="2">
        <v>42635.0343055556</v>
      </c>
      <c r="C1213">
        <v>15440</v>
      </c>
      <c r="D1213">
        <v>4068</v>
      </c>
      <c r="E1213" t="s">
        <v>1215</v>
      </c>
    </row>
    <row r="1214" spans="1:5">
      <c r="A1214">
        <f>HYPERLINK("http://www.twitter.com/realDonaldTrump/status/778724315244040194", "778724315244040194")</f>
        <v>0</v>
      </c>
      <c r="B1214" s="2">
        <v>42634.9411921296</v>
      </c>
      <c r="C1214">
        <v>26832</v>
      </c>
      <c r="D1214">
        <v>10268</v>
      </c>
      <c r="E1214" t="s">
        <v>1216</v>
      </c>
    </row>
    <row r="1215" spans="1:5">
      <c r="A1215">
        <f>HYPERLINK("http://www.twitter.com/realDonaldTrump/status/778701067588472832", "778701067588472832")</f>
        <v>0</v>
      </c>
      <c r="B1215" s="2">
        <v>42634.877037037</v>
      </c>
      <c r="C1215">
        <v>28128</v>
      </c>
      <c r="D1215">
        <v>8809</v>
      </c>
      <c r="E1215" t="s">
        <v>1217</v>
      </c>
    </row>
    <row r="1216" spans="1:5">
      <c r="A1216">
        <f>HYPERLINK("http://www.twitter.com/realDonaldTrump/status/778655495037091845", "778655495037091845")</f>
        <v>0</v>
      </c>
      <c r="B1216" s="2">
        <v>42634.7512847222</v>
      </c>
      <c r="C1216">
        <v>0</v>
      </c>
      <c r="D1216">
        <v>6915</v>
      </c>
      <c r="E1216" t="s">
        <v>1218</v>
      </c>
    </row>
    <row r="1217" spans="1:5">
      <c r="A1217">
        <f>HYPERLINK("http://www.twitter.com/realDonaldTrump/status/778585375174451200", "778585375174451200")</f>
        <v>0</v>
      </c>
      <c r="B1217" s="2">
        <v>42634.5577893518</v>
      </c>
      <c r="C1217">
        <v>38435</v>
      </c>
      <c r="D1217">
        <v>13148</v>
      </c>
      <c r="E1217" t="s">
        <v>1219</v>
      </c>
    </row>
    <row r="1218" spans="1:5">
      <c r="A1218">
        <f>HYPERLINK("http://www.twitter.com/realDonaldTrump/status/778584630396129281", "778584630396129281")</f>
        <v>0</v>
      </c>
      <c r="B1218" s="2">
        <v>42634.5557291667</v>
      </c>
      <c r="C1218">
        <v>27891</v>
      </c>
      <c r="D1218">
        <v>9459</v>
      </c>
      <c r="E1218" t="s">
        <v>1220</v>
      </c>
    </row>
    <row r="1219" spans="1:5">
      <c r="A1219">
        <f>HYPERLINK("http://www.twitter.com/realDonaldTrump/status/778553790568001540", "778553790568001540")</f>
        <v>0</v>
      </c>
      <c r="B1219" s="2">
        <v>42634.4706365741</v>
      </c>
      <c r="C1219">
        <v>41657</v>
      </c>
      <c r="D1219">
        <v>16649</v>
      </c>
      <c r="E1219" t="s">
        <v>1221</v>
      </c>
    </row>
    <row r="1220" spans="1:5">
      <c r="A1220">
        <f>HYPERLINK("http://www.twitter.com/realDonaldTrump/status/778385212505989120", "778385212505989120")</f>
        <v>0</v>
      </c>
      <c r="B1220" s="2">
        <v>42634.0054513889</v>
      </c>
      <c r="C1220">
        <v>24481</v>
      </c>
      <c r="D1220">
        <v>8048</v>
      </c>
      <c r="E1220" t="s">
        <v>1222</v>
      </c>
    </row>
    <row r="1221" spans="1:5">
      <c r="A1221">
        <f>HYPERLINK("http://www.twitter.com/realDonaldTrump/status/778331181083418624", "778331181083418624")</f>
        <v>0</v>
      </c>
      <c r="B1221" s="2">
        <v>42633.8563425926</v>
      </c>
      <c r="C1221">
        <v>28098</v>
      </c>
      <c r="D1221">
        <v>9495</v>
      </c>
      <c r="E1221" t="s">
        <v>1223</v>
      </c>
    </row>
    <row r="1222" spans="1:5">
      <c r="A1222">
        <f>HYPERLINK("http://www.twitter.com/realDonaldTrump/status/778238281196662784", "778238281196662784")</f>
        <v>0</v>
      </c>
      <c r="B1222" s="2">
        <v>42633.5999884259</v>
      </c>
      <c r="C1222">
        <v>74287</v>
      </c>
      <c r="D1222">
        <v>29927</v>
      </c>
      <c r="E1222" t="s">
        <v>1224</v>
      </c>
    </row>
    <row r="1223" spans="1:5">
      <c r="A1223">
        <f>HYPERLINK("http://www.twitter.com/realDonaldTrump/status/778237787355111424", "778237787355111424")</f>
        <v>0</v>
      </c>
      <c r="B1223" s="2">
        <v>42633.5986342593</v>
      </c>
      <c r="C1223">
        <v>23774</v>
      </c>
      <c r="D1223">
        <v>6413</v>
      </c>
      <c r="E1223" t="s">
        <v>1225</v>
      </c>
    </row>
    <row r="1224" spans="1:5">
      <c r="A1224">
        <f>HYPERLINK("http://www.twitter.com/realDonaldTrump/status/778237485402980352", "778237485402980352")</f>
        <v>0</v>
      </c>
      <c r="B1224" s="2">
        <v>42633.5978009259</v>
      </c>
      <c r="C1224">
        <v>39494</v>
      </c>
      <c r="D1224">
        <v>12168</v>
      </c>
      <c r="E1224" t="s">
        <v>1226</v>
      </c>
    </row>
    <row r="1225" spans="1:5">
      <c r="A1225">
        <f>HYPERLINK("http://www.twitter.com/realDonaldTrump/status/778229963216519168", "778229963216519168")</f>
        <v>0</v>
      </c>
      <c r="B1225" s="2">
        <v>42633.577037037</v>
      </c>
      <c r="C1225">
        <v>17406</v>
      </c>
      <c r="D1225">
        <v>5913</v>
      </c>
      <c r="E1225" t="s">
        <v>1227</v>
      </c>
    </row>
    <row r="1226" spans="1:5">
      <c r="A1226">
        <f>HYPERLINK("http://www.twitter.com/realDonaldTrump/status/778229686769967104", "778229686769967104")</f>
        <v>0</v>
      </c>
      <c r="B1226" s="2">
        <v>42633.5762731481</v>
      </c>
      <c r="C1226">
        <v>16926</v>
      </c>
      <c r="D1226">
        <v>5756</v>
      </c>
      <c r="E1226" t="s">
        <v>1228</v>
      </c>
    </row>
    <row r="1227" spans="1:5">
      <c r="A1227">
        <f>HYPERLINK("http://www.twitter.com/realDonaldTrump/status/778202693215068161", "778202693215068161")</f>
        <v>0</v>
      </c>
      <c r="B1227" s="2">
        <v>42633.5017939815</v>
      </c>
      <c r="C1227">
        <v>27562</v>
      </c>
      <c r="D1227">
        <v>9224</v>
      </c>
      <c r="E1227" t="s">
        <v>1229</v>
      </c>
    </row>
    <row r="1228" spans="1:5">
      <c r="A1228">
        <f>HYPERLINK("http://www.twitter.com/realDonaldTrump/status/778027605572329472", "778027605572329472")</f>
        <v>0</v>
      </c>
      <c r="B1228" s="2">
        <v>42633.0186342593</v>
      </c>
      <c r="C1228">
        <v>22467</v>
      </c>
      <c r="D1228">
        <v>8173</v>
      </c>
      <c r="E1228" t="s">
        <v>1230</v>
      </c>
    </row>
    <row r="1229" spans="1:5">
      <c r="A1229">
        <f>HYPERLINK("http://www.twitter.com/realDonaldTrump/status/778025630956912640", "778025630956912640")</f>
        <v>0</v>
      </c>
      <c r="B1229" s="2">
        <v>42633.0131944444</v>
      </c>
      <c r="C1229">
        <v>27529</v>
      </c>
      <c r="D1229">
        <v>10470</v>
      </c>
      <c r="E1229" t="s">
        <v>1231</v>
      </c>
    </row>
    <row r="1230" spans="1:5">
      <c r="A1230">
        <f>HYPERLINK("http://www.twitter.com/realDonaldTrump/status/778024608733749249", "778024608733749249")</f>
        <v>0</v>
      </c>
      <c r="B1230" s="2">
        <v>42633.0103703704</v>
      </c>
      <c r="C1230">
        <v>13315</v>
      </c>
      <c r="D1230">
        <v>2796</v>
      </c>
      <c r="E1230" t="s">
        <v>1232</v>
      </c>
    </row>
    <row r="1231" spans="1:5">
      <c r="A1231">
        <f>HYPERLINK("http://www.twitter.com/realDonaldTrump/status/777958440211771392", "777958440211771392")</f>
        <v>0</v>
      </c>
      <c r="B1231" s="2">
        <v>42632.8277777778</v>
      </c>
      <c r="C1231">
        <v>17276</v>
      </c>
      <c r="D1231">
        <v>7914</v>
      </c>
      <c r="E1231" t="s">
        <v>1233</v>
      </c>
    </row>
    <row r="1232" spans="1:5">
      <c r="A1232">
        <f>HYPERLINK("http://www.twitter.com/realDonaldTrump/status/777913567676866560", "777913567676866560")</f>
        <v>0</v>
      </c>
      <c r="B1232" s="2">
        <v>42632.7039583333</v>
      </c>
      <c r="C1232">
        <v>24997</v>
      </c>
      <c r="D1232">
        <v>10324</v>
      </c>
      <c r="E1232" t="s">
        <v>1234</v>
      </c>
    </row>
    <row r="1233" spans="1:5">
      <c r="A1233">
        <f>HYPERLINK("http://www.twitter.com/realDonaldTrump/status/777910435425226753", "777910435425226753")</f>
        <v>0</v>
      </c>
      <c r="B1233" s="2">
        <v>42632.6953125</v>
      </c>
      <c r="C1233">
        <v>41198</v>
      </c>
      <c r="D1233">
        <v>15767</v>
      </c>
      <c r="E1233" t="s">
        <v>1235</v>
      </c>
    </row>
    <row r="1234" spans="1:5">
      <c r="A1234">
        <f>HYPERLINK("http://www.twitter.com/realDonaldTrump/status/777908242538196992", "777908242538196992")</f>
        <v>0</v>
      </c>
      <c r="B1234" s="2">
        <v>42632.6892592593</v>
      </c>
      <c r="C1234">
        <v>48227</v>
      </c>
      <c r="D1234">
        <v>16098</v>
      </c>
      <c r="E1234" t="s">
        <v>1236</v>
      </c>
    </row>
    <row r="1235" spans="1:5">
      <c r="A1235">
        <f>HYPERLINK("http://www.twitter.com/realDonaldTrump/status/777846568741441536", "777846568741441536")</f>
        <v>0</v>
      </c>
      <c r="B1235" s="2">
        <v>42632.5190740741</v>
      </c>
      <c r="C1235">
        <v>18098</v>
      </c>
      <c r="D1235">
        <v>7629</v>
      </c>
      <c r="E1235" t="s">
        <v>1237</v>
      </c>
    </row>
    <row r="1236" spans="1:5">
      <c r="A1236">
        <f>HYPERLINK("http://www.twitter.com/realDonaldTrump/status/777843428449251328", "777843428449251328")</f>
        <v>0</v>
      </c>
      <c r="B1236" s="2">
        <v>42632.5104050926</v>
      </c>
      <c r="C1236">
        <v>14916</v>
      </c>
      <c r="D1236">
        <v>4536</v>
      </c>
      <c r="E1236" t="s">
        <v>1238</v>
      </c>
    </row>
    <row r="1237" spans="1:5">
      <c r="A1237">
        <f>HYPERLINK("http://www.twitter.com/realDonaldTrump/status/777825186758418432", "777825186758418432")</f>
        <v>0</v>
      </c>
      <c r="B1237" s="2">
        <v>42632.4600694444</v>
      </c>
      <c r="C1237">
        <v>11232</v>
      </c>
      <c r="D1237">
        <v>2116</v>
      </c>
      <c r="E1237" t="s">
        <v>1239</v>
      </c>
    </row>
    <row r="1238" spans="1:5">
      <c r="A1238">
        <f>HYPERLINK("http://www.twitter.com/realDonaldTrump/status/777696726933180416", "777696726933180416")</f>
        <v>0</v>
      </c>
      <c r="B1238" s="2">
        <v>42632.1055902778</v>
      </c>
      <c r="C1238">
        <v>39725</v>
      </c>
      <c r="D1238">
        <v>12373</v>
      </c>
      <c r="E1238" t="s">
        <v>1240</v>
      </c>
    </row>
    <row r="1239" spans="1:5">
      <c r="A1239">
        <f>HYPERLINK("http://www.twitter.com/realDonaldTrump/status/777696356211326976", "777696356211326976")</f>
        <v>0</v>
      </c>
      <c r="B1239" s="2">
        <v>42632.1045601852</v>
      </c>
      <c r="C1239">
        <v>48118</v>
      </c>
      <c r="D1239">
        <v>19283</v>
      </c>
      <c r="E1239" t="s">
        <v>1241</v>
      </c>
    </row>
    <row r="1240" spans="1:5">
      <c r="A1240">
        <f>HYPERLINK("http://www.twitter.com/realDonaldTrump/status/777616135856545792", "777616135856545792")</f>
        <v>0</v>
      </c>
      <c r="B1240" s="2">
        <v>42631.8831944444</v>
      </c>
      <c r="C1240">
        <v>33614</v>
      </c>
      <c r="D1240">
        <v>11711</v>
      </c>
      <c r="E1240" t="s">
        <v>1242</v>
      </c>
    </row>
    <row r="1241" spans="1:5">
      <c r="A1241">
        <f>HYPERLINK("http://www.twitter.com/realDonaldTrump/status/777614946951696384", "777614946951696384")</f>
        <v>0</v>
      </c>
      <c r="B1241" s="2">
        <v>42631.8799189815</v>
      </c>
      <c r="C1241">
        <v>0</v>
      </c>
      <c r="D1241">
        <v>5506</v>
      </c>
      <c r="E1241" t="s">
        <v>1243</v>
      </c>
    </row>
    <row r="1242" spans="1:5">
      <c r="A1242">
        <f>HYPERLINK("http://www.twitter.com/realDonaldTrump/status/777494113834917888", "777494113834917888")</f>
        <v>0</v>
      </c>
      <c r="B1242" s="2">
        <v>42631.5464814815</v>
      </c>
      <c r="C1242">
        <v>52100</v>
      </c>
      <c r="D1242">
        <v>15889</v>
      </c>
      <c r="E1242" t="s">
        <v>1244</v>
      </c>
    </row>
    <row r="1243" spans="1:5">
      <c r="A1243">
        <f>HYPERLINK("http://www.twitter.com/realDonaldTrump/status/777284744253812740", "777284744253812740")</f>
        <v>0</v>
      </c>
      <c r="B1243" s="2">
        <v>42630.9687268519</v>
      </c>
      <c r="C1243">
        <v>20090</v>
      </c>
      <c r="D1243">
        <v>5708</v>
      </c>
      <c r="E1243" t="s">
        <v>1245</v>
      </c>
    </row>
    <row r="1244" spans="1:5">
      <c r="A1244">
        <f>HYPERLINK("http://www.twitter.com/realDonaldTrump/status/777281927841587200", "777281927841587200")</f>
        <v>0</v>
      </c>
      <c r="B1244" s="2">
        <v>42630.9609606481</v>
      </c>
      <c r="C1244">
        <v>22671</v>
      </c>
      <c r="D1244">
        <v>5628</v>
      </c>
      <c r="E1244" t="s">
        <v>1246</v>
      </c>
    </row>
    <row r="1245" spans="1:5">
      <c r="A1245">
        <f>HYPERLINK("http://www.twitter.com/realDonaldTrump/status/777280259875975169", "777280259875975169")</f>
        <v>0</v>
      </c>
      <c r="B1245" s="2">
        <v>42630.9563541667</v>
      </c>
      <c r="C1245">
        <v>27217</v>
      </c>
      <c r="D1245">
        <v>7985</v>
      </c>
      <c r="E1245" t="s">
        <v>1247</v>
      </c>
    </row>
    <row r="1246" spans="1:5">
      <c r="A1246">
        <f>HYPERLINK("http://www.twitter.com/realDonaldTrump/status/777260548991819776", "777260548991819776")</f>
        <v>0</v>
      </c>
      <c r="B1246" s="2">
        <v>42630.9019675926</v>
      </c>
      <c r="C1246">
        <v>31002</v>
      </c>
      <c r="D1246">
        <v>9938</v>
      </c>
      <c r="E1246" t="s">
        <v>1248</v>
      </c>
    </row>
    <row r="1247" spans="1:5">
      <c r="A1247">
        <f>HYPERLINK("http://www.twitter.com/realDonaldTrump/status/777197786039103488", "777197786039103488")</f>
        <v>0</v>
      </c>
      <c r="B1247" s="2">
        <v>42630.7287731481</v>
      </c>
      <c r="C1247">
        <v>18251</v>
      </c>
      <c r="D1247">
        <v>5425</v>
      </c>
      <c r="E1247" t="s">
        <v>1249</v>
      </c>
    </row>
    <row r="1248" spans="1:5">
      <c r="A1248">
        <f>HYPERLINK("http://www.twitter.com/realDonaldTrump/status/777197604887113728", "777197604887113728")</f>
        <v>0</v>
      </c>
      <c r="B1248" s="2">
        <v>42630.728275463</v>
      </c>
      <c r="C1248">
        <v>20355</v>
      </c>
      <c r="D1248">
        <v>6084</v>
      </c>
      <c r="E1248" t="s">
        <v>1250</v>
      </c>
    </row>
    <row r="1249" spans="1:5">
      <c r="A1249">
        <f>HYPERLINK("http://www.twitter.com/realDonaldTrump/status/777133433915002880", "777133433915002880")</f>
        <v>0</v>
      </c>
      <c r="B1249" s="2">
        <v>42630.5511921296</v>
      </c>
      <c r="C1249">
        <v>39364</v>
      </c>
      <c r="D1249">
        <v>12768</v>
      </c>
      <c r="E1249" t="s">
        <v>1251</v>
      </c>
    </row>
    <row r="1250" spans="1:5">
      <c r="A1250">
        <f>HYPERLINK("http://www.twitter.com/realDonaldTrump/status/777112789672341504", "777112789672341504")</f>
        <v>0</v>
      </c>
      <c r="B1250" s="2">
        <v>42630.494224537</v>
      </c>
      <c r="C1250">
        <v>23807</v>
      </c>
      <c r="D1250">
        <v>7330</v>
      </c>
      <c r="E1250" t="s">
        <v>1252</v>
      </c>
    </row>
    <row r="1251" spans="1:5">
      <c r="A1251">
        <f>HYPERLINK("http://www.twitter.com/realDonaldTrump/status/777022559367770112", "777022559367770112")</f>
        <v>0</v>
      </c>
      <c r="B1251" s="2">
        <v>42630.2452430556</v>
      </c>
      <c r="C1251">
        <v>39539</v>
      </c>
      <c r="D1251">
        <v>14258</v>
      </c>
      <c r="E1251" t="s">
        <v>1253</v>
      </c>
    </row>
    <row r="1252" spans="1:5">
      <c r="A1252">
        <f>HYPERLINK("http://www.twitter.com/realDonaldTrump/status/777015676586172417", "777015676586172417")</f>
        <v>0</v>
      </c>
      <c r="B1252" s="2">
        <v>42630.22625</v>
      </c>
      <c r="C1252">
        <v>20816</v>
      </c>
      <c r="D1252">
        <v>8283</v>
      </c>
      <c r="E1252" t="s">
        <v>1254</v>
      </c>
    </row>
    <row r="1253" spans="1:5">
      <c r="A1253">
        <f>HYPERLINK("http://www.twitter.com/realDonaldTrump/status/777013142526185473", "777013142526185473")</f>
        <v>0</v>
      </c>
      <c r="B1253" s="2">
        <v>42630.2192592593</v>
      </c>
      <c r="C1253">
        <v>19246</v>
      </c>
      <c r="D1253">
        <v>6926</v>
      </c>
      <c r="E1253" t="s">
        <v>1255</v>
      </c>
    </row>
    <row r="1254" spans="1:5">
      <c r="A1254">
        <f>HYPERLINK("http://www.twitter.com/realDonaldTrump/status/777004964409335808", "777004964409335808")</f>
        <v>0</v>
      </c>
      <c r="B1254" s="2">
        <v>42630.1966898148</v>
      </c>
      <c r="C1254">
        <v>14125</v>
      </c>
      <c r="D1254">
        <v>5154</v>
      </c>
      <c r="E1254" t="s">
        <v>1256</v>
      </c>
    </row>
    <row r="1255" spans="1:5">
      <c r="A1255">
        <f>HYPERLINK("http://www.twitter.com/realDonaldTrump/status/776998082936315904", "776998082936315904")</f>
        <v>0</v>
      </c>
      <c r="B1255" s="2">
        <v>42630.1776967593</v>
      </c>
      <c r="C1255">
        <v>26519</v>
      </c>
      <c r="D1255">
        <v>8404</v>
      </c>
      <c r="E1255" t="s">
        <v>1257</v>
      </c>
    </row>
    <row r="1256" spans="1:5">
      <c r="A1256">
        <f>HYPERLINK("http://www.twitter.com/realDonaldTrump/status/776952133358751744", "776952133358751744")</f>
        <v>0</v>
      </c>
      <c r="B1256" s="2">
        <v>42630.0509027778</v>
      </c>
      <c r="C1256">
        <v>22367</v>
      </c>
      <c r="D1256">
        <v>5677</v>
      </c>
      <c r="E1256" t="s">
        <v>1258</v>
      </c>
    </row>
    <row r="1257" spans="1:5">
      <c r="A1257">
        <f>HYPERLINK("http://www.twitter.com/realDonaldTrump/status/776888753499561984", "776888753499561984")</f>
        <v>0</v>
      </c>
      <c r="B1257" s="2">
        <v>42629.8760069444</v>
      </c>
      <c r="C1257">
        <v>29025</v>
      </c>
      <c r="D1257">
        <v>9997</v>
      </c>
      <c r="E1257" t="s">
        <v>1259</v>
      </c>
    </row>
    <row r="1258" spans="1:5">
      <c r="A1258">
        <f>HYPERLINK("http://www.twitter.com/realDonaldTrump/status/776842647294009344", "776842647294009344")</f>
        <v>0</v>
      </c>
      <c r="B1258" s="2">
        <v>42629.7487731481</v>
      </c>
      <c r="C1258">
        <v>26476</v>
      </c>
      <c r="D1258">
        <v>10294</v>
      </c>
      <c r="E1258" t="s">
        <v>1260</v>
      </c>
    </row>
    <row r="1259" spans="1:5">
      <c r="A1259">
        <f>HYPERLINK("http://www.twitter.com/realDonaldTrump/status/776773380414537728", "776773380414537728")</f>
        <v>0</v>
      </c>
      <c r="B1259" s="2">
        <v>42629.5576388889</v>
      </c>
      <c r="C1259">
        <v>26113</v>
      </c>
      <c r="D1259">
        <v>6501</v>
      </c>
      <c r="E1259" t="s">
        <v>1261</v>
      </c>
    </row>
    <row r="1260" spans="1:5">
      <c r="A1260">
        <f>HYPERLINK("http://www.twitter.com/realDonaldTrump/status/776624517087133696", "776624517087133696")</f>
        <v>0</v>
      </c>
      <c r="B1260" s="2">
        <v>42629.1468518519</v>
      </c>
      <c r="C1260">
        <v>18044</v>
      </c>
      <c r="D1260">
        <v>5772</v>
      </c>
      <c r="E1260" t="s">
        <v>1262</v>
      </c>
    </row>
    <row r="1261" spans="1:5">
      <c r="A1261">
        <f>HYPERLINK("http://www.twitter.com/realDonaldTrump/status/776612349079855104", "776612349079855104")</f>
        <v>0</v>
      </c>
      <c r="B1261" s="2">
        <v>42629.113275463</v>
      </c>
      <c r="C1261">
        <v>15094</v>
      </c>
      <c r="D1261">
        <v>4332</v>
      </c>
      <c r="E1261" t="s">
        <v>1263</v>
      </c>
    </row>
    <row r="1262" spans="1:5">
      <c r="A1262">
        <f>HYPERLINK("http://www.twitter.com/realDonaldTrump/status/776611024996823040", "776611024996823040")</f>
        <v>0</v>
      </c>
      <c r="B1262" s="2">
        <v>42629.1096180556</v>
      </c>
      <c r="C1262">
        <v>10259</v>
      </c>
      <c r="D1262">
        <v>2478</v>
      </c>
      <c r="E1262" t="s">
        <v>1264</v>
      </c>
    </row>
    <row r="1263" spans="1:5">
      <c r="A1263">
        <f>HYPERLINK("http://www.twitter.com/realDonaldTrump/status/776552722195705857", "776552722195705857")</f>
        <v>0</v>
      </c>
      <c r="B1263" s="2">
        <v>42628.9487384259</v>
      </c>
      <c r="C1263">
        <v>28270</v>
      </c>
      <c r="D1263">
        <v>10556</v>
      </c>
      <c r="E1263" t="s">
        <v>1265</v>
      </c>
    </row>
    <row r="1264" spans="1:5">
      <c r="A1264">
        <f>HYPERLINK("http://www.twitter.com/realDonaldTrump/status/776551473475887104", "776551473475887104")</f>
        <v>0</v>
      </c>
      <c r="B1264" s="2">
        <v>42628.9452893519</v>
      </c>
      <c r="C1264">
        <v>14043</v>
      </c>
      <c r="D1264">
        <v>3909</v>
      </c>
      <c r="E1264" t="s">
        <v>1266</v>
      </c>
    </row>
    <row r="1265" spans="1:5">
      <c r="A1265">
        <f>HYPERLINK("http://www.twitter.com/realDonaldTrump/status/776547091816517632", "776547091816517632")</f>
        <v>0</v>
      </c>
      <c r="B1265" s="2">
        <v>42628.9331944444</v>
      </c>
      <c r="C1265">
        <v>0</v>
      </c>
      <c r="D1265">
        <v>10105</v>
      </c>
      <c r="E1265" t="s">
        <v>1267</v>
      </c>
    </row>
    <row r="1266" spans="1:5">
      <c r="A1266">
        <f>HYPERLINK("http://www.twitter.com/realDonaldTrump/status/776528966668652544", "776528966668652544")</f>
        <v>0</v>
      </c>
      <c r="B1266" s="2">
        <v>42628.8831828704</v>
      </c>
      <c r="C1266">
        <v>13445</v>
      </c>
      <c r="D1266">
        <v>3616</v>
      </c>
      <c r="E1266" t="s">
        <v>1268</v>
      </c>
    </row>
    <row r="1267" spans="1:5">
      <c r="A1267">
        <f>HYPERLINK("http://www.twitter.com/realDonaldTrump/status/776468635955130368", "776468635955130368")</f>
        <v>0</v>
      </c>
      <c r="B1267" s="2">
        <v>42628.7167013889</v>
      </c>
      <c r="C1267">
        <v>15770</v>
      </c>
      <c r="D1267">
        <v>6001</v>
      </c>
      <c r="E1267" t="s">
        <v>1269</v>
      </c>
    </row>
    <row r="1268" spans="1:5">
      <c r="A1268">
        <f>HYPERLINK("http://www.twitter.com/realDonaldTrump/status/776445262420123648", "776445262420123648")</f>
        <v>0</v>
      </c>
      <c r="B1268" s="2">
        <v>42628.6521990741</v>
      </c>
      <c r="C1268">
        <v>10822</v>
      </c>
      <c r="D1268">
        <v>3348</v>
      </c>
      <c r="E1268" t="s">
        <v>1270</v>
      </c>
    </row>
    <row r="1269" spans="1:5">
      <c r="A1269">
        <f>HYPERLINK("http://www.twitter.com/realDonaldTrump/status/776432922450616320", "776432922450616320")</f>
        <v>0</v>
      </c>
      <c r="B1269" s="2">
        <v>42628.6181481481</v>
      </c>
      <c r="C1269">
        <v>23384</v>
      </c>
      <c r="D1269">
        <v>8629</v>
      </c>
      <c r="E1269" t="s">
        <v>1271</v>
      </c>
    </row>
    <row r="1270" spans="1:5">
      <c r="A1270">
        <f>HYPERLINK("http://www.twitter.com/realDonaldTrump/status/776428916303138816", "776428916303138816")</f>
        <v>0</v>
      </c>
      <c r="B1270" s="2">
        <v>42628.6070949074</v>
      </c>
      <c r="C1270">
        <v>12835</v>
      </c>
      <c r="D1270">
        <v>3649</v>
      </c>
      <c r="E1270" t="s">
        <v>1272</v>
      </c>
    </row>
    <row r="1271" spans="1:5">
      <c r="A1271">
        <f>HYPERLINK("http://www.twitter.com/realDonaldTrump/status/776372090068955136", "776372090068955136")</f>
        <v>0</v>
      </c>
      <c r="B1271" s="2">
        <v>42628.4502893519</v>
      </c>
      <c r="C1271">
        <v>10776</v>
      </c>
      <c r="D1271">
        <v>2090</v>
      </c>
      <c r="E1271" t="s">
        <v>1273</v>
      </c>
    </row>
    <row r="1272" spans="1:5">
      <c r="A1272">
        <f>HYPERLINK("http://www.twitter.com/realDonaldTrump/status/776270376846422017", "776270376846422017")</f>
        <v>0</v>
      </c>
      <c r="B1272" s="2">
        <v>42628.1696064815</v>
      </c>
      <c r="C1272">
        <v>13874</v>
      </c>
      <c r="D1272">
        <v>3444</v>
      </c>
      <c r="E1272" t="s">
        <v>1274</v>
      </c>
    </row>
    <row r="1273" spans="1:5">
      <c r="A1273">
        <f>HYPERLINK("http://www.twitter.com/realDonaldTrump/status/776269061823074304", "776269061823074304")</f>
        <v>0</v>
      </c>
      <c r="B1273" s="2">
        <v>42628.1659837963</v>
      </c>
      <c r="C1273">
        <v>27004</v>
      </c>
      <c r="D1273">
        <v>7750</v>
      </c>
      <c r="E1273" t="s">
        <v>1275</v>
      </c>
    </row>
    <row r="1274" spans="1:5">
      <c r="A1274">
        <f>HYPERLINK("http://www.twitter.com/realDonaldTrump/status/776254365627719680", "776254365627719680")</f>
        <v>0</v>
      </c>
      <c r="B1274" s="2">
        <v>42628.1254282407</v>
      </c>
      <c r="C1274">
        <v>12372</v>
      </c>
      <c r="D1274">
        <v>2992</v>
      </c>
      <c r="E1274" t="s">
        <v>1276</v>
      </c>
    </row>
    <row r="1275" spans="1:5">
      <c r="A1275">
        <f>HYPERLINK("http://www.twitter.com/realDonaldTrump/status/776247579600453632", "776247579600453632")</f>
        <v>0</v>
      </c>
      <c r="B1275" s="2">
        <v>42628.1067013889</v>
      </c>
      <c r="C1275">
        <v>19538</v>
      </c>
      <c r="D1275">
        <v>6530</v>
      </c>
      <c r="E1275" t="s">
        <v>1277</v>
      </c>
    </row>
    <row r="1276" spans="1:5">
      <c r="A1276">
        <f>HYPERLINK("http://www.twitter.com/realDonaldTrump/status/776223340595937280", "776223340595937280")</f>
        <v>0</v>
      </c>
      <c r="B1276" s="2">
        <v>42628.0398148148</v>
      </c>
      <c r="C1276">
        <v>18865</v>
      </c>
      <c r="D1276">
        <v>6150</v>
      </c>
      <c r="E1276" t="s">
        <v>1278</v>
      </c>
    </row>
    <row r="1277" spans="1:5">
      <c r="A1277">
        <f>HYPERLINK("http://www.twitter.com/realDonaldTrump/status/776213027989426176", "776213027989426176")</f>
        <v>0</v>
      </c>
      <c r="B1277" s="2">
        <v>42628.0113541667</v>
      </c>
      <c r="C1277">
        <v>12961</v>
      </c>
      <c r="D1277">
        <v>3871</v>
      </c>
      <c r="E1277" t="s">
        <v>1279</v>
      </c>
    </row>
    <row r="1278" spans="1:5">
      <c r="A1278">
        <f>HYPERLINK("http://www.twitter.com/realDonaldTrump/status/776169656080039936", "776169656080039936")</f>
        <v>0</v>
      </c>
      <c r="B1278" s="2">
        <v>42627.8916782407</v>
      </c>
      <c r="C1278">
        <v>23859</v>
      </c>
      <c r="D1278">
        <v>8016</v>
      </c>
      <c r="E1278" t="s">
        <v>1280</v>
      </c>
    </row>
    <row r="1279" spans="1:5">
      <c r="A1279">
        <f>HYPERLINK("http://www.twitter.com/realDonaldTrump/status/776160185337413632", "776160185337413632")</f>
        <v>0</v>
      </c>
      <c r="B1279" s="2">
        <v>42627.8655439815</v>
      </c>
      <c r="C1279">
        <v>19803</v>
      </c>
      <c r="D1279">
        <v>7146</v>
      </c>
      <c r="E1279" t="s">
        <v>1281</v>
      </c>
    </row>
    <row r="1280" spans="1:5">
      <c r="A1280">
        <f>HYPERLINK("http://www.twitter.com/realDonaldTrump/status/776101877805158400", "776101877805158400")</f>
        <v>0</v>
      </c>
      <c r="B1280" s="2">
        <v>42627.7046412037</v>
      </c>
      <c r="C1280">
        <v>9235</v>
      </c>
      <c r="D1280">
        <v>2685</v>
      </c>
      <c r="E1280" t="s">
        <v>1282</v>
      </c>
    </row>
    <row r="1281" spans="1:5">
      <c r="A1281">
        <f>HYPERLINK("http://www.twitter.com/realDonaldTrump/status/776058538137452548", "776058538137452548")</f>
        <v>0</v>
      </c>
      <c r="B1281" s="2">
        <v>42627.5850462963</v>
      </c>
      <c r="C1281">
        <v>33278</v>
      </c>
      <c r="D1281">
        <v>11439</v>
      </c>
      <c r="E1281" t="s">
        <v>1283</v>
      </c>
    </row>
    <row r="1282" spans="1:5">
      <c r="A1282">
        <f>HYPERLINK("http://www.twitter.com/realDonaldTrump/status/776053900780695553", "776053900780695553")</f>
        <v>0</v>
      </c>
      <c r="B1282" s="2">
        <v>42627.5722453704</v>
      </c>
      <c r="C1282">
        <v>22651</v>
      </c>
      <c r="D1282">
        <v>7589</v>
      </c>
      <c r="E1282" t="s">
        <v>1284</v>
      </c>
    </row>
    <row r="1283" spans="1:5">
      <c r="A1283">
        <f>HYPERLINK("http://www.twitter.com/realDonaldTrump/status/775897251533160448", "775897251533160448")</f>
        <v>0</v>
      </c>
      <c r="B1283" s="2">
        <v>42627.1399768519</v>
      </c>
      <c r="C1283">
        <v>22443</v>
      </c>
      <c r="D1283">
        <v>7983</v>
      </c>
      <c r="E1283" t="s">
        <v>1285</v>
      </c>
    </row>
    <row r="1284" spans="1:5">
      <c r="A1284">
        <f>HYPERLINK("http://www.twitter.com/realDonaldTrump/status/775894243143483392", "775894243143483392")</f>
        <v>0</v>
      </c>
      <c r="B1284" s="2">
        <v>42627.1316782407</v>
      </c>
      <c r="C1284">
        <v>61242</v>
      </c>
      <c r="D1284">
        <v>24388</v>
      </c>
      <c r="E1284" t="s">
        <v>1286</v>
      </c>
    </row>
    <row r="1285" spans="1:5">
      <c r="A1285">
        <f>HYPERLINK("http://www.twitter.com/realDonaldTrump/status/775888611615080448", "775888611615080448")</f>
        <v>0</v>
      </c>
      <c r="B1285" s="2">
        <v>42627.1161342593</v>
      </c>
      <c r="C1285">
        <v>11981</v>
      </c>
      <c r="D1285">
        <v>4107</v>
      </c>
      <c r="E1285" t="s">
        <v>1287</v>
      </c>
    </row>
    <row r="1286" spans="1:5">
      <c r="A1286">
        <f>HYPERLINK("http://www.twitter.com/realDonaldTrump/status/775888025213599744", "775888025213599744")</f>
        <v>0</v>
      </c>
      <c r="B1286" s="2">
        <v>42627.114525463</v>
      </c>
      <c r="C1286">
        <v>11714</v>
      </c>
      <c r="D1286">
        <v>4018</v>
      </c>
      <c r="E1286" t="s">
        <v>1288</v>
      </c>
    </row>
    <row r="1287" spans="1:5">
      <c r="A1287">
        <f>HYPERLINK("http://www.twitter.com/realDonaldTrump/status/775887550506536960", "775887550506536960")</f>
        <v>0</v>
      </c>
      <c r="B1287" s="2">
        <v>42627.1132060185</v>
      </c>
      <c r="C1287">
        <v>11004</v>
      </c>
      <c r="D1287">
        <v>3726</v>
      </c>
      <c r="E1287" t="s">
        <v>1289</v>
      </c>
    </row>
    <row r="1288" spans="1:5">
      <c r="A1288">
        <f>HYPERLINK("http://www.twitter.com/realDonaldTrump/status/775886838502481921", "775886838502481921")</f>
        <v>0</v>
      </c>
      <c r="B1288" s="2">
        <v>42627.11125</v>
      </c>
      <c r="C1288">
        <v>0</v>
      </c>
      <c r="D1288">
        <v>3786</v>
      </c>
      <c r="E1288" t="s">
        <v>1290</v>
      </c>
    </row>
    <row r="1289" spans="1:5">
      <c r="A1289">
        <f>HYPERLINK("http://www.twitter.com/realDonaldTrump/status/775883010508029953", "775883010508029953")</f>
        <v>0</v>
      </c>
      <c r="B1289" s="2">
        <v>42627.1006828704</v>
      </c>
      <c r="C1289">
        <v>18589</v>
      </c>
      <c r="D1289">
        <v>7418</v>
      </c>
      <c r="E1289" t="s">
        <v>1291</v>
      </c>
    </row>
    <row r="1290" spans="1:5">
      <c r="A1290">
        <f>HYPERLINK("http://www.twitter.com/realDonaldTrump/status/775826926560608256", "775826926560608256")</f>
        <v>0</v>
      </c>
      <c r="B1290" s="2">
        <v>42626.9459259259</v>
      </c>
      <c r="C1290">
        <v>0</v>
      </c>
      <c r="D1290">
        <v>4324</v>
      </c>
      <c r="E1290" t="s">
        <v>1292</v>
      </c>
    </row>
    <row r="1291" spans="1:5">
      <c r="A1291">
        <f>HYPERLINK("http://www.twitter.com/realDonaldTrump/status/775818716596477952", "775818716596477952")</f>
        <v>0</v>
      </c>
      <c r="B1291" s="2">
        <v>42626.9232638889</v>
      </c>
      <c r="C1291">
        <v>22654</v>
      </c>
      <c r="D1291">
        <v>10874</v>
      </c>
      <c r="E1291" t="s">
        <v>1293</v>
      </c>
    </row>
    <row r="1292" spans="1:5">
      <c r="A1292">
        <f>HYPERLINK("http://www.twitter.com/realDonaldTrump/status/775787262869180417", "775787262869180417")</f>
        <v>0</v>
      </c>
      <c r="B1292" s="2">
        <v>42626.8364699074</v>
      </c>
      <c r="C1292">
        <v>0</v>
      </c>
      <c r="D1292">
        <v>4167</v>
      </c>
      <c r="E1292" t="s">
        <v>1294</v>
      </c>
    </row>
    <row r="1293" spans="1:5">
      <c r="A1293">
        <f>HYPERLINK("http://www.twitter.com/realDonaldTrump/status/775781315081740289", "775781315081740289")</f>
        <v>0</v>
      </c>
      <c r="B1293" s="2">
        <v>42626.8200578704</v>
      </c>
      <c r="C1293">
        <v>11347</v>
      </c>
      <c r="D1293">
        <v>2853</v>
      </c>
      <c r="E1293" t="s">
        <v>1295</v>
      </c>
    </row>
    <row r="1294" spans="1:5">
      <c r="A1294">
        <f>HYPERLINK("http://www.twitter.com/realDonaldTrump/status/775710725926952961", "775710725926952961")</f>
        <v>0</v>
      </c>
      <c r="B1294" s="2">
        <v>42626.6252662037</v>
      </c>
      <c r="C1294">
        <v>15513</v>
      </c>
      <c r="D1294">
        <v>5183</v>
      </c>
      <c r="E1294" t="s">
        <v>1296</v>
      </c>
    </row>
    <row r="1295" spans="1:5">
      <c r="A1295">
        <f>HYPERLINK("http://www.twitter.com/realDonaldTrump/status/775683959061708800", "775683959061708800")</f>
        <v>0</v>
      </c>
      <c r="B1295" s="2">
        <v>42626.551412037</v>
      </c>
      <c r="C1295">
        <v>14370</v>
      </c>
      <c r="D1295">
        <v>4132</v>
      </c>
      <c r="E1295" t="s">
        <v>1297</v>
      </c>
    </row>
    <row r="1296" spans="1:5">
      <c r="A1296">
        <f>HYPERLINK("http://www.twitter.com/realDonaldTrump/status/775534440240013312", "775534440240013312")</f>
        <v>0</v>
      </c>
      <c r="B1296" s="2">
        <v>42626.1388078704</v>
      </c>
      <c r="C1296">
        <v>13541</v>
      </c>
      <c r="D1296">
        <v>4146</v>
      </c>
      <c r="E1296" t="s">
        <v>1298</v>
      </c>
    </row>
    <row r="1297" spans="1:5">
      <c r="A1297">
        <f>HYPERLINK("http://www.twitter.com/realDonaldTrump/status/775496470816514048", "775496470816514048")</f>
        <v>0</v>
      </c>
      <c r="B1297" s="2">
        <v>42626.0340393518</v>
      </c>
      <c r="C1297">
        <v>19332</v>
      </c>
      <c r="D1297">
        <v>5222</v>
      </c>
      <c r="E1297" t="s">
        <v>1299</v>
      </c>
    </row>
    <row r="1298" spans="1:5">
      <c r="A1298">
        <f>HYPERLINK("http://www.twitter.com/realDonaldTrump/status/775492989175160836", "775492989175160836")</f>
        <v>0</v>
      </c>
      <c r="B1298" s="2">
        <v>42626.0244328704</v>
      </c>
      <c r="C1298">
        <v>31287</v>
      </c>
      <c r="D1298">
        <v>7964</v>
      </c>
      <c r="E1298" t="s">
        <v>1300</v>
      </c>
    </row>
    <row r="1299" spans="1:5">
      <c r="A1299">
        <f>HYPERLINK("http://www.twitter.com/realDonaldTrump/status/775361266001084416", "775361266001084416")</f>
        <v>0</v>
      </c>
      <c r="B1299" s="2">
        <v>42625.6609375</v>
      </c>
      <c r="C1299">
        <v>31291</v>
      </c>
      <c r="D1299">
        <v>9312</v>
      </c>
      <c r="E1299" t="s">
        <v>1301</v>
      </c>
    </row>
    <row r="1300" spans="1:5">
      <c r="A1300">
        <f>HYPERLINK("http://www.twitter.com/realDonaldTrump/status/775293160838819841", "775293160838819841")</f>
        <v>0</v>
      </c>
      <c r="B1300" s="2">
        <v>42625.4730092593</v>
      </c>
      <c r="C1300">
        <v>11467</v>
      </c>
      <c r="D1300">
        <v>2328</v>
      </c>
      <c r="E1300" t="s">
        <v>1302</v>
      </c>
    </row>
    <row r="1301" spans="1:5">
      <c r="A1301">
        <f>HYPERLINK("http://www.twitter.com/realDonaldTrump/status/775275158340853760", "775275158340853760")</f>
        <v>0</v>
      </c>
      <c r="B1301" s="2">
        <v>42625.4233333333</v>
      </c>
      <c r="C1301">
        <v>14732</v>
      </c>
      <c r="D1301">
        <v>3099</v>
      </c>
      <c r="E1301" t="s">
        <v>1303</v>
      </c>
    </row>
    <row r="1302" spans="1:5">
      <c r="A1302">
        <f>HYPERLINK("http://www.twitter.com/realDonaldTrump/status/775024731883991040", "775024731883991040")</f>
        <v>0</v>
      </c>
      <c r="B1302" s="2">
        <v>42624.7322916667</v>
      </c>
      <c r="C1302">
        <v>26670</v>
      </c>
      <c r="D1302">
        <v>11591</v>
      </c>
      <c r="E1302" t="s">
        <v>1304</v>
      </c>
    </row>
    <row r="1303" spans="1:5">
      <c r="A1303">
        <f>HYPERLINK("http://www.twitter.com/realDonaldTrump/status/774778026479513600", "774778026479513600")</f>
        <v>0</v>
      </c>
      <c r="B1303" s="2">
        <v>42624.0515046296</v>
      </c>
      <c r="C1303">
        <v>27890</v>
      </c>
      <c r="D1303">
        <v>7893</v>
      </c>
      <c r="E1303" t="s">
        <v>1305</v>
      </c>
    </row>
    <row r="1304" spans="1:5">
      <c r="A1304">
        <f>HYPERLINK("http://www.twitter.com/realDonaldTrump/status/774753598970466304", "774753598970466304")</f>
        <v>0</v>
      </c>
      <c r="B1304" s="2">
        <v>42623.9840972222</v>
      </c>
      <c r="C1304">
        <v>44638</v>
      </c>
      <c r="D1304">
        <v>15390</v>
      </c>
      <c r="E1304" t="s">
        <v>1306</v>
      </c>
    </row>
    <row r="1305" spans="1:5">
      <c r="A1305">
        <f>HYPERLINK("http://www.twitter.com/realDonaldTrump/status/774710663373520897", "774710663373520897")</f>
        <v>0</v>
      </c>
      <c r="B1305" s="2">
        <v>42623.865625</v>
      </c>
      <c r="C1305">
        <v>0</v>
      </c>
      <c r="D1305">
        <v>27213</v>
      </c>
      <c r="E1305" t="s">
        <v>1307</v>
      </c>
    </row>
    <row r="1306" spans="1:5">
      <c r="A1306">
        <f>HYPERLINK("http://www.twitter.com/realDonaldTrump/status/774673449885192192", "774673449885192192")</f>
        <v>0</v>
      </c>
      <c r="B1306" s="2">
        <v>42623.7629282407</v>
      </c>
      <c r="C1306">
        <v>69972</v>
      </c>
      <c r="D1306">
        <v>25355</v>
      </c>
      <c r="E1306" t="s">
        <v>1308</v>
      </c>
    </row>
    <row r="1307" spans="1:5">
      <c r="A1307">
        <f>HYPERLINK("http://www.twitter.com/realDonaldTrump/status/774637168769830912", "774637168769830912")</f>
        <v>0</v>
      </c>
      <c r="B1307" s="2">
        <v>42623.6628125</v>
      </c>
      <c r="C1307">
        <v>35655</v>
      </c>
      <c r="D1307">
        <v>12054</v>
      </c>
      <c r="E1307" t="s">
        <v>1309</v>
      </c>
    </row>
    <row r="1308" spans="1:5">
      <c r="A1308">
        <f>HYPERLINK("http://www.twitter.com/realDonaldTrump/status/774590070355529728", "774590070355529728")</f>
        <v>0</v>
      </c>
      <c r="B1308" s="2">
        <v>42623.5328472222</v>
      </c>
      <c r="C1308">
        <v>60779</v>
      </c>
      <c r="D1308">
        <v>21511</v>
      </c>
      <c r="E1308" t="s">
        <v>1310</v>
      </c>
    </row>
    <row r="1309" spans="1:5">
      <c r="A1309">
        <f>HYPERLINK("http://www.twitter.com/realDonaldTrump/status/774589019929866240", "774589019929866240")</f>
        <v>0</v>
      </c>
      <c r="B1309" s="2">
        <v>42623.5299537037</v>
      </c>
      <c r="C1309">
        <v>24056</v>
      </c>
      <c r="D1309">
        <v>5946</v>
      </c>
      <c r="E1309" t="s">
        <v>1311</v>
      </c>
    </row>
    <row r="1310" spans="1:5">
      <c r="A1310">
        <f>HYPERLINK("http://www.twitter.com/realDonaldTrump/status/774585883165093888", "774585883165093888")</f>
        <v>0</v>
      </c>
      <c r="B1310" s="2">
        <v>42623.5212962963</v>
      </c>
      <c r="C1310">
        <v>10242</v>
      </c>
      <c r="D1310">
        <v>2406</v>
      </c>
      <c r="E1310" t="s">
        <v>1312</v>
      </c>
    </row>
    <row r="1311" spans="1:5">
      <c r="A1311">
        <f>HYPERLINK("http://www.twitter.com/realDonaldTrump/status/774491376906100736", "774491376906100736")</f>
        <v>0</v>
      </c>
      <c r="B1311" s="2">
        <v>42623.2605092593</v>
      </c>
      <c r="C1311">
        <v>20793</v>
      </c>
      <c r="D1311">
        <v>4713</v>
      </c>
      <c r="E1311" t="s">
        <v>1313</v>
      </c>
    </row>
    <row r="1312" spans="1:5">
      <c r="A1312">
        <f>HYPERLINK("http://www.twitter.com/realDonaldTrump/status/774487060384276480", "774487060384276480")</f>
        <v>0</v>
      </c>
      <c r="B1312" s="2">
        <v>42623.248599537</v>
      </c>
      <c r="C1312">
        <v>16969</v>
      </c>
      <c r="D1312">
        <v>4277</v>
      </c>
      <c r="E1312" t="s">
        <v>1314</v>
      </c>
    </row>
    <row r="1313" spans="1:5">
      <c r="A1313">
        <f>HYPERLINK("http://www.twitter.com/realDonaldTrump/status/774484342030602240", "774484342030602240")</f>
        <v>0</v>
      </c>
      <c r="B1313" s="2">
        <v>42623.241099537</v>
      </c>
      <c r="C1313">
        <v>16417</v>
      </c>
      <c r="D1313">
        <v>4358</v>
      </c>
      <c r="E1313" t="s">
        <v>1315</v>
      </c>
    </row>
    <row r="1314" spans="1:5">
      <c r="A1314">
        <f>HYPERLINK("http://www.twitter.com/realDonaldTrump/status/774435151975747584", "774435151975747584")</f>
        <v>0</v>
      </c>
      <c r="B1314" s="2">
        <v>42623.1053587963</v>
      </c>
      <c r="C1314">
        <v>19885</v>
      </c>
      <c r="D1314">
        <v>6923</v>
      </c>
      <c r="E1314" t="s">
        <v>1316</v>
      </c>
    </row>
    <row r="1315" spans="1:5">
      <c r="A1315">
        <f>HYPERLINK("http://www.twitter.com/realDonaldTrump/status/774399833733947393", "774399833733947393")</f>
        <v>0</v>
      </c>
      <c r="B1315" s="2">
        <v>42623.0078935185</v>
      </c>
      <c r="C1315">
        <v>14419</v>
      </c>
      <c r="D1315">
        <v>3542</v>
      </c>
      <c r="E1315" t="s">
        <v>1317</v>
      </c>
    </row>
    <row r="1316" spans="1:5">
      <c r="A1316">
        <f>HYPERLINK("http://www.twitter.com/realDonaldTrump/status/774386793038778368", "774386793038778368")</f>
        <v>0</v>
      </c>
      <c r="B1316" s="2">
        <v>42622.9719097222</v>
      </c>
      <c r="C1316">
        <v>22473</v>
      </c>
      <c r="D1316">
        <v>8421</v>
      </c>
      <c r="E1316" t="s">
        <v>1318</v>
      </c>
    </row>
    <row r="1317" spans="1:5">
      <c r="A1317">
        <f>HYPERLINK("http://www.twitter.com/realDonaldTrump/status/774385288948817920", "774385288948817920")</f>
        <v>0</v>
      </c>
      <c r="B1317" s="2">
        <v>42622.9677546296</v>
      </c>
      <c r="C1317">
        <v>21548</v>
      </c>
      <c r="D1317">
        <v>7682</v>
      </c>
      <c r="E1317" t="s">
        <v>1319</v>
      </c>
    </row>
    <row r="1318" spans="1:5">
      <c r="A1318">
        <f>HYPERLINK("http://www.twitter.com/realDonaldTrump/status/774354404162039808", "774354404162039808")</f>
        <v>0</v>
      </c>
      <c r="B1318" s="2">
        <v>42622.8825347222</v>
      </c>
      <c r="C1318">
        <v>21346</v>
      </c>
      <c r="D1318">
        <v>9827</v>
      </c>
      <c r="E1318" t="s">
        <v>1320</v>
      </c>
    </row>
    <row r="1319" spans="1:5">
      <c r="A1319">
        <f>HYPERLINK("http://www.twitter.com/realDonaldTrump/status/774299479155544064", "774299479155544064")</f>
        <v>0</v>
      </c>
      <c r="B1319" s="2">
        <v>42622.7309722222</v>
      </c>
      <c r="C1319">
        <v>17020</v>
      </c>
      <c r="D1319">
        <v>5091</v>
      </c>
      <c r="E1319" t="s">
        <v>1321</v>
      </c>
    </row>
    <row r="1320" spans="1:5">
      <c r="A1320">
        <f>HYPERLINK("http://www.twitter.com/realDonaldTrump/status/774281441144344576", "774281441144344576")</f>
        <v>0</v>
      </c>
      <c r="B1320" s="2">
        <v>42622.6811921296</v>
      </c>
      <c r="C1320">
        <v>0</v>
      </c>
      <c r="D1320">
        <v>4080</v>
      </c>
      <c r="E1320" t="s">
        <v>1322</v>
      </c>
    </row>
    <row r="1321" spans="1:5">
      <c r="A1321">
        <f>HYPERLINK("http://www.twitter.com/realDonaldTrump/status/774256782290128896", "774256782290128896")</f>
        <v>0</v>
      </c>
      <c r="B1321" s="2">
        <v>42622.6131481481</v>
      </c>
      <c r="C1321">
        <v>14413</v>
      </c>
      <c r="D1321">
        <v>4459</v>
      </c>
      <c r="E1321" t="s">
        <v>1323</v>
      </c>
    </row>
    <row r="1322" spans="1:5">
      <c r="A1322">
        <f>HYPERLINK("http://www.twitter.com/realDonaldTrump/status/774255510191239170", "774255510191239170")</f>
        <v>0</v>
      </c>
      <c r="B1322" s="2">
        <v>42622.6096412037</v>
      </c>
      <c r="C1322">
        <v>42639</v>
      </c>
      <c r="D1322">
        <v>15415</v>
      </c>
      <c r="E1322" t="s">
        <v>1324</v>
      </c>
    </row>
    <row r="1323" spans="1:5">
      <c r="A1323">
        <f>HYPERLINK("http://www.twitter.com/realDonaldTrump/status/774097705513517057", "774097705513517057")</f>
        <v>0</v>
      </c>
      <c r="B1323" s="2">
        <v>42622.1741782407</v>
      </c>
      <c r="C1323">
        <v>26384</v>
      </c>
      <c r="D1323">
        <v>8103</v>
      </c>
      <c r="E1323" t="s">
        <v>1325</v>
      </c>
    </row>
    <row r="1324" spans="1:5">
      <c r="A1324">
        <f>HYPERLINK("http://www.twitter.com/realDonaldTrump/status/774064919633428480", "774064919633428480")</f>
        <v>0</v>
      </c>
      <c r="B1324" s="2">
        <v>42622.0837037037</v>
      </c>
      <c r="C1324">
        <v>27256</v>
      </c>
      <c r="D1324">
        <v>10551</v>
      </c>
      <c r="E1324" t="s">
        <v>1326</v>
      </c>
    </row>
    <row r="1325" spans="1:5">
      <c r="A1325">
        <f>HYPERLINK("http://www.twitter.com/realDonaldTrump/status/774044548293074944", "774044548293074944")</f>
        <v>0</v>
      </c>
      <c r="B1325" s="2">
        <v>42622.0275</v>
      </c>
      <c r="C1325">
        <v>43407</v>
      </c>
      <c r="D1325">
        <v>14980</v>
      </c>
      <c r="E1325" t="s">
        <v>1327</v>
      </c>
    </row>
    <row r="1326" spans="1:5">
      <c r="A1326">
        <f>HYPERLINK("http://www.twitter.com/realDonaldTrump/status/774033670239760384", "774033670239760384")</f>
        <v>0</v>
      </c>
      <c r="B1326" s="2">
        <v>42621.9974768519</v>
      </c>
      <c r="C1326">
        <v>25417</v>
      </c>
      <c r="D1326">
        <v>10318</v>
      </c>
      <c r="E1326" t="s">
        <v>1328</v>
      </c>
    </row>
    <row r="1327" spans="1:5">
      <c r="A1327">
        <f>HYPERLINK("http://www.twitter.com/realDonaldTrump/status/773972305642913792", "773972305642913792")</f>
        <v>0</v>
      </c>
      <c r="B1327" s="2">
        <v>42621.8281481481</v>
      </c>
      <c r="C1327">
        <v>37055</v>
      </c>
      <c r="D1327">
        <v>15507</v>
      </c>
      <c r="E1327" t="s">
        <v>1329</v>
      </c>
    </row>
    <row r="1328" spans="1:5">
      <c r="A1328">
        <f>HYPERLINK("http://www.twitter.com/realDonaldTrump/status/773948271140016128", "773948271140016128")</f>
        <v>0</v>
      </c>
      <c r="B1328" s="2">
        <v>42621.7618171296</v>
      </c>
      <c r="C1328">
        <v>16912</v>
      </c>
      <c r="D1328">
        <v>4980</v>
      </c>
      <c r="E1328" t="s">
        <v>1330</v>
      </c>
    </row>
    <row r="1329" spans="1:5">
      <c r="A1329">
        <f>HYPERLINK("http://www.twitter.com/realDonaldTrump/status/773948120069615616", "773948120069615616")</f>
        <v>0</v>
      </c>
      <c r="B1329" s="2">
        <v>42621.761400463</v>
      </c>
      <c r="C1329">
        <v>17181</v>
      </c>
      <c r="D1329">
        <v>4842</v>
      </c>
      <c r="E1329" t="s">
        <v>1331</v>
      </c>
    </row>
    <row r="1330" spans="1:5">
      <c r="A1330">
        <f>HYPERLINK("http://www.twitter.com/realDonaldTrump/status/773920230192054272", "773920230192054272")</f>
        <v>0</v>
      </c>
      <c r="B1330" s="2">
        <v>42621.6844444444</v>
      </c>
      <c r="C1330">
        <v>30496</v>
      </c>
      <c r="D1330">
        <v>10487</v>
      </c>
      <c r="E1330" t="s">
        <v>1332</v>
      </c>
    </row>
    <row r="1331" spans="1:5">
      <c r="A1331">
        <f>HYPERLINK("http://www.twitter.com/realDonaldTrump/status/773903163296473088", "773903163296473088")</f>
        <v>0</v>
      </c>
      <c r="B1331" s="2">
        <v>42621.637349537</v>
      </c>
      <c r="C1331">
        <v>35133</v>
      </c>
      <c r="D1331">
        <v>11068</v>
      </c>
      <c r="E1331" t="s">
        <v>1333</v>
      </c>
    </row>
    <row r="1332" spans="1:5">
      <c r="A1332">
        <f>HYPERLINK("http://www.twitter.com/realDonaldTrump/status/773901007340310528", "773901007340310528")</f>
        <v>0</v>
      </c>
      <c r="B1332" s="2">
        <v>42621.631400463</v>
      </c>
      <c r="C1332">
        <v>0</v>
      </c>
      <c r="D1332">
        <v>7071</v>
      </c>
      <c r="E1332" t="s">
        <v>1334</v>
      </c>
    </row>
    <row r="1333" spans="1:5">
      <c r="A1333">
        <f>HYPERLINK("http://www.twitter.com/realDonaldTrump/status/773855962528620548", "773855962528620548")</f>
        <v>0</v>
      </c>
      <c r="B1333" s="2">
        <v>42621.5070949074</v>
      </c>
      <c r="C1333">
        <v>29158</v>
      </c>
      <c r="D1333">
        <v>8741</v>
      </c>
      <c r="E1333" t="s">
        <v>1335</v>
      </c>
    </row>
    <row r="1334" spans="1:5">
      <c r="A1334">
        <f>HYPERLINK("http://www.twitter.com/realDonaldTrump/status/773836389943246848", "773836389943246848")</f>
        <v>0</v>
      </c>
      <c r="B1334" s="2">
        <v>42621.4530902778</v>
      </c>
      <c r="C1334">
        <v>21786</v>
      </c>
      <c r="D1334">
        <v>5146</v>
      </c>
      <c r="E1334" t="s">
        <v>1336</v>
      </c>
    </row>
    <row r="1335" spans="1:5">
      <c r="A1335">
        <f>HYPERLINK("http://www.twitter.com/realDonaldTrump/status/773834064465920000", "773834064465920000")</f>
        <v>0</v>
      </c>
      <c r="B1335" s="2">
        <v>42621.4466666667</v>
      </c>
      <c r="C1335">
        <v>10619</v>
      </c>
      <c r="D1335">
        <v>2288</v>
      </c>
      <c r="E1335" t="s">
        <v>1337</v>
      </c>
    </row>
    <row r="1336" spans="1:5">
      <c r="A1336">
        <f>HYPERLINK("http://www.twitter.com/realDonaldTrump/status/773833021837438977", "773833021837438977")</f>
        <v>0</v>
      </c>
      <c r="B1336" s="2">
        <v>42621.4437962963</v>
      </c>
      <c r="C1336">
        <v>16446</v>
      </c>
      <c r="D1336">
        <v>3872</v>
      </c>
      <c r="E1336" t="s">
        <v>1338</v>
      </c>
    </row>
    <row r="1337" spans="1:5">
      <c r="A1337">
        <f>HYPERLINK("http://www.twitter.com/realDonaldTrump/status/773823089331277824", "773823089331277824")</f>
        <v>0</v>
      </c>
      <c r="B1337" s="2">
        <v>42621.4163888889</v>
      </c>
      <c r="C1337">
        <v>22929</v>
      </c>
      <c r="D1337">
        <v>9491</v>
      </c>
      <c r="E1337" t="s">
        <v>1339</v>
      </c>
    </row>
    <row r="1338" spans="1:5">
      <c r="A1338">
        <f>HYPERLINK("http://www.twitter.com/realDonaldTrump/status/773733162245582849", "773733162245582849")</f>
        <v>0</v>
      </c>
      <c r="B1338" s="2">
        <v>42621.1682291667</v>
      </c>
      <c r="C1338">
        <v>36459</v>
      </c>
      <c r="D1338">
        <v>9333</v>
      </c>
      <c r="E1338" t="s">
        <v>1340</v>
      </c>
    </row>
    <row r="1339" spans="1:5">
      <c r="A1339">
        <f>HYPERLINK("http://www.twitter.com/realDonaldTrump/status/773643843476611072", "773643843476611072")</f>
        <v>0</v>
      </c>
      <c r="B1339" s="2">
        <v>42620.9217592593</v>
      </c>
      <c r="C1339">
        <v>21527</v>
      </c>
      <c r="D1339">
        <v>8260</v>
      </c>
      <c r="E1339" t="s">
        <v>1341</v>
      </c>
    </row>
    <row r="1340" spans="1:5">
      <c r="A1340">
        <f>HYPERLINK("http://www.twitter.com/realDonaldTrump/status/773617820944961536", "773617820944961536")</f>
        <v>0</v>
      </c>
      <c r="B1340" s="2">
        <v>42620.8499537037</v>
      </c>
      <c r="C1340">
        <v>22058</v>
      </c>
      <c r="D1340">
        <v>6981</v>
      </c>
      <c r="E1340" t="s">
        <v>1342</v>
      </c>
    </row>
    <row r="1341" spans="1:5">
      <c r="A1341">
        <f>HYPERLINK("http://www.twitter.com/realDonaldTrump/status/773584728276475905", "773584728276475905")</f>
        <v>0</v>
      </c>
      <c r="B1341" s="2">
        <v>42620.7586342593</v>
      </c>
      <c r="C1341">
        <v>26827</v>
      </c>
      <c r="D1341">
        <v>8932</v>
      </c>
      <c r="E1341" t="s">
        <v>1343</v>
      </c>
    </row>
    <row r="1342" spans="1:5">
      <c r="A1342">
        <f>HYPERLINK("http://www.twitter.com/realDonaldTrump/status/773539317377478657", "773539317377478657")</f>
        <v>0</v>
      </c>
      <c r="B1342" s="2">
        <v>42620.6333217593</v>
      </c>
      <c r="C1342">
        <v>22403</v>
      </c>
      <c r="D1342">
        <v>8474</v>
      </c>
      <c r="E1342" t="s">
        <v>1344</v>
      </c>
    </row>
    <row r="1343" spans="1:5">
      <c r="A1343">
        <f>HYPERLINK("http://www.twitter.com/realDonaldTrump/status/773375897554526208", "773375897554526208")</f>
        <v>0</v>
      </c>
      <c r="B1343" s="2">
        <v>42620.1823726852</v>
      </c>
      <c r="C1343">
        <v>16893</v>
      </c>
      <c r="D1343">
        <v>5222</v>
      </c>
      <c r="E1343" t="s">
        <v>1345</v>
      </c>
    </row>
    <row r="1344" spans="1:5">
      <c r="A1344">
        <f>HYPERLINK("http://www.twitter.com/realDonaldTrump/status/773330142785630208", "773330142785630208")</f>
        <v>0</v>
      </c>
      <c r="B1344" s="2">
        <v>42620.0561111111</v>
      </c>
      <c r="C1344">
        <v>13072</v>
      </c>
      <c r="D1344">
        <v>3040</v>
      </c>
      <c r="E1344" t="s">
        <v>1346</v>
      </c>
    </row>
    <row r="1345" spans="1:5">
      <c r="A1345">
        <f>HYPERLINK("http://www.twitter.com/realDonaldTrump/status/773318106630463488", "773318106630463488")</f>
        <v>0</v>
      </c>
      <c r="B1345" s="2">
        <v>42620.0228935185</v>
      </c>
      <c r="C1345">
        <v>19093</v>
      </c>
      <c r="D1345">
        <v>6430</v>
      </c>
      <c r="E1345" t="s">
        <v>1347</v>
      </c>
    </row>
    <row r="1346" spans="1:5">
      <c r="A1346">
        <f>HYPERLINK("http://www.twitter.com/realDonaldTrump/status/773281879848062976", "773281879848062976")</f>
        <v>0</v>
      </c>
      <c r="B1346" s="2">
        <v>42619.9229282407</v>
      </c>
      <c r="C1346">
        <v>18944</v>
      </c>
      <c r="D1346">
        <v>6547</v>
      </c>
      <c r="E1346" t="s">
        <v>1348</v>
      </c>
    </row>
    <row r="1347" spans="1:5">
      <c r="A1347">
        <f>HYPERLINK("http://www.twitter.com/realDonaldTrump/status/773250022045548544", "773250022045548544")</f>
        <v>0</v>
      </c>
      <c r="B1347" s="2">
        <v>42619.8350231481</v>
      </c>
      <c r="C1347">
        <v>25805</v>
      </c>
      <c r="D1347">
        <v>8360</v>
      </c>
      <c r="E1347" t="s">
        <v>1349</v>
      </c>
    </row>
    <row r="1348" spans="1:5">
      <c r="A1348">
        <f>HYPERLINK("http://www.twitter.com/realDonaldTrump/status/773218706084290565", "773218706084290565")</f>
        <v>0</v>
      </c>
      <c r="B1348" s="2">
        <v>42619.748599537</v>
      </c>
      <c r="C1348">
        <v>13962</v>
      </c>
      <c r="D1348">
        <v>4747</v>
      </c>
      <c r="E1348" t="s">
        <v>1350</v>
      </c>
    </row>
    <row r="1349" spans="1:5">
      <c r="A1349">
        <f>HYPERLINK("http://www.twitter.com/realDonaldTrump/status/773206341296979972", "773206341296979972")</f>
        <v>0</v>
      </c>
      <c r="B1349" s="2">
        <v>42619.7144791667</v>
      </c>
      <c r="C1349">
        <v>33140</v>
      </c>
      <c r="D1349">
        <v>12507</v>
      </c>
      <c r="E1349" t="s">
        <v>1351</v>
      </c>
    </row>
    <row r="1350" spans="1:5">
      <c r="A1350">
        <f>HYPERLINK("http://www.twitter.com/realDonaldTrump/status/773181751749402624", "773181751749402624")</f>
        <v>0</v>
      </c>
      <c r="B1350" s="2">
        <v>42619.6466319444</v>
      </c>
      <c r="C1350">
        <v>35894</v>
      </c>
      <c r="D1350">
        <v>14038</v>
      </c>
      <c r="E1350" t="s">
        <v>1352</v>
      </c>
    </row>
    <row r="1351" spans="1:5">
      <c r="A1351">
        <f>HYPERLINK("http://www.twitter.com/realDonaldTrump/status/773145023319867392", "773145023319867392")</f>
        <v>0</v>
      </c>
      <c r="B1351" s="2">
        <v>42619.5452777778</v>
      </c>
      <c r="C1351">
        <v>19959</v>
      </c>
      <c r="D1351">
        <v>6643</v>
      </c>
      <c r="E1351" t="s">
        <v>1353</v>
      </c>
    </row>
    <row r="1352" spans="1:5">
      <c r="A1352">
        <f>HYPERLINK("http://www.twitter.com/realDonaldTrump/status/773140953133641729", "773140953133641729")</f>
        <v>0</v>
      </c>
      <c r="B1352" s="2">
        <v>42619.5340509259</v>
      </c>
      <c r="C1352">
        <v>27952</v>
      </c>
      <c r="D1352">
        <v>10568</v>
      </c>
      <c r="E1352" t="s">
        <v>1354</v>
      </c>
    </row>
    <row r="1353" spans="1:5">
      <c r="A1353">
        <f>HYPERLINK("http://www.twitter.com/realDonaldTrump/status/773140702972801024", "773140702972801024")</f>
        <v>0</v>
      </c>
      <c r="B1353" s="2">
        <v>42619.5333564815</v>
      </c>
      <c r="C1353">
        <v>18495</v>
      </c>
      <c r="D1353">
        <v>5641</v>
      </c>
      <c r="E1353" t="s">
        <v>1355</v>
      </c>
    </row>
    <row r="1354" spans="1:5">
      <c r="A1354">
        <f>HYPERLINK("http://www.twitter.com/realDonaldTrump/status/773116580733587456", "773116580733587456")</f>
        <v>0</v>
      </c>
      <c r="B1354" s="2">
        <v>42619.4667939815</v>
      </c>
      <c r="C1354">
        <v>30926</v>
      </c>
      <c r="D1354">
        <v>10933</v>
      </c>
      <c r="E1354" t="s">
        <v>1356</v>
      </c>
    </row>
    <row r="1355" spans="1:5">
      <c r="A1355">
        <f>HYPERLINK("http://www.twitter.com/realDonaldTrump/status/773113752271060992", "773113752271060992")</f>
        <v>0</v>
      </c>
      <c r="B1355" s="2">
        <v>42619.4589814815</v>
      </c>
      <c r="C1355">
        <v>26276</v>
      </c>
      <c r="D1355">
        <v>6993</v>
      </c>
      <c r="E1355" t="s">
        <v>1357</v>
      </c>
    </row>
    <row r="1356" spans="1:5">
      <c r="A1356">
        <f>HYPERLINK("http://www.twitter.com/realDonaldTrump/status/772928797419143168", "772928797419143168")</f>
        <v>0</v>
      </c>
      <c r="B1356" s="2">
        <v>42618.9486111111</v>
      </c>
      <c r="C1356">
        <v>25970</v>
      </c>
      <c r="D1356">
        <v>9426</v>
      </c>
      <c r="E1356" t="s">
        <v>1358</v>
      </c>
    </row>
    <row r="1357" spans="1:5">
      <c r="A1357">
        <f>HYPERLINK("http://www.twitter.com/realDonaldTrump/status/772863407620034560", "772863407620034560")</f>
        <v>0</v>
      </c>
      <c r="B1357" s="2">
        <v>42618.7681712963</v>
      </c>
      <c r="C1357">
        <v>25829</v>
      </c>
      <c r="D1357">
        <v>10229</v>
      </c>
      <c r="E1357" t="s">
        <v>1359</v>
      </c>
    </row>
    <row r="1358" spans="1:5">
      <c r="A1358">
        <f>HYPERLINK("http://www.twitter.com/realDonaldTrump/status/772840545668493312", "772840545668493312")</f>
        <v>0</v>
      </c>
      <c r="B1358" s="2">
        <v>42618.7050810185</v>
      </c>
      <c r="C1358">
        <v>18893</v>
      </c>
      <c r="D1358">
        <v>5897</v>
      </c>
      <c r="E1358" t="s">
        <v>1360</v>
      </c>
    </row>
    <row r="1359" spans="1:5">
      <c r="A1359">
        <f>HYPERLINK("http://www.twitter.com/realDonaldTrump/status/772798809508372480", "772798809508372480")</f>
        <v>0</v>
      </c>
      <c r="B1359" s="2">
        <v>42618.5899074074</v>
      </c>
      <c r="C1359">
        <v>15845</v>
      </c>
      <c r="D1359">
        <v>5861</v>
      </c>
      <c r="E1359" t="s">
        <v>1361</v>
      </c>
    </row>
    <row r="1360" spans="1:5">
      <c r="A1360">
        <f>HYPERLINK("http://www.twitter.com/realDonaldTrump/status/772797202922082304", "772797202922082304")</f>
        <v>0</v>
      </c>
      <c r="B1360" s="2">
        <v>42618.585474537</v>
      </c>
      <c r="C1360">
        <v>18846</v>
      </c>
      <c r="D1360">
        <v>7720</v>
      </c>
      <c r="E1360" t="s">
        <v>1362</v>
      </c>
    </row>
    <row r="1361" spans="1:5">
      <c r="A1361">
        <f>HYPERLINK("http://www.twitter.com/realDonaldTrump/status/772793658072559616", "772793658072559616")</f>
        <v>0</v>
      </c>
      <c r="B1361" s="2">
        <v>42618.5756944444</v>
      </c>
      <c r="C1361">
        <v>28531</v>
      </c>
      <c r="D1361">
        <v>9610</v>
      </c>
      <c r="E1361" t="s">
        <v>1363</v>
      </c>
    </row>
    <row r="1362" spans="1:5">
      <c r="A1362">
        <f>HYPERLINK("http://www.twitter.com/realDonaldTrump/status/772645423097995264", "772645423097995264")</f>
        <v>0</v>
      </c>
      <c r="B1362" s="2">
        <v>42618.1666435185</v>
      </c>
      <c r="C1362">
        <v>13859</v>
      </c>
      <c r="D1362">
        <v>3729</v>
      </c>
      <c r="E1362" t="s">
        <v>1364</v>
      </c>
    </row>
    <row r="1363" spans="1:5">
      <c r="A1363">
        <f>HYPERLINK("http://www.twitter.com/realDonaldTrump/status/772645091802480640", "772645091802480640")</f>
        <v>0</v>
      </c>
      <c r="B1363" s="2">
        <v>42618.1657291667</v>
      </c>
      <c r="C1363">
        <v>17335</v>
      </c>
      <c r="D1363">
        <v>4746</v>
      </c>
      <c r="E1363" t="s">
        <v>1365</v>
      </c>
    </row>
    <row r="1364" spans="1:5">
      <c r="A1364">
        <f>HYPERLINK("http://www.twitter.com/realDonaldTrump/status/772607833275830272", "772607833275830272")</f>
        <v>0</v>
      </c>
      <c r="B1364" s="2">
        <v>42618.0629166667</v>
      </c>
      <c r="C1364">
        <v>15487</v>
      </c>
      <c r="D1364">
        <v>4413</v>
      </c>
      <c r="E1364" t="s">
        <v>1366</v>
      </c>
    </row>
    <row r="1365" spans="1:5">
      <c r="A1365">
        <f>HYPERLINK("http://www.twitter.com/realDonaldTrump/status/772607185851408387", "772607185851408387")</f>
        <v>0</v>
      </c>
      <c r="B1365" s="2">
        <v>42618.0611342593</v>
      </c>
      <c r="C1365">
        <v>18498</v>
      </c>
      <c r="D1365">
        <v>5718</v>
      </c>
      <c r="E1365" t="s">
        <v>1367</v>
      </c>
    </row>
    <row r="1366" spans="1:5">
      <c r="A1366">
        <f>HYPERLINK("http://www.twitter.com/realDonaldTrump/status/772606281576280064", "772606281576280064")</f>
        <v>0</v>
      </c>
      <c r="B1366" s="2">
        <v>42618.0586342593</v>
      </c>
      <c r="C1366">
        <v>15948</v>
      </c>
      <c r="D1366">
        <v>4846</v>
      </c>
      <c r="E1366" t="s">
        <v>1368</v>
      </c>
    </row>
    <row r="1367" spans="1:5">
      <c r="A1367">
        <f>HYPERLINK("http://www.twitter.com/realDonaldTrump/status/772582467601588224", "772582467601588224")</f>
        <v>0</v>
      </c>
      <c r="B1367" s="2">
        <v>42617.9929166667</v>
      </c>
      <c r="C1367">
        <v>48413</v>
      </c>
      <c r="D1367">
        <v>19033</v>
      </c>
      <c r="E1367" t="s">
        <v>1369</v>
      </c>
    </row>
    <row r="1368" spans="1:5">
      <c r="A1368">
        <f>HYPERLINK("http://www.twitter.com/realDonaldTrump/status/772576650718482432", "772576650718482432")</f>
        <v>0</v>
      </c>
      <c r="B1368" s="2">
        <v>42617.9768634259</v>
      </c>
      <c r="C1368">
        <v>36602</v>
      </c>
      <c r="D1368">
        <v>12517</v>
      </c>
      <c r="E1368" t="s">
        <v>1370</v>
      </c>
    </row>
    <row r="1369" spans="1:5">
      <c r="A1369">
        <f>HYPERLINK("http://www.twitter.com/realDonaldTrump/status/772574369633763329", "772574369633763329")</f>
        <v>0</v>
      </c>
      <c r="B1369" s="2">
        <v>42617.9705787037</v>
      </c>
      <c r="C1369">
        <v>35452</v>
      </c>
      <c r="D1369">
        <v>14005</v>
      </c>
      <c r="E1369" t="s">
        <v>1371</v>
      </c>
    </row>
    <row r="1370" spans="1:5">
      <c r="A1370">
        <f>HYPERLINK("http://www.twitter.com/realDonaldTrump/status/772571293438840832", "772571293438840832")</f>
        <v>0</v>
      </c>
      <c r="B1370" s="2">
        <v>42617.9620833333</v>
      </c>
      <c r="C1370">
        <v>20906</v>
      </c>
      <c r="D1370">
        <v>6093</v>
      </c>
      <c r="E1370" t="s">
        <v>1372</v>
      </c>
    </row>
    <row r="1371" spans="1:5">
      <c r="A1371">
        <f>HYPERLINK("http://www.twitter.com/realDonaldTrump/status/772556213313765377", "772556213313765377")</f>
        <v>0</v>
      </c>
      <c r="B1371" s="2">
        <v>42617.920474537</v>
      </c>
      <c r="C1371">
        <v>21701</v>
      </c>
      <c r="D1371">
        <v>7173</v>
      </c>
      <c r="E1371" t="s">
        <v>1373</v>
      </c>
    </row>
    <row r="1372" spans="1:5">
      <c r="A1372">
        <f>HYPERLINK("http://www.twitter.com/realDonaldTrump/status/772473194162905089", "772473194162905089")</f>
        <v>0</v>
      </c>
      <c r="B1372" s="2">
        <v>42617.6913888889</v>
      </c>
      <c r="C1372">
        <v>0</v>
      </c>
      <c r="D1372">
        <v>13335</v>
      </c>
      <c r="E1372" t="s">
        <v>1374</v>
      </c>
    </row>
    <row r="1373" spans="1:5">
      <c r="A1373">
        <f>HYPERLINK("http://www.twitter.com/realDonaldTrump/status/772467120114397184", "772467120114397184")</f>
        <v>0</v>
      </c>
      <c r="B1373" s="2">
        <v>42617.6746180556</v>
      </c>
      <c r="C1373">
        <v>18650</v>
      </c>
      <c r="D1373">
        <v>5782</v>
      </c>
      <c r="E1373" t="s">
        <v>1375</v>
      </c>
    </row>
    <row r="1374" spans="1:5">
      <c r="A1374">
        <f>HYPERLINK("http://www.twitter.com/realDonaldTrump/status/772465330740404225", "772465330740404225")</f>
        <v>0</v>
      </c>
      <c r="B1374" s="2">
        <v>42617.6696875</v>
      </c>
      <c r="C1374">
        <v>21755</v>
      </c>
      <c r="D1374">
        <v>6834</v>
      </c>
      <c r="E1374" t="s">
        <v>1376</v>
      </c>
    </row>
    <row r="1375" spans="1:5">
      <c r="A1375">
        <f>HYPERLINK("http://www.twitter.com/realDonaldTrump/status/772417922279043073", "772417922279043073")</f>
        <v>0</v>
      </c>
      <c r="B1375" s="2">
        <v>42617.5388657407</v>
      </c>
      <c r="C1375">
        <v>29178</v>
      </c>
      <c r="D1375">
        <v>9454</v>
      </c>
      <c r="E1375" t="s">
        <v>1377</v>
      </c>
    </row>
    <row r="1376" spans="1:5">
      <c r="A1376">
        <f>HYPERLINK("http://www.twitter.com/realDonaldTrump/status/772171469476552704", "772171469476552704")</f>
        <v>0</v>
      </c>
      <c r="B1376" s="2">
        <v>42616.8587847222</v>
      </c>
      <c r="C1376">
        <v>40053</v>
      </c>
      <c r="D1376">
        <v>13986</v>
      </c>
      <c r="E1376" t="s">
        <v>1378</v>
      </c>
    </row>
    <row r="1377" spans="1:5">
      <c r="A1377">
        <f>HYPERLINK("http://www.twitter.com/realDonaldTrump/status/772170704687099904", "772170704687099904")</f>
        <v>0</v>
      </c>
      <c r="B1377" s="2">
        <v>42616.8566666667</v>
      </c>
      <c r="C1377">
        <v>37290</v>
      </c>
      <c r="D1377">
        <v>11816</v>
      </c>
      <c r="E1377" t="s">
        <v>1379</v>
      </c>
    </row>
    <row r="1378" spans="1:5">
      <c r="A1378">
        <f>HYPERLINK("http://www.twitter.com/realDonaldTrump/status/772166085974130697", "772166085974130697")</f>
        <v>0</v>
      </c>
      <c r="B1378" s="2">
        <v>42616.8439236111</v>
      </c>
      <c r="C1378">
        <v>18544</v>
      </c>
      <c r="D1378">
        <v>6288</v>
      </c>
      <c r="E1378" t="s">
        <v>1380</v>
      </c>
    </row>
    <row r="1379" spans="1:5">
      <c r="A1379">
        <f>HYPERLINK("http://www.twitter.com/realDonaldTrump/status/772123965938597888", "772123965938597888")</f>
        <v>0</v>
      </c>
      <c r="B1379" s="2">
        <v>42616.7276967593</v>
      </c>
      <c r="C1379">
        <v>28270</v>
      </c>
      <c r="D1379">
        <v>10914</v>
      </c>
      <c r="E1379" t="s">
        <v>1381</v>
      </c>
    </row>
    <row r="1380" spans="1:5">
      <c r="A1380">
        <f>HYPERLINK("http://www.twitter.com/realDonaldTrump/status/772036179420127232", "772036179420127232")</f>
        <v>0</v>
      </c>
      <c r="B1380" s="2">
        <v>42616.4854513889</v>
      </c>
      <c r="C1380">
        <v>29294</v>
      </c>
      <c r="D1380">
        <v>12499</v>
      </c>
      <c r="E1380" t="s">
        <v>1382</v>
      </c>
    </row>
    <row r="1381" spans="1:5">
      <c r="A1381">
        <f>HYPERLINK("http://www.twitter.com/realDonaldTrump/status/771854023544549377", "771854023544549377")</f>
        <v>0</v>
      </c>
      <c r="B1381" s="2">
        <v>42615.9828009259</v>
      </c>
      <c r="C1381">
        <v>25734</v>
      </c>
      <c r="D1381">
        <v>9425</v>
      </c>
      <c r="E1381" t="s">
        <v>1383</v>
      </c>
    </row>
    <row r="1382" spans="1:5">
      <c r="A1382">
        <f>HYPERLINK("http://www.twitter.com/realDonaldTrump/status/771753541698523136", "771753541698523136")</f>
        <v>0</v>
      </c>
      <c r="B1382" s="2">
        <v>42615.7055208333</v>
      </c>
      <c r="C1382">
        <v>25143</v>
      </c>
      <c r="D1382">
        <v>10184</v>
      </c>
      <c r="E1382" t="s">
        <v>1384</v>
      </c>
    </row>
    <row r="1383" spans="1:5">
      <c r="A1383">
        <f>HYPERLINK("http://www.twitter.com/realDonaldTrump/status/771688054344089601", "771688054344089601")</f>
        <v>0</v>
      </c>
      <c r="B1383" s="2">
        <v>42615.5248148148</v>
      </c>
      <c r="C1383">
        <v>29077</v>
      </c>
      <c r="D1383">
        <v>7163</v>
      </c>
      <c r="E1383" t="s">
        <v>1385</v>
      </c>
    </row>
    <row r="1384" spans="1:5">
      <c r="A1384">
        <f>HYPERLINK("http://www.twitter.com/realDonaldTrump/status/771687247951298560", "771687247951298560")</f>
        <v>0</v>
      </c>
      <c r="B1384" s="2">
        <v>42615.5225810185</v>
      </c>
      <c r="C1384">
        <v>28164</v>
      </c>
      <c r="D1384">
        <v>9297</v>
      </c>
      <c r="E1384" t="s">
        <v>1386</v>
      </c>
    </row>
    <row r="1385" spans="1:5">
      <c r="A1385">
        <f>HYPERLINK("http://www.twitter.com/realDonaldTrump/status/771686352438042624", "771686352438042624")</f>
        <v>0</v>
      </c>
      <c r="B1385" s="2">
        <v>42615.5201157407</v>
      </c>
      <c r="C1385">
        <v>20787</v>
      </c>
      <c r="D1385">
        <v>5843</v>
      </c>
      <c r="E1385" t="s">
        <v>1387</v>
      </c>
    </row>
    <row r="1386" spans="1:5">
      <c r="A1386">
        <f>HYPERLINK("http://www.twitter.com/realDonaldTrump/status/771481226578460672", "771481226578460672")</f>
        <v>0</v>
      </c>
      <c r="B1386" s="2">
        <v>42614.9540740741</v>
      </c>
      <c r="C1386">
        <v>15561</v>
      </c>
      <c r="D1386">
        <v>3894</v>
      </c>
      <c r="E1386" t="s">
        <v>1388</v>
      </c>
    </row>
    <row r="1387" spans="1:5">
      <c r="A1387">
        <f>HYPERLINK("http://www.twitter.com/realDonaldTrump/status/771393537900503040", "771393537900503040")</f>
        <v>0</v>
      </c>
      <c r="B1387" s="2">
        <v>42614.7120949074</v>
      </c>
      <c r="C1387">
        <v>29110</v>
      </c>
      <c r="D1387">
        <v>9655</v>
      </c>
      <c r="E1387" t="s">
        <v>1389</v>
      </c>
    </row>
    <row r="1388" spans="1:5">
      <c r="A1388">
        <f>HYPERLINK("http://www.twitter.com/realDonaldTrump/status/771352519457005568", "771352519457005568")</f>
        <v>0</v>
      </c>
      <c r="B1388" s="2">
        <v>42614.598912037</v>
      </c>
      <c r="C1388">
        <v>20125</v>
      </c>
      <c r="D1388">
        <v>6276</v>
      </c>
      <c r="E1388" t="s">
        <v>1390</v>
      </c>
    </row>
    <row r="1389" spans="1:5">
      <c r="A1389">
        <f>HYPERLINK("http://www.twitter.com/realDonaldTrump/status/771298236376178688", "771298236376178688")</f>
        <v>0</v>
      </c>
      <c r="B1389" s="2">
        <v>42614.4491203704</v>
      </c>
      <c r="C1389">
        <v>37448</v>
      </c>
      <c r="D1389">
        <v>9942</v>
      </c>
      <c r="E1389" t="s">
        <v>1391</v>
      </c>
    </row>
    <row r="1390" spans="1:5">
      <c r="A1390">
        <f>HYPERLINK("http://www.twitter.com/realDonaldTrump/status/771296597963661312", "771296597963661312")</f>
        <v>0</v>
      </c>
      <c r="B1390" s="2">
        <v>42614.4445949074</v>
      </c>
      <c r="C1390">
        <v>28598</v>
      </c>
      <c r="D1390">
        <v>6983</v>
      </c>
      <c r="E1390" t="s">
        <v>1392</v>
      </c>
    </row>
    <row r="1391" spans="1:5">
      <c r="A1391">
        <f>HYPERLINK("http://www.twitter.com/realDonaldTrump/status/771294347501461504", "771294347501461504")</f>
        <v>0</v>
      </c>
      <c r="B1391" s="2">
        <v>42614.4383912037</v>
      </c>
      <c r="C1391">
        <v>62687</v>
      </c>
      <c r="D1391">
        <v>36796</v>
      </c>
      <c r="E1391" t="s">
        <v>1393</v>
      </c>
    </row>
    <row r="1392" spans="1:5">
      <c r="A1392">
        <f>HYPERLINK("http://www.twitter.com/realDonaldTrump/status/771212757517557760", "771212757517557760")</f>
        <v>0</v>
      </c>
      <c r="B1392" s="2">
        <v>42614.2132407407</v>
      </c>
      <c r="C1392">
        <v>23077</v>
      </c>
      <c r="D1392">
        <v>8609</v>
      </c>
      <c r="E1392" t="s">
        <v>1394</v>
      </c>
    </row>
    <row r="1393" spans="1:5">
      <c r="A1393">
        <f>HYPERLINK("http://www.twitter.com/realDonaldTrump/status/771212706275741696", "771212706275741696")</f>
        <v>0</v>
      </c>
      <c r="B1393" s="2">
        <v>42614.2131018518</v>
      </c>
      <c r="C1393">
        <v>20288</v>
      </c>
      <c r="D1393">
        <v>7004</v>
      </c>
      <c r="E1393" t="s">
        <v>1395</v>
      </c>
    </row>
    <row r="1394" spans="1:5">
      <c r="A1394">
        <f>HYPERLINK("http://www.twitter.com/realDonaldTrump/status/771210697552166913", "771210697552166913")</f>
        <v>0</v>
      </c>
      <c r="B1394" s="2">
        <v>42614.2075578704</v>
      </c>
      <c r="C1394">
        <v>17742</v>
      </c>
      <c r="D1394">
        <v>6386</v>
      </c>
      <c r="E1394" t="s">
        <v>1396</v>
      </c>
    </row>
    <row r="1395" spans="1:5">
      <c r="A1395">
        <f>HYPERLINK("http://www.twitter.com/realDonaldTrump/status/771210555822477313", "771210555822477313")</f>
        <v>0</v>
      </c>
      <c r="B1395" s="2">
        <v>42614.2071643519</v>
      </c>
      <c r="C1395">
        <v>21540</v>
      </c>
      <c r="D1395">
        <v>10213</v>
      </c>
      <c r="E1395" t="s">
        <v>1397</v>
      </c>
    </row>
    <row r="1396" spans="1:5">
      <c r="A1396">
        <f>HYPERLINK("http://www.twitter.com/realDonaldTrump/status/771206171856207873", "771206171856207873")</f>
        <v>0</v>
      </c>
      <c r="B1396" s="2">
        <v>42614.1950694444</v>
      </c>
      <c r="C1396">
        <v>0</v>
      </c>
      <c r="D1396">
        <v>9275</v>
      </c>
      <c r="E1396" t="s">
        <v>1398</v>
      </c>
    </row>
    <row r="1397" spans="1:5">
      <c r="A1397">
        <f>HYPERLINK("http://www.twitter.com/realDonaldTrump/status/771206056454127616", "771206056454127616")</f>
        <v>0</v>
      </c>
      <c r="B1397" s="2">
        <v>42614.1947453704</v>
      </c>
      <c r="C1397">
        <v>0</v>
      </c>
      <c r="D1397">
        <v>8949</v>
      </c>
      <c r="E1397" t="s">
        <v>1399</v>
      </c>
    </row>
    <row r="1398" spans="1:5">
      <c r="A1398">
        <f>HYPERLINK("http://www.twitter.com/realDonaldTrump/status/771150050940497920", "771150050940497920")</f>
        <v>0</v>
      </c>
      <c r="B1398" s="2">
        <v>42614.0402083333</v>
      </c>
      <c r="C1398">
        <v>14718</v>
      </c>
      <c r="D1398">
        <v>3260</v>
      </c>
      <c r="E1398" t="s">
        <v>1400</v>
      </c>
    </row>
    <row r="1399" spans="1:5">
      <c r="A1399">
        <f>HYPERLINK("http://www.twitter.com/realDonaldTrump/status/771146302134423552", "771146302134423552")</f>
        <v>0</v>
      </c>
      <c r="B1399" s="2">
        <v>42614.0298611111</v>
      </c>
      <c r="C1399">
        <v>35094</v>
      </c>
      <c r="D1399">
        <v>10030</v>
      </c>
      <c r="E1399" t="s">
        <v>1401</v>
      </c>
    </row>
    <row r="1400" spans="1:5">
      <c r="A1400">
        <f>HYPERLINK("http://www.twitter.com/realDonaldTrump/status/771145576381427712", "771145576381427712")</f>
        <v>0</v>
      </c>
      <c r="B1400" s="2">
        <v>42614.0278587963</v>
      </c>
      <c r="C1400">
        <v>56627</v>
      </c>
      <c r="D1400">
        <v>20412</v>
      </c>
      <c r="E1400" t="s">
        <v>1402</v>
      </c>
    </row>
    <row r="1401" spans="1:5">
      <c r="A1401">
        <f>HYPERLINK("http://www.twitter.com/realDonaldTrump/status/770971306766381056", "770971306766381056")</f>
        <v>0</v>
      </c>
      <c r="B1401" s="2">
        <v>42613.5469675926</v>
      </c>
      <c r="C1401">
        <v>30143</v>
      </c>
      <c r="D1401">
        <v>10680</v>
      </c>
      <c r="E1401" t="s">
        <v>1403</v>
      </c>
    </row>
    <row r="1402" spans="1:5">
      <c r="A1402">
        <f>HYPERLINK("http://www.twitter.com/realDonaldTrump/status/770832664303587328", "770832664303587328")</f>
        <v>0</v>
      </c>
      <c r="B1402" s="2">
        <v>42613.1643865741</v>
      </c>
      <c r="C1402">
        <v>27609</v>
      </c>
      <c r="D1402">
        <v>9489</v>
      </c>
      <c r="E1402" t="s">
        <v>1404</v>
      </c>
    </row>
    <row r="1403" spans="1:5">
      <c r="A1403">
        <f>HYPERLINK("http://www.twitter.com/realDonaldTrump/status/770811688966770689", "770811688966770689")</f>
        <v>0</v>
      </c>
      <c r="B1403" s="2">
        <v>42613.1065046296</v>
      </c>
      <c r="C1403">
        <v>55019</v>
      </c>
      <c r="D1403">
        <v>20169</v>
      </c>
      <c r="E1403" t="s">
        <v>1405</v>
      </c>
    </row>
    <row r="1404" spans="1:5">
      <c r="A1404">
        <f>HYPERLINK("http://www.twitter.com/realDonaldTrump/status/770807738104328192", "770807738104328192")</f>
        <v>0</v>
      </c>
      <c r="B1404" s="2">
        <v>42613.0956018519</v>
      </c>
      <c r="C1404">
        <v>0</v>
      </c>
      <c r="D1404">
        <v>2241</v>
      </c>
      <c r="E1404" t="s">
        <v>1406</v>
      </c>
    </row>
    <row r="1405" spans="1:5">
      <c r="A1405">
        <f>HYPERLINK("http://www.twitter.com/realDonaldTrump/status/770806857271091201", "770806857271091201")</f>
        <v>0</v>
      </c>
      <c r="B1405" s="2">
        <v>42613.0931712963</v>
      </c>
      <c r="C1405">
        <v>0</v>
      </c>
      <c r="D1405">
        <v>3551</v>
      </c>
      <c r="E1405" t="s">
        <v>1407</v>
      </c>
    </row>
    <row r="1406" spans="1:5">
      <c r="A1406">
        <f>HYPERLINK("http://www.twitter.com/realDonaldTrump/status/770771735092142080", "770771735092142080")</f>
        <v>0</v>
      </c>
      <c r="B1406" s="2">
        <v>42612.99625</v>
      </c>
      <c r="C1406">
        <v>22997</v>
      </c>
      <c r="D1406">
        <v>7548</v>
      </c>
      <c r="E1406" t="s">
        <v>1408</v>
      </c>
    </row>
    <row r="1407" spans="1:5">
      <c r="A1407">
        <f>HYPERLINK("http://www.twitter.com/realDonaldTrump/status/770724546454417408", "770724546454417408")</f>
        <v>0</v>
      </c>
      <c r="B1407" s="2">
        <v>42612.8660300926</v>
      </c>
      <c r="C1407">
        <v>21707</v>
      </c>
      <c r="D1407">
        <v>7892</v>
      </c>
      <c r="E1407" t="s">
        <v>1409</v>
      </c>
    </row>
    <row r="1408" spans="1:5">
      <c r="A1408">
        <f>HYPERLINK("http://www.twitter.com/realDonaldTrump/status/770573355191631873", "770573355191631873")</f>
        <v>0</v>
      </c>
      <c r="B1408" s="2">
        <v>42612.4488310185</v>
      </c>
      <c r="C1408">
        <v>12050</v>
      </c>
      <c r="D1408">
        <v>3278</v>
      </c>
      <c r="E1408" t="s">
        <v>1410</v>
      </c>
    </row>
    <row r="1409" spans="1:5">
      <c r="A1409">
        <f>HYPERLINK("http://www.twitter.com/realDonaldTrump/status/770568584443539456", "770568584443539456")</f>
        <v>0</v>
      </c>
      <c r="B1409" s="2">
        <v>42612.4356597222</v>
      </c>
      <c r="C1409">
        <v>33662</v>
      </c>
      <c r="D1409">
        <v>11128</v>
      </c>
      <c r="E1409" t="s">
        <v>1411</v>
      </c>
    </row>
    <row r="1410" spans="1:5">
      <c r="A1410">
        <f>HYPERLINK("http://www.twitter.com/realDonaldTrump/status/770417590351040513", "770417590351040513")</f>
        <v>0</v>
      </c>
      <c r="B1410" s="2">
        <v>42612.0189930556</v>
      </c>
      <c r="C1410">
        <v>14034</v>
      </c>
      <c r="D1410">
        <v>5051</v>
      </c>
      <c r="E1410" t="s">
        <v>1412</v>
      </c>
    </row>
    <row r="1411" spans="1:5">
      <c r="A1411">
        <f>HYPERLINK("http://www.twitter.com/realDonaldTrump/status/770414693869649921", "770414693869649921")</f>
        <v>0</v>
      </c>
      <c r="B1411" s="2">
        <v>42612.0110069444</v>
      </c>
      <c r="C1411">
        <v>12622</v>
      </c>
      <c r="D1411">
        <v>4676</v>
      </c>
      <c r="E1411" t="s">
        <v>1413</v>
      </c>
    </row>
    <row r="1412" spans="1:5">
      <c r="A1412">
        <f>HYPERLINK("http://www.twitter.com/realDonaldTrump/status/770401822121005056", "770401822121005056")</f>
        <v>0</v>
      </c>
      <c r="B1412" s="2">
        <v>42611.9754861111</v>
      </c>
      <c r="C1412">
        <v>20297</v>
      </c>
      <c r="D1412">
        <v>7717</v>
      </c>
      <c r="E1412" t="s">
        <v>1414</v>
      </c>
    </row>
    <row r="1413" spans="1:5">
      <c r="A1413">
        <f>HYPERLINK("http://www.twitter.com/realDonaldTrump/status/770381482229657602", "770381482229657602")</f>
        <v>0</v>
      </c>
      <c r="B1413" s="2">
        <v>42611.9193634259</v>
      </c>
      <c r="C1413">
        <v>24779</v>
      </c>
      <c r="D1413">
        <v>10442</v>
      </c>
      <c r="E1413" t="s">
        <v>1415</v>
      </c>
    </row>
    <row r="1414" spans="1:5">
      <c r="A1414">
        <f>HYPERLINK("http://www.twitter.com/realDonaldTrump/status/770330631783972868", "770330631783972868")</f>
        <v>0</v>
      </c>
      <c r="B1414" s="2">
        <v>42611.7790393519</v>
      </c>
      <c r="C1414">
        <v>30514</v>
      </c>
      <c r="D1414">
        <v>16321</v>
      </c>
      <c r="E1414" t="s">
        <v>1416</v>
      </c>
    </row>
    <row r="1415" spans="1:5">
      <c r="A1415">
        <f>HYPERLINK("http://www.twitter.com/realDonaldTrump/status/770253550639251456", "770253550639251456")</f>
        <v>0</v>
      </c>
      <c r="B1415" s="2">
        <v>42611.5663310185</v>
      </c>
      <c r="C1415">
        <v>27664</v>
      </c>
      <c r="D1415">
        <v>8896</v>
      </c>
      <c r="E1415" t="s">
        <v>1417</v>
      </c>
    </row>
    <row r="1416" spans="1:5">
      <c r="A1416">
        <f>HYPERLINK("http://www.twitter.com/realDonaldTrump/status/770252177512230912", "770252177512230912")</f>
        <v>0</v>
      </c>
      <c r="B1416" s="2">
        <v>42611.5625462963</v>
      </c>
      <c r="C1416">
        <v>22381</v>
      </c>
      <c r="D1416">
        <v>7109</v>
      </c>
      <c r="E1416" t="s">
        <v>1418</v>
      </c>
    </row>
    <row r="1417" spans="1:5">
      <c r="A1417">
        <f>HYPERLINK("http://www.twitter.com/realDonaldTrump/status/770250409843777536", "770250409843777536")</f>
        <v>0</v>
      </c>
      <c r="B1417" s="2">
        <v>42611.557662037</v>
      </c>
      <c r="C1417">
        <v>30095</v>
      </c>
      <c r="D1417">
        <v>10738</v>
      </c>
      <c r="E1417" t="s">
        <v>1419</v>
      </c>
    </row>
    <row r="1418" spans="1:5">
      <c r="A1418">
        <f>HYPERLINK("http://www.twitter.com/realDonaldTrump/status/770249086255661056", "770249086255661056")</f>
        <v>0</v>
      </c>
      <c r="B1418" s="2">
        <v>42611.5540162037</v>
      </c>
      <c r="C1418">
        <v>13712</v>
      </c>
      <c r="D1418">
        <v>4244</v>
      </c>
      <c r="E1418" t="s">
        <v>1420</v>
      </c>
    </row>
    <row r="1419" spans="1:5">
      <c r="A1419">
        <f>HYPERLINK("http://www.twitter.com/realDonaldTrump/status/770248548571021312", "770248548571021312")</f>
        <v>0</v>
      </c>
      <c r="B1419" s="2">
        <v>42611.5525347222</v>
      </c>
      <c r="C1419">
        <v>16042</v>
      </c>
      <c r="D1419">
        <v>6790</v>
      </c>
      <c r="E1419" t="s">
        <v>1421</v>
      </c>
    </row>
    <row r="1420" spans="1:5">
      <c r="A1420">
        <f>HYPERLINK("http://www.twitter.com/realDonaldTrump/status/770248186241900544", "770248186241900544")</f>
        <v>0</v>
      </c>
      <c r="B1420" s="2">
        <v>42611.5515277778</v>
      </c>
      <c r="C1420">
        <v>15765</v>
      </c>
      <c r="D1420">
        <v>6562</v>
      </c>
      <c r="E1420" t="s">
        <v>1422</v>
      </c>
    </row>
    <row r="1421" spans="1:5">
      <c r="A1421">
        <f>HYPERLINK("http://www.twitter.com/realDonaldTrump/status/770247094439469058", "770247094439469058")</f>
        <v>0</v>
      </c>
      <c r="B1421" s="2">
        <v>42611.5485185185</v>
      </c>
      <c r="C1421">
        <v>20833</v>
      </c>
      <c r="D1421">
        <v>6770</v>
      </c>
      <c r="E1421" t="s">
        <v>1423</v>
      </c>
    </row>
    <row r="1422" spans="1:5">
      <c r="A1422">
        <f>HYPERLINK("http://www.twitter.com/realDonaldTrump/status/770245313345052673", "770245313345052673")</f>
        <v>0</v>
      </c>
      <c r="B1422" s="2">
        <v>42611.543599537</v>
      </c>
      <c r="C1422">
        <v>22150</v>
      </c>
      <c r="D1422">
        <v>6953</v>
      </c>
      <c r="E1422" t="s">
        <v>1424</v>
      </c>
    </row>
    <row r="1423" spans="1:5">
      <c r="A1423">
        <f>HYPERLINK("http://www.twitter.com/realDonaldTrump/status/770040258796855296", "770040258796855296")</f>
        <v>0</v>
      </c>
      <c r="B1423" s="2">
        <v>42610.9777662037</v>
      </c>
      <c r="C1423">
        <v>33094</v>
      </c>
      <c r="D1423">
        <v>10474</v>
      </c>
      <c r="E1423" t="s">
        <v>1425</v>
      </c>
    </row>
    <row r="1424" spans="1:5">
      <c r="A1424">
        <f>HYPERLINK("http://www.twitter.com/realDonaldTrump/status/770039317142069248", "770039317142069248")</f>
        <v>0</v>
      </c>
      <c r="B1424" s="2">
        <v>42610.975162037</v>
      </c>
      <c r="C1424">
        <v>52016</v>
      </c>
      <c r="D1424">
        <v>19613</v>
      </c>
      <c r="E1424" t="s">
        <v>1426</v>
      </c>
    </row>
    <row r="1425" spans="1:5">
      <c r="A1425">
        <f>HYPERLINK("http://www.twitter.com/realDonaldTrump/status/770021252002119680", "770021252002119680")</f>
        <v>0</v>
      </c>
      <c r="B1425" s="2">
        <v>42610.9253125</v>
      </c>
      <c r="C1425">
        <v>28534</v>
      </c>
      <c r="D1425">
        <v>8589</v>
      </c>
      <c r="E1425" t="s">
        <v>1427</v>
      </c>
    </row>
    <row r="1426" spans="1:5">
      <c r="A1426">
        <f>HYPERLINK("http://www.twitter.com/realDonaldTrump/status/769980181633204224", "769980181633204224")</f>
        <v>0</v>
      </c>
      <c r="B1426" s="2">
        <v>42610.8119791667</v>
      </c>
      <c r="C1426">
        <v>0</v>
      </c>
      <c r="D1426">
        <v>8848</v>
      </c>
      <c r="E1426" t="s">
        <v>1428</v>
      </c>
    </row>
    <row r="1427" spans="1:5">
      <c r="A1427">
        <f>HYPERLINK("http://www.twitter.com/realDonaldTrump/status/769898524439896064", "769898524439896064")</f>
        <v>0</v>
      </c>
      <c r="B1427" s="2">
        <v>42610.5866435185</v>
      </c>
      <c r="C1427">
        <v>20818</v>
      </c>
      <c r="D1427">
        <v>6189</v>
      </c>
      <c r="E1427" t="s">
        <v>1429</v>
      </c>
    </row>
    <row r="1428" spans="1:5">
      <c r="A1428">
        <f>HYPERLINK("http://www.twitter.com/realDonaldTrump/status/769897797319532544", "769897797319532544")</f>
        <v>0</v>
      </c>
      <c r="B1428" s="2">
        <v>42610.5846412037</v>
      </c>
      <c r="C1428">
        <v>12219</v>
      </c>
      <c r="D1428">
        <v>4347</v>
      </c>
      <c r="E1428" t="s">
        <v>1430</v>
      </c>
    </row>
    <row r="1429" spans="1:5">
      <c r="A1429">
        <f>HYPERLINK("http://www.twitter.com/realDonaldTrump/status/769740626497679360", "769740626497679360")</f>
        <v>0</v>
      </c>
      <c r="B1429" s="2">
        <v>42610.1509375</v>
      </c>
      <c r="C1429">
        <v>15902</v>
      </c>
      <c r="D1429">
        <v>4750</v>
      </c>
      <c r="E1429" t="s">
        <v>1431</v>
      </c>
    </row>
    <row r="1430" spans="1:5">
      <c r="A1430">
        <f>HYPERLINK("http://www.twitter.com/realDonaldTrump/status/769724556949020672", "769724556949020672")</f>
        <v>0</v>
      </c>
      <c r="B1430" s="2">
        <v>42610.1065856482</v>
      </c>
      <c r="C1430">
        <v>22342</v>
      </c>
      <c r="D1430">
        <v>12304</v>
      </c>
      <c r="E1430" t="s">
        <v>1432</v>
      </c>
    </row>
    <row r="1431" spans="1:5">
      <c r="A1431">
        <f>HYPERLINK("http://www.twitter.com/realDonaldTrump/status/769718184836472832", "769718184836472832")</f>
        <v>0</v>
      </c>
      <c r="B1431" s="2">
        <v>42610.0890046296</v>
      </c>
      <c r="C1431">
        <v>21314</v>
      </c>
      <c r="D1431">
        <v>7169</v>
      </c>
      <c r="E1431" t="s">
        <v>1433</v>
      </c>
    </row>
    <row r="1432" spans="1:5">
      <c r="A1432">
        <f>HYPERLINK("http://www.twitter.com/realDonaldTrump/status/769647461459632128", "769647461459632128")</f>
        <v>0</v>
      </c>
      <c r="B1432" s="2">
        <v>42609.8938425926</v>
      </c>
      <c r="C1432">
        <v>19010</v>
      </c>
      <c r="D1432">
        <v>5844</v>
      </c>
      <c r="E1432" t="s">
        <v>1434</v>
      </c>
    </row>
    <row r="1433" spans="1:5">
      <c r="A1433">
        <f>HYPERLINK("http://www.twitter.com/realDonaldTrump/status/769607369869266944", "769607369869266944")</f>
        <v>0</v>
      </c>
      <c r="B1433" s="2">
        <v>42609.7832175926</v>
      </c>
      <c r="C1433">
        <v>17497</v>
      </c>
      <c r="D1433">
        <v>4357</v>
      </c>
      <c r="E1433" t="s">
        <v>1435</v>
      </c>
    </row>
    <row r="1434" spans="1:5">
      <c r="A1434">
        <f>HYPERLINK("http://www.twitter.com/realDonaldTrump/status/769592508879892480", "769592508879892480")</f>
        <v>0</v>
      </c>
      <c r="B1434" s="2">
        <v>42609.7422106481</v>
      </c>
      <c r="C1434">
        <v>30896</v>
      </c>
      <c r="D1434">
        <v>8995</v>
      </c>
      <c r="E1434" t="s">
        <v>1436</v>
      </c>
    </row>
    <row r="1435" spans="1:5">
      <c r="A1435">
        <f>HYPERLINK("http://www.twitter.com/realDonaldTrump/status/769571710924263424", "769571710924263424")</f>
        <v>0</v>
      </c>
      <c r="B1435" s="2">
        <v>42609.6848148148</v>
      </c>
      <c r="C1435">
        <v>27436</v>
      </c>
      <c r="D1435">
        <v>9236</v>
      </c>
      <c r="E1435" t="s">
        <v>1437</v>
      </c>
    </row>
    <row r="1436" spans="1:5">
      <c r="A1436">
        <f>HYPERLINK("http://www.twitter.com/realDonaldTrump/status/769554782151331840", "769554782151331840")</f>
        <v>0</v>
      </c>
      <c r="B1436" s="2">
        <v>42609.6381018519</v>
      </c>
      <c r="C1436">
        <v>10455</v>
      </c>
      <c r="D1436">
        <v>4548</v>
      </c>
      <c r="E1436" t="s">
        <v>1438</v>
      </c>
    </row>
    <row r="1437" spans="1:5">
      <c r="A1437">
        <f>HYPERLINK("http://www.twitter.com/realDonaldTrump/status/769552592158412800", "769552592158412800")</f>
        <v>0</v>
      </c>
      <c r="B1437" s="2">
        <v>42609.6320601852</v>
      </c>
      <c r="C1437">
        <v>21961</v>
      </c>
      <c r="D1437">
        <v>9099</v>
      </c>
      <c r="E1437" t="s">
        <v>1439</v>
      </c>
    </row>
    <row r="1438" spans="1:5">
      <c r="A1438">
        <f>HYPERLINK("http://www.twitter.com/realDonaldTrump/status/769539271678013440", "769539271678013440")</f>
        <v>0</v>
      </c>
      <c r="B1438" s="2">
        <v>42609.5953009259</v>
      </c>
      <c r="C1438">
        <v>34269</v>
      </c>
      <c r="D1438">
        <v>11426</v>
      </c>
      <c r="E1438" t="s">
        <v>1440</v>
      </c>
    </row>
    <row r="1439" spans="1:5">
      <c r="A1439">
        <f>HYPERLINK("http://www.twitter.com/realDonaldTrump/status/769331841316687873", "769331841316687873")</f>
        <v>0</v>
      </c>
      <c r="B1439" s="2">
        <v>42609.0229050926</v>
      </c>
      <c r="C1439">
        <v>26462</v>
      </c>
      <c r="D1439">
        <v>11672</v>
      </c>
      <c r="E1439" t="s">
        <v>1441</v>
      </c>
    </row>
    <row r="1440" spans="1:5">
      <c r="A1440">
        <f>HYPERLINK("http://www.twitter.com/realDonaldTrump/status/769323472048623616", "769323472048623616")</f>
        <v>0</v>
      </c>
      <c r="B1440" s="2">
        <v>42608.9998032407</v>
      </c>
      <c r="C1440">
        <v>12386</v>
      </c>
      <c r="D1440">
        <v>4731</v>
      </c>
      <c r="E1440" t="s">
        <v>1442</v>
      </c>
    </row>
    <row r="1441" spans="1:5">
      <c r="A1441">
        <f>HYPERLINK("http://www.twitter.com/realDonaldTrump/status/769322071297888257", "769322071297888257")</f>
        <v>0</v>
      </c>
      <c r="B1441" s="2">
        <v>42608.9959375</v>
      </c>
      <c r="C1441">
        <v>23069</v>
      </c>
      <c r="D1441">
        <v>7377</v>
      </c>
      <c r="E1441" t="s">
        <v>1443</v>
      </c>
    </row>
    <row r="1442" spans="1:5">
      <c r="A1442">
        <f>HYPERLINK("http://www.twitter.com/realDonaldTrump/status/769311305480024065", "769311305480024065")</f>
        <v>0</v>
      </c>
      <c r="B1442" s="2">
        <v>42608.9662268519</v>
      </c>
      <c r="C1442">
        <v>14331</v>
      </c>
      <c r="D1442">
        <v>5058</v>
      </c>
      <c r="E1442" t="s">
        <v>1444</v>
      </c>
    </row>
    <row r="1443" spans="1:5">
      <c r="A1443">
        <f>HYPERLINK("http://www.twitter.com/realDonaldTrump/status/769308316350623744", "769308316350623744")</f>
        <v>0</v>
      </c>
      <c r="B1443" s="2">
        <v>42608.9579861111</v>
      </c>
      <c r="C1443">
        <v>10467</v>
      </c>
      <c r="D1443">
        <v>2439</v>
      </c>
      <c r="E1443" t="s">
        <v>1445</v>
      </c>
    </row>
    <row r="1444" spans="1:5">
      <c r="A1444">
        <f>HYPERLINK("http://www.twitter.com/realDonaldTrump/status/769254655939321857", "769254655939321857")</f>
        <v>0</v>
      </c>
      <c r="B1444" s="2">
        <v>42608.8099074074</v>
      </c>
      <c r="C1444">
        <v>16678</v>
      </c>
      <c r="D1444">
        <v>8443</v>
      </c>
      <c r="E1444" t="s">
        <v>1446</v>
      </c>
    </row>
    <row r="1445" spans="1:5">
      <c r="A1445">
        <f>HYPERLINK("http://www.twitter.com/realDonaldTrump/status/769253422549786628", "769253422549786628")</f>
        <v>0</v>
      </c>
      <c r="B1445" s="2">
        <v>42608.8065046296</v>
      </c>
      <c r="C1445">
        <v>18681</v>
      </c>
      <c r="D1445">
        <v>7856</v>
      </c>
      <c r="E1445" t="s">
        <v>1447</v>
      </c>
    </row>
    <row r="1446" spans="1:5">
      <c r="A1446">
        <f>HYPERLINK("http://www.twitter.com/realDonaldTrump/status/769252637350866946", "769252637350866946")</f>
        <v>0</v>
      </c>
      <c r="B1446" s="2">
        <v>42608.8043402778</v>
      </c>
      <c r="C1446">
        <v>15858</v>
      </c>
      <c r="D1446">
        <v>8250</v>
      </c>
      <c r="E1446" t="s">
        <v>1448</v>
      </c>
    </row>
    <row r="1447" spans="1:5">
      <c r="A1447">
        <f>HYPERLINK("http://www.twitter.com/realDonaldTrump/status/769221405820923905", "769221405820923905")</f>
        <v>0</v>
      </c>
      <c r="B1447" s="2">
        <v>42608.7181597222</v>
      </c>
      <c r="C1447">
        <v>27903</v>
      </c>
      <c r="D1447">
        <v>12974</v>
      </c>
      <c r="E1447" t="s">
        <v>1449</v>
      </c>
    </row>
    <row r="1448" spans="1:5">
      <c r="A1448">
        <f>HYPERLINK("http://www.twitter.com/realDonaldTrump/status/769203012250112006", "769203012250112006")</f>
        <v>0</v>
      </c>
      <c r="B1448" s="2">
        <v>42608.6673958333</v>
      </c>
      <c r="C1448">
        <v>31652</v>
      </c>
      <c r="D1448">
        <v>8983</v>
      </c>
      <c r="E1448" t="s">
        <v>1450</v>
      </c>
    </row>
    <row r="1449" spans="1:5">
      <c r="A1449">
        <f>HYPERLINK("http://www.twitter.com/realDonaldTrump/status/769185155198124032", "769185155198124032")</f>
        <v>0</v>
      </c>
      <c r="B1449" s="2">
        <v>42608.618125</v>
      </c>
      <c r="C1449">
        <v>14788</v>
      </c>
      <c r="D1449">
        <v>5686</v>
      </c>
      <c r="E1449" t="s">
        <v>1451</v>
      </c>
    </row>
    <row r="1450" spans="1:5">
      <c r="A1450">
        <f>HYPERLINK("http://www.twitter.com/realDonaldTrump/status/769177810678067200", "769177810678067200")</f>
        <v>0</v>
      </c>
      <c r="B1450" s="2">
        <v>42608.5978587963</v>
      </c>
      <c r="C1450">
        <v>30759</v>
      </c>
      <c r="D1450">
        <v>10522</v>
      </c>
      <c r="E1450" t="s">
        <v>1452</v>
      </c>
    </row>
    <row r="1451" spans="1:5">
      <c r="A1451">
        <f>HYPERLINK("http://www.twitter.com/realDonaldTrump/status/769170204941164544", "769170204941164544")</f>
        <v>0</v>
      </c>
      <c r="B1451" s="2">
        <v>42608.576875</v>
      </c>
      <c r="C1451">
        <v>28266</v>
      </c>
      <c r="D1451">
        <v>8987</v>
      </c>
      <c r="E1451" t="s">
        <v>1453</v>
      </c>
    </row>
    <row r="1452" spans="1:5">
      <c r="A1452">
        <f>HYPERLINK("http://www.twitter.com/realDonaldTrump/status/769143845892136960", "769143845892136960")</f>
        <v>0</v>
      </c>
      <c r="B1452" s="2">
        <v>42608.5041319444</v>
      </c>
      <c r="C1452">
        <v>17117</v>
      </c>
      <c r="D1452">
        <v>7082</v>
      </c>
      <c r="E1452" t="s">
        <v>1454</v>
      </c>
    </row>
    <row r="1453" spans="1:5">
      <c r="A1453">
        <f>HYPERLINK("http://www.twitter.com/realDonaldTrump/status/769021525638930437", "769021525638930437")</f>
        <v>0</v>
      </c>
      <c r="B1453" s="2">
        <v>42608.1665972222</v>
      </c>
      <c r="C1453">
        <v>17481</v>
      </c>
      <c r="D1453">
        <v>5483</v>
      </c>
      <c r="E1453" t="s">
        <v>1455</v>
      </c>
    </row>
    <row r="1454" spans="1:5">
      <c r="A1454">
        <f>HYPERLINK("http://www.twitter.com/realDonaldTrump/status/769006162926669824", "769006162926669824")</f>
        <v>0</v>
      </c>
      <c r="B1454" s="2">
        <v>42608.1242013889</v>
      </c>
      <c r="C1454">
        <v>31470</v>
      </c>
      <c r="D1454">
        <v>16509</v>
      </c>
      <c r="E1454" t="s">
        <v>1456</v>
      </c>
    </row>
    <row r="1455" spans="1:5">
      <c r="A1455">
        <f>HYPERLINK("http://www.twitter.com/realDonaldTrump/status/769003323856867328", "769003323856867328")</f>
        <v>0</v>
      </c>
      <c r="B1455" s="2">
        <v>42608.1163657407</v>
      </c>
      <c r="C1455">
        <v>16300</v>
      </c>
      <c r="D1455">
        <v>9045</v>
      </c>
      <c r="E1455" t="s">
        <v>1457</v>
      </c>
    </row>
    <row r="1456" spans="1:5">
      <c r="A1456">
        <f>HYPERLINK("http://www.twitter.com/realDonaldTrump/status/769003073943457792", "769003073943457792")</f>
        <v>0</v>
      </c>
      <c r="B1456" s="2">
        <v>42608.1156712963</v>
      </c>
      <c r="C1456">
        <v>16505</v>
      </c>
      <c r="D1456">
        <v>8363</v>
      </c>
      <c r="E1456" t="s">
        <v>1458</v>
      </c>
    </row>
    <row r="1457" spans="1:5">
      <c r="A1457">
        <f>HYPERLINK("http://www.twitter.com/realDonaldTrump/status/769002724218118144", "769002724218118144")</f>
        <v>0</v>
      </c>
      <c r="B1457" s="2">
        <v>42608.1147106482</v>
      </c>
      <c r="C1457">
        <v>12862</v>
      </c>
      <c r="D1457">
        <v>5180</v>
      </c>
      <c r="E1457" t="s">
        <v>1459</v>
      </c>
    </row>
    <row r="1458" spans="1:5">
      <c r="A1458">
        <f>HYPERLINK("http://www.twitter.com/realDonaldTrump/status/769001435484688384", "769001435484688384")</f>
        <v>0</v>
      </c>
      <c r="B1458" s="2">
        <v>42608.1111574074</v>
      </c>
      <c r="C1458">
        <v>27156</v>
      </c>
      <c r="D1458">
        <v>9310</v>
      </c>
      <c r="E1458" t="s">
        <v>1460</v>
      </c>
    </row>
    <row r="1459" spans="1:5">
      <c r="A1459">
        <f>HYPERLINK("http://www.twitter.com/realDonaldTrump/status/768922208987127808", "768922208987127808")</f>
        <v>0</v>
      </c>
      <c r="B1459" s="2">
        <v>42607.8925347222</v>
      </c>
      <c r="C1459">
        <v>23286</v>
      </c>
      <c r="D1459">
        <v>10596</v>
      </c>
      <c r="E1459" t="s">
        <v>1461</v>
      </c>
    </row>
    <row r="1460" spans="1:5">
      <c r="A1460">
        <f>HYPERLINK("http://www.twitter.com/realDonaldTrump/status/768912241349517312", "768912241349517312")</f>
        <v>0</v>
      </c>
      <c r="B1460" s="2">
        <v>42607.8650231482</v>
      </c>
      <c r="C1460">
        <v>28657</v>
      </c>
      <c r="D1460">
        <v>10069</v>
      </c>
      <c r="E1460" t="s">
        <v>1462</v>
      </c>
    </row>
    <row r="1461" spans="1:5">
      <c r="A1461">
        <f>HYPERLINK("http://www.twitter.com/realDonaldTrump/status/768904362211086336", "768904362211086336")</f>
        <v>0</v>
      </c>
      <c r="B1461" s="2">
        <v>42607.843287037</v>
      </c>
      <c r="C1461">
        <v>27896</v>
      </c>
      <c r="D1461">
        <v>9470</v>
      </c>
      <c r="E1461" t="s">
        <v>1463</v>
      </c>
    </row>
    <row r="1462" spans="1:5">
      <c r="A1462">
        <f>HYPERLINK("http://www.twitter.com/realDonaldTrump/status/768903697166368769", "768903697166368769")</f>
        <v>0</v>
      </c>
      <c r="B1462" s="2">
        <v>42607.8414467593</v>
      </c>
      <c r="C1462">
        <v>21876</v>
      </c>
      <c r="D1462">
        <v>7936</v>
      </c>
      <c r="E1462" t="s">
        <v>1464</v>
      </c>
    </row>
    <row r="1463" spans="1:5">
      <c r="A1463">
        <f>HYPERLINK("http://www.twitter.com/realDonaldTrump/status/768791265811062788", "768791265811062788")</f>
        <v>0</v>
      </c>
      <c r="B1463" s="2">
        <v>42607.5311921296</v>
      </c>
      <c r="C1463">
        <v>33676</v>
      </c>
      <c r="D1463">
        <v>11068</v>
      </c>
      <c r="E1463" t="s">
        <v>1465</v>
      </c>
    </row>
    <row r="1464" spans="1:5">
      <c r="A1464">
        <f>HYPERLINK("http://www.twitter.com/realDonaldTrump/status/768788761635356672", "768788761635356672")</f>
        <v>0</v>
      </c>
      <c r="B1464" s="2">
        <v>42607.5242824074</v>
      </c>
      <c r="C1464">
        <v>33772</v>
      </c>
      <c r="D1464">
        <v>10184</v>
      </c>
      <c r="E1464" t="s">
        <v>1466</v>
      </c>
    </row>
    <row r="1465" spans="1:5">
      <c r="A1465">
        <f>HYPERLINK("http://www.twitter.com/realDonaldTrump/status/768667720149762048", "768667720149762048")</f>
        <v>0</v>
      </c>
      <c r="B1465" s="2">
        <v>42607.1902777778</v>
      </c>
      <c r="C1465">
        <v>13250</v>
      </c>
      <c r="D1465">
        <v>5123</v>
      </c>
      <c r="E1465" t="s">
        <v>1467</v>
      </c>
    </row>
    <row r="1466" spans="1:5">
      <c r="A1466">
        <f>HYPERLINK("http://www.twitter.com/realDonaldTrump/status/768624405777944576", "768624405777944576")</f>
        <v>0</v>
      </c>
      <c r="B1466" s="2">
        <v>42607.0707523148</v>
      </c>
      <c r="C1466">
        <v>26640</v>
      </c>
      <c r="D1466">
        <v>7783</v>
      </c>
      <c r="E1466" t="s">
        <v>1468</v>
      </c>
    </row>
    <row r="1467" spans="1:5">
      <c r="A1467">
        <f>HYPERLINK("http://www.twitter.com/realDonaldTrump/status/768623966713999360", "768623966713999360")</f>
        <v>0</v>
      </c>
      <c r="B1467" s="2">
        <v>42607.069537037</v>
      </c>
      <c r="C1467">
        <v>27013</v>
      </c>
      <c r="D1467">
        <v>7664</v>
      </c>
      <c r="E1467" t="s">
        <v>1469</v>
      </c>
    </row>
    <row r="1468" spans="1:5">
      <c r="A1468">
        <f>HYPERLINK("http://www.twitter.com/realDonaldTrump/status/768600125413273600", "768600125413273600")</f>
        <v>0</v>
      </c>
      <c r="B1468" s="2">
        <v>42607.00375</v>
      </c>
      <c r="C1468">
        <v>16522</v>
      </c>
      <c r="D1468">
        <v>4366</v>
      </c>
      <c r="E1468" t="s">
        <v>1470</v>
      </c>
    </row>
    <row r="1469" spans="1:5">
      <c r="A1469">
        <f>HYPERLINK("http://www.twitter.com/realDonaldTrump/status/768578478266458113", "768578478266458113")</f>
        <v>0</v>
      </c>
      <c r="B1469" s="2">
        <v>42606.9440162037</v>
      </c>
      <c r="C1469">
        <v>19067</v>
      </c>
      <c r="D1469">
        <v>6602</v>
      </c>
      <c r="E1469" t="s">
        <v>1471</v>
      </c>
    </row>
    <row r="1470" spans="1:5">
      <c r="A1470">
        <f>HYPERLINK("http://www.twitter.com/realDonaldTrump/status/768561716149915648", "768561716149915648")</f>
        <v>0</v>
      </c>
      <c r="B1470" s="2">
        <v>42606.8977546296</v>
      </c>
      <c r="C1470">
        <v>17550</v>
      </c>
      <c r="D1470">
        <v>4944</v>
      </c>
      <c r="E1470" t="s">
        <v>1472</v>
      </c>
    </row>
    <row r="1471" spans="1:5">
      <c r="A1471">
        <f>HYPERLINK("http://www.twitter.com/realDonaldTrump/status/768499164967739392", "768499164967739392")</f>
        <v>0</v>
      </c>
      <c r="B1471" s="2">
        <v>42606.725150463</v>
      </c>
      <c r="C1471">
        <v>17232</v>
      </c>
      <c r="D1471">
        <v>6131</v>
      </c>
      <c r="E1471" t="s">
        <v>1473</v>
      </c>
    </row>
    <row r="1472" spans="1:5">
      <c r="A1472">
        <f>HYPERLINK("http://www.twitter.com/realDonaldTrump/status/768488555828183040", "768488555828183040")</f>
        <v>0</v>
      </c>
      <c r="B1472" s="2">
        <v>42606.6958796296</v>
      </c>
      <c r="C1472">
        <v>20791</v>
      </c>
      <c r="D1472">
        <v>7459</v>
      </c>
      <c r="E1472" t="s">
        <v>1474</v>
      </c>
    </row>
    <row r="1473" spans="1:5">
      <c r="A1473">
        <f>HYPERLINK("http://www.twitter.com/realDonaldTrump/status/768467755339223040", "768467755339223040")</f>
        <v>0</v>
      </c>
      <c r="B1473" s="2">
        <v>42606.6384722222</v>
      </c>
      <c r="C1473">
        <v>16558</v>
      </c>
      <c r="D1473">
        <v>6955</v>
      </c>
      <c r="E1473" t="s">
        <v>1475</v>
      </c>
    </row>
    <row r="1474" spans="1:5">
      <c r="A1474">
        <f>HYPERLINK("http://www.twitter.com/realDonaldTrump/status/768448216744488960", "768448216744488960")</f>
        <v>0</v>
      </c>
      <c r="B1474" s="2">
        <v>42606.5845601852</v>
      </c>
      <c r="C1474">
        <v>34464</v>
      </c>
      <c r="D1474">
        <v>8738</v>
      </c>
      <c r="E1474" t="s">
        <v>1476</v>
      </c>
    </row>
    <row r="1475" spans="1:5">
      <c r="A1475">
        <f>HYPERLINK("http://www.twitter.com/realDonaldTrump/status/768280756682690562", "768280756682690562")</f>
        <v>0</v>
      </c>
      <c r="B1475" s="2">
        <v>42606.1224652778</v>
      </c>
      <c r="C1475">
        <v>22437</v>
      </c>
      <c r="D1475">
        <v>7431</v>
      </c>
      <c r="E1475" t="s">
        <v>1477</v>
      </c>
    </row>
    <row r="1476" spans="1:5">
      <c r="A1476">
        <f>HYPERLINK("http://www.twitter.com/realDonaldTrump/status/768239855310471168", "768239855310471168")</f>
        <v>0</v>
      </c>
      <c r="B1476" s="2">
        <v>42606.0095949074</v>
      </c>
      <c r="C1476">
        <v>19582</v>
      </c>
      <c r="D1476">
        <v>5341</v>
      </c>
      <c r="E1476" t="s">
        <v>1478</v>
      </c>
    </row>
    <row r="1477" spans="1:5">
      <c r="A1477">
        <f>HYPERLINK("http://www.twitter.com/realDonaldTrump/status/768196613680398336", "768196613680398336")</f>
        <v>0</v>
      </c>
      <c r="B1477" s="2">
        <v>42605.8902662037</v>
      </c>
      <c r="C1477">
        <v>26239</v>
      </c>
      <c r="D1477">
        <v>8575</v>
      </c>
      <c r="E1477" t="s">
        <v>1479</v>
      </c>
    </row>
    <row r="1478" spans="1:5">
      <c r="A1478">
        <f>HYPERLINK("http://www.twitter.com/realDonaldTrump/status/768125054584393729", "768125054584393729")</f>
        <v>0</v>
      </c>
      <c r="B1478" s="2">
        <v>42605.6928009259</v>
      </c>
      <c r="C1478">
        <v>13509</v>
      </c>
      <c r="D1478">
        <v>4330</v>
      </c>
      <c r="E1478" t="s">
        <v>1480</v>
      </c>
    </row>
    <row r="1479" spans="1:5">
      <c r="A1479">
        <f>HYPERLINK("http://www.twitter.com/realDonaldTrump/status/768119463421943808", "768119463421943808")</f>
        <v>0</v>
      </c>
      <c r="B1479" s="2">
        <v>42605.6773726852</v>
      </c>
      <c r="C1479">
        <v>41674</v>
      </c>
      <c r="D1479">
        <v>13913</v>
      </c>
      <c r="E1479" t="s">
        <v>1481</v>
      </c>
    </row>
    <row r="1480" spans="1:5">
      <c r="A1480">
        <f>HYPERLINK("http://www.twitter.com/realDonaldTrump/status/768097204376510464", "768097204376510464")</f>
        <v>0</v>
      </c>
      <c r="B1480" s="2">
        <v>42605.6159490741</v>
      </c>
      <c r="C1480">
        <v>26062</v>
      </c>
      <c r="D1480">
        <v>9800</v>
      </c>
      <c r="E1480" t="s">
        <v>1482</v>
      </c>
    </row>
    <row r="1481" spans="1:5">
      <c r="A1481">
        <f>HYPERLINK("http://www.twitter.com/realDonaldTrump/status/768083669550366720", "768083669550366720")</f>
        <v>0</v>
      </c>
      <c r="B1481" s="2">
        <v>42605.578599537</v>
      </c>
      <c r="C1481">
        <v>39556</v>
      </c>
      <c r="D1481">
        <v>12025</v>
      </c>
      <c r="E1481" t="s">
        <v>1483</v>
      </c>
    </row>
    <row r="1482" spans="1:5">
      <c r="A1482">
        <f>HYPERLINK("http://www.twitter.com/realDonaldTrump/status/768069472464666624", "768069472464666624")</f>
        <v>0</v>
      </c>
      <c r="B1482" s="2">
        <v>42605.5394212963</v>
      </c>
      <c r="C1482">
        <v>23359</v>
      </c>
      <c r="D1482">
        <v>6742</v>
      </c>
      <c r="E1482" t="s">
        <v>1484</v>
      </c>
    </row>
    <row r="1483" spans="1:5">
      <c r="A1483">
        <f>HYPERLINK("http://www.twitter.com/realDonaldTrump/status/767889674530594816", "767889674530594816")</f>
        <v>0</v>
      </c>
      <c r="B1483" s="2">
        <v>42605.043275463</v>
      </c>
      <c r="C1483">
        <v>18510</v>
      </c>
      <c r="D1483">
        <v>5638</v>
      </c>
      <c r="E1483" t="s">
        <v>1485</v>
      </c>
    </row>
    <row r="1484" spans="1:5">
      <c r="A1484">
        <f>HYPERLINK("http://www.twitter.com/realDonaldTrump/status/767888297125355521", "767888297125355521")</f>
        <v>0</v>
      </c>
      <c r="B1484" s="2">
        <v>42605.0394791667</v>
      </c>
      <c r="C1484">
        <v>25200</v>
      </c>
      <c r="D1484">
        <v>8267</v>
      </c>
      <c r="E1484" t="s">
        <v>1486</v>
      </c>
    </row>
    <row r="1485" spans="1:5">
      <c r="A1485">
        <f>HYPERLINK("http://www.twitter.com/realDonaldTrump/status/767870642716831744", "767870642716831744")</f>
        <v>0</v>
      </c>
      <c r="B1485" s="2">
        <v>42604.9907638889</v>
      </c>
      <c r="C1485">
        <v>24119</v>
      </c>
      <c r="D1485">
        <v>5801</v>
      </c>
      <c r="E1485" t="s">
        <v>1487</v>
      </c>
    </row>
    <row r="1486" spans="1:5">
      <c r="A1486">
        <f>HYPERLINK("http://www.twitter.com/realDonaldTrump/status/767830376735735808", "767830376735735808")</f>
        <v>0</v>
      </c>
      <c r="B1486" s="2">
        <v>42604.8796527778</v>
      </c>
      <c r="C1486">
        <v>25288</v>
      </c>
      <c r="D1486">
        <v>7990</v>
      </c>
      <c r="E1486" t="s">
        <v>1488</v>
      </c>
    </row>
    <row r="1487" spans="1:5">
      <c r="A1487">
        <f>HYPERLINK("http://www.twitter.com/realDonaldTrump/status/767706807619969025", "767706807619969025")</f>
        <v>0</v>
      </c>
      <c r="B1487" s="2">
        <v>42604.5386574074</v>
      </c>
      <c r="C1487">
        <v>13464</v>
      </c>
      <c r="D1487">
        <v>5862</v>
      </c>
      <c r="E1487" t="s">
        <v>1489</v>
      </c>
    </row>
    <row r="1488" spans="1:5">
      <c r="A1488">
        <f>HYPERLINK("http://www.twitter.com/realDonaldTrump/status/767700760113086465", "767700760113086465")</f>
        <v>0</v>
      </c>
      <c r="B1488" s="2">
        <v>42604.5219791667</v>
      </c>
      <c r="C1488">
        <v>10962</v>
      </c>
      <c r="D1488">
        <v>2297</v>
      </c>
      <c r="E1488" t="s">
        <v>1490</v>
      </c>
    </row>
    <row r="1489" spans="1:5">
      <c r="A1489">
        <f>HYPERLINK("http://www.twitter.com/realDonaldTrump/status/767685048703279104", "767685048703279104")</f>
        <v>0</v>
      </c>
      <c r="B1489" s="2">
        <v>42604.4786226852</v>
      </c>
      <c r="C1489">
        <v>21680</v>
      </c>
      <c r="D1489">
        <v>7146</v>
      </c>
      <c r="E1489" t="s">
        <v>1491</v>
      </c>
    </row>
    <row r="1490" spans="1:5">
      <c r="A1490">
        <f>HYPERLINK("http://www.twitter.com/realDonaldTrump/status/767683204039974912", "767683204039974912")</f>
        <v>0</v>
      </c>
      <c r="B1490" s="2">
        <v>42604.4735300926</v>
      </c>
      <c r="C1490">
        <v>17096</v>
      </c>
      <c r="D1490">
        <v>4995</v>
      </c>
      <c r="E1490" t="s">
        <v>1492</v>
      </c>
    </row>
    <row r="1491" spans="1:5">
      <c r="A1491">
        <f>HYPERLINK("http://www.twitter.com/realDonaldTrump/status/767679356466520064", "767679356466520064")</f>
        <v>0</v>
      </c>
      <c r="B1491" s="2">
        <v>42604.4629166667</v>
      </c>
      <c r="C1491">
        <v>16547</v>
      </c>
      <c r="D1491">
        <v>6347</v>
      </c>
      <c r="E1491" t="s">
        <v>1493</v>
      </c>
    </row>
    <row r="1492" spans="1:5">
      <c r="A1492">
        <f>HYPERLINK("http://www.twitter.com/realDonaldTrump/status/767536943353696256", "767536943353696256")</f>
        <v>0</v>
      </c>
      <c r="B1492" s="2">
        <v>42604.0699305556</v>
      </c>
      <c r="C1492">
        <v>9917</v>
      </c>
      <c r="D1492">
        <v>2377</v>
      </c>
      <c r="E1492" t="s">
        <v>1494</v>
      </c>
    </row>
    <row r="1493" spans="1:5">
      <c r="A1493">
        <f>HYPERLINK("http://www.twitter.com/realDonaldTrump/status/767532993686765569", "767532993686765569")</f>
        <v>0</v>
      </c>
      <c r="B1493" s="2">
        <v>42604.0590277778</v>
      </c>
      <c r="C1493">
        <v>13476</v>
      </c>
      <c r="D1493">
        <v>4207</v>
      </c>
      <c r="E1493" t="s">
        <v>1495</v>
      </c>
    </row>
    <row r="1494" spans="1:5">
      <c r="A1494">
        <f>HYPERLINK("http://www.twitter.com/realDonaldTrump/status/767532557235806208", "767532557235806208")</f>
        <v>0</v>
      </c>
      <c r="B1494" s="2">
        <v>42604.0578240741</v>
      </c>
      <c r="C1494">
        <v>13906</v>
      </c>
      <c r="D1494">
        <v>3970</v>
      </c>
      <c r="E1494" t="s">
        <v>1496</v>
      </c>
    </row>
    <row r="1495" spans="1:5">
      <c r="A1495">
        <f>HYPERLINK("http://www.twitter.com/realDonaldTrump/status/767531507665756160", "767531507665756160")</f>
        <v>0</v>
      </c>
      <c r="B1495" s="2">
        <v>42604.0549305556</v>
      </c>
      <c r="C1495">
        <v>15742</v>
      </c>
      <c r="D1495">
        <v>8273</v>
      </c>
      <c r="E1495" t="s">
        <v>1497</v>
      </c>
    </row>
    <row r="1496" spans="1:5">
      <c r="A1496">
        <f>HYPERLINK("http://www.twitter.com/realDonaldTrump/status/767528750749810688", "767528750749810688")</f>
        <v>0</v>
      </c>
      <c r="B1496" s="2">
        <v>42604.0473148148</v>
      </c>
      <c r="C1496">
        <v>13904</v>
      </c>
      <c r="D1496">
        <v>3643</v>
      </c>
      <c r="E1496" t="s">
        <v>1498</v>
      </c>
    </row>
    <row r="1497" spans="1:5">
      <c r="A1497">
        <f>HYPERLINK("http://www.twitter.com/realDonaldTrump/status/767520065608613888", "767520065608613888")</f>
        <v>0</v>
      </c>
      <c r="B1497" s="2">
        <v>42604.0233564815</v>
      </c>
      <c r="C1497">
        <v>39771</v>
      </c>
      <c r="D1497">
        <v>13742</v>
      </c>
      <c r="E1497" t="s">
        <v>1499</v>
      </c>
    </row>
    <row r="1498" spans="1:5">
      <c r="A1498">
        <f>HYPERLINK("http://www.twitter.com/realDonaldTrump/status/767505383430782976", "767505383430782976")</f>
        <v>0</v>
      </c>
      <c r="B1498" s="2">
        <v>42603.9828356481</v>
      </c>
      <c r="C1498">
        <v>39892</v>
      </c>
      <c r="D1498">
        <v>12548</v>
      </c>
      <c r="E1498" t="s">
        <v>1500</v>
      </c>
    </row>
    <row r="1499" spans="1:5">
      <c r="A1499">
        <f>HYPERLINK("http://www.twitter.com/realDonaldTrump/status/767150340726779904", "767150340726779904")</f>
        <v>0</v>
      </c>
      <c r="B1499" s="2">
        <v>42603.0031018518</v>
      </c>
      <c r="C1499">
        <v>21761</v>
      </c>
      <c r="D1499">
        <v>7807</v>
      </c>
      <c r="E1499" t="s">
        <v>1501</v>
      </c>
    </row>
    <row r="1500" spans="1:5">
      <c r="A1500">
        <f>HYPERLINK("http://www.twitter.com/realDonaldTrump/status/767149890464018433", "767149890464018433")</f>
        <v>0</v>
      </c>
      <c r="B1500" s="2">
        <v>42603.0018634259</v>
      </c>
      <c r="C1500">
        <v>18757</v>
      </c>
      <c r="D1500">
        <v>5398</v>
      </c>
      <c r="E1500" t="s">
        <v>1502</v>
      </c>
    </row>
    <row r="1501" spans="1:5">
      <c r="A1501">
        <f>HYPERLINK("http://www.twitter.com/realDonaldTrump/status/767149739418804228", "767149739418804228")</f>
        <v>0</v>
      </c>
      <c r="B1501" s="2">
        <v>42603.0014467593</v>
      </c>
      <c r="C1501">
        <v>16438</v>
      </c>
      <c r="D1501">
        <v>4287</v>
      </c>
      <c r="E1501" t="s">
        <v>1503</v>
      </c>
    </row>
    <row r="1502" spans="1:5">
      <c r="A1502">
        <f>HYPERLINK("http://www.twitter.com/realDonaldTrump/status/767137098679853056", "767137098679853056")</f>
        <v>0</v>
      </c>
      <c r="B1502" s="2">
        <v>42602.9665625</v>
      </c>
      <c r="C1502">
        <v>30533</v>
      </c>
      <c r="D1502">
        <v>9863</v>
      </c>
      <c r="E1502" t="s">
        <v>1504</v>
      </c>
    </row>
    <row r="1503" spans="1:5">
      <c r="A1503">
        <f>HYPERLINK("http://www.twitter.com/realDonaldTrump/status/767135128950898689", "767135128950898689")</f>
        <v>0</v>
      </c>
      <c r="B1503" s="2">
        <v>42602.9611342593</v>
      </c>
      <c r="C1503">
        <v>18351</v>
      </c>
      <c r="D1503">
        <v>5642</v>
      </c>
      <c r="E1503" t="s">
        <v>1505</v>
      </c>
    </row>
    <row r="1504" spans="1:5">
      <c r="A1504">
        <f>HYPERLINK("http://www.twitter.com/realDonaldTrump/status/767134774687330304", "767134774687330304")</f>
        <v>0</v>
      </c>
      <c r="B1504" s="2">
        <v>42602.960150463</v>
      </c>
      <c r="C1504">
        <v>13846</v>
      </c>
      <c r="D1504">
        <v>3486</v>
      </c>
      <c r="E1504" t="s">
        <v>1506</v>
      </c>
    </row>
    <row r="1505" spans="1:5">
      <c r="A1505">
        <f>HYPERLINK("http://www.twitter.com/realDonaldTrump/status/767133459148054528", "767133459148054528")</f>
        <v>0</v>
      </c>
      <c r="B1505" s="2">
        <v>42602.9565162037</v>
      </c>
      <c r="C1505">
        <v>17387</v>
      </c>
      <c r="D1505">
        <v>3828</v>
      </c>
      <c r="E1505" t="s">
        <v>1507</v>
      </c>
    </row>
    <row r="1506" spans="1:5">
      <c r="A1506">
        <f>HYPERLINK("http://www.twitter.com/realDonaldTrump/status/767052374934421506", "767052374934421506")</f>
        <v>0</v>
      </c>
      <c r="B1506" s="2">
        <v>42602.7327662037</v>
      </c>
      <c r="C1506">
        <v>18913</v>
      </c>
      <c r="D1506">
        <v>7229</v>
      </c>
      <c r="E1506" t="s">
        <v>1508</v>
      </c>
    </row>
    <row r="1507" spans="1:5">
      <c r="A1507">
        <f>HYPERLINK("http://www.twitter.com/realDonaldTrump/status/766863067858759681", "766863067858759681")</f>
        <v>0</v>
      </c>
      <c r="B1507" s="2">
        <v>42602.2103819444</v>
      </c>
      <c r="C1507">
        <v>27372</v>
      </c>
      <c r="D1507">
        <v>8091</v>
      </c>
      <c r="E1507" t="s">
        <v>1509</v>
      </c>
    </row>
    <row r="1508" spans="1:5">
      <c r="A1508">
        <f>HYPERLINK("http://www.twitter.com/realDonaldTrump/status/766805485466988544", "766805485466988544")</f>
        <v>0</v>
      </c>
      <c r="B1508" s="2">
        <v>42602.0514814815</v>
      </c>
      <c r="C1508">
        <v>21866</v>
      </c>
      <c r="D1508">
        <v>8759</v>
      </c>
      <c r="E1508" t="s">
        <v>1510</v>
      </c>
    </row>
    <row r="1509" spans="1:5">
      <c r="A1509">
        <f>HYPERLINK("http://www.twitter.com/realDonaldTrump/status/766801978085117952", "766801978085117952")</f>
        <v>0</v>
      </c>
      <c r="B1509" s="2">
        <v>42602.0418055556</v>
      </c>
      <c r="C1509">
        <v>44422</v>
      </c>
      <c r="D1509">
        <v>17378</v>
      </c>
      <c r="E1509" t="s">
        <v>1511</v>
      </c>
    </row>
    <row r="1510" spans="1:5">
      <c r="A1510">
        <f>HYPERLINK("http://www.twitter.com/realDonaldTrump/status/766791143291916288", "766791143291916288")</f>
        <v>0</v>
      </c>
      <c r="B1510" s="2">
        <v>42602.0119097222</v>
      </c>
      <c r="C1510">
        <v>60507</v>
      </c>
      <c r="D1510">
        <v>26947</v>
      </c>
      <c r="E1510" t="s">
        <v>1512</v>
      </c>
    </row>
    <row r="1511" spans="1:5">
      <c r="A1511">
        <f>HYPERLINK("http://www.twitter.com/realDonaldTrump/status/766760721115938816", "766760721115938816")</f>
        <v>0</v>
      </c>
      <c r="B1511" s="2">
        <v>42601.927962963</v>
      </c>
      <c r="C1511">
        <v>30106</v>
      </c>
      <c r="D1511">
        <v>9273</v>
      </c>
      <c r="E1511" t="s">
        <v>1513</v>
      </c>
    </row>
    <row r="1512" spans="1:5">
      <c r="A1512">
        <f>HYPERLINK("http://www.twitter.com/realDonaldTrump/status/766629517083414528", "766629517083414528")</f>
        <v>0</v>
      </c>
      <c r="B1512" s="2">
        <v>42601.5659027778</v>
      </c>
      <c r="C1512">
        <v>16456</v>
      </c>
      <c r="D1512">
        <v>4100</v>
      </c>
      <c r="E1512" t="s">
        <v>1514</v>
      </c>
    </row>
    <row r="1513" spans="1:5">
      <c r="A1513">
        <f>HYPERLINK("http://www.twitter.com/realDonaldTrump/status/766627569110249472", "766627569110249472")</f>
        <v>0</v>
      </c>
      <c r="B1513" s="2">
        <v>42601.5605324074</v>
      </c>
      <c r="C1513">
        <v>33431</v>
      </c>
      <c r="D1513">
        <v>7601</v>
      </c>
      <c r="E1513" t="s">
        <v>1515</v>
      </c>
    </row>
    <row r="1514" spans="1:5">
      <c r="A1514">
        <f>HYPERLINK("http://www.twitter.com/realDonaldTrump/status/766616610975182848", "766616610975182848")</f>
        <v>0</v>
      </c>
      <c r="B1514" s="2">
        <v>42601.5302893519</v>
      </c>
      <c r="C1514">
        <v>20770</v>
      </c>
      <c r="D1514">
        <v>5737</v>
      </c>
      <c r="E1514" t="s">
        <v>1516</v>
      </c>
    </row>
    <row r="1515" spans="1:5">
      <c r="A1515">
        <f>HYPERLINK("http://www.twitter.com/realDonaldTrump/status/766616361720246272", "766616361720246272")</f>
        <v>0</v>
      </c>
      <c r="B1515" s="2">
        <v>42601.5296064815</v>
      </c>
      <c r="C1515">
        <v>24303</v>
      </c>
      <c r="D1515">
        <v>5779</v>
      </c>
      <c r="E1515" t="s">
        <v>1517</v>
      </c>
    </row>
    <row r="1516" spans="1:5">
      <c r="A1516">
        <f>HYPERLINK("http://www.twitter.com/realDonaldTrump/status/766585563805802497", "766585563805802497")</f>
        <v>0</v>
      </c>
      <c r="B1516" s="2">
        <v>42601.4446180556</v>
      </c>
      <c r="C1516">
        <v>45314</v>
      </c>
      <c r="D1516">
        <v>16587</v>
      </c>
      <c r="E1516" t="s">
        <v>1518</v>
      </c>
    </row>
    <row r="1517" spans="1:5">
      <c r="A1517">
        <f>HYPERLINK("http://www.twitter.com/realDonaldTrump/status/766437671652556800", "766437671652556800")</f>
        <v>0</v>
      </c>
      <c r="B1517" s="2">
        <v>42601.0365162037</v>
      </c>
      <c r="C1517">
        <v>17517</v>
      </c>
      <c r="D1517">
        <v>4748</v>
      </c>
      <c r="E1517" t="s">
        <v>1519</v>
      </c>
    </row>
    <row r="1518" spans="1:5">
      <c r="A1518">
        <f>HYPERLINK("http://www.twitter.com/realDonaldTrump/status/766432970441945088", "766432970441945088")</f>
        <v>0</v>
      </c>
      <c r="B1518" s="2">
        <v>42601.0235416667</v>
      </c>
      <c r="C1518">
        <v>18677</v>
      </c>
      <c r="D1518">
        <v>6726</v>
      </c>
      <c r="E1518" t="s">
        <v>1520</v>
      </c>
    </row>
    <row r="1519" spans="1:5">
      <c r="A1519">
        <f>HYPERLINK("http://www.twitter.com/realDonaldTrump/status/766378021355921408", "766378021355921408")</f>
        <v>0</v>
      </c>
      <c r="B1519" s="2">
        <v>42600.8719097222</v>
      </c>
      <c r="C1519">
        <v>46674</v>
      </c>
      <c r="D1519">
        <v>27461</v>
      </c>
      <c r="E1519" t="s">
        <v>1521</v>
      </c>
    </row>
    <row r="1520" spans="1:5">
      <c r="A1520">
        <f>HYPERLINK("http://www.twitter.com/realDonaldTrump/status/766246213079498752", "766246213079498752")</f>
        <v>0</v>
      </c>
      <c r="B1520" s="2">
        <v>42600.5081944444</v>
      </c>
      <c r="C1520">
        <v>38947</v>
      </c>
      <c r="D1520">
        <v>17758</v>
      </c>
      <c r="E1520" t="s">
        <v>1522</v>
      </c>
    </row>
    <row r="1521" spans="1:5">
      <c r="A1521">
        <f>HYPERLINK("http://www.twitter.com/realDonaldTrump/status/766082563064623105", "766082563064623105")</f>
        <v>0</v>
      </c>
      <c r="B1521" s="2">
        <v>42600.0565972222</v>
      </c>
      <c r="C1521">
        <v>14634</v>
      </c>
      <c r="D1521">
        <v>3500</v>
      </c>
      <c r="E1521" t="s">
        <v>1523</v>
      </c>
    </row>
    <row r="1522" spans="1:5">
      <c r="A1522">
        <f>HYPERLINK("http://www.twitter.com/realDonaldTrump/status/766038151206936576", "766038151206936576")</f>
        <v>0</v>
      </c>
      <c r="B1522" s="2">
        <v>42599.9340509259</v>
      </c>
      <c r="C1522">
        <v>20471</v>
      </c>
      <c r="D1522">
        <v>5765</v>
      </c>
      <c r="E1522" t="s">
        <v>1524</v>
      </c>
    </row>
    <row r="1523" spans="1:5">
      <c r="A1523">
        <f>HYPERLINK("http://www.twitter.com/realDonaldTrump/status/766028026987491328", "766028026987491328")</f>
        <v>0</v>
      </c>
      <c r="B1523" s="2">
        <v>42599.9061111111</v>
      </c>
      <c r="C1523">
        <v>24913</v>
      </c>
      <c r="D1523">
        <v>9787</v>
      </c>
      <c r="E1523" t="s">
        <v>1525</v>
      </c>
    </row>
    <row r="1524" spans="1:5">
      <c r="A1524">
        <f>HYPERLINK("http://www.twitter.com/realDonaldTrump/status/766002945485864961", "766002945485864961")</f>
        <v>0</v>
      </c>
      <c r="B1524" s="2">
        <v>42599.8368981481</v>
      </c>
      <c r="C1524">
        <v>27341</v>
      </c>
      <c r="D1524">
        <v>9919</v>
      </c>
      <c r="E1524" t="s">
        <v>1526</v>
      </c>
    </row>
    <row r="1525" spans="1:5">
      <c r="A1525">
        <f>HYPERLINK("http://www.twitter.com/realDonaldTrump/status/765955844055760896", "765955844055760896")</f>
        <v>0</v>
      </c>
      <c r="B1525" s="2">
        <v>42599.7069212963</v>
      </c>
      <c r="C1525">
        <v>37458</v>
      </c>
      <c r="D1525">
        <v>16012</v>
      </c>
      <c r="E1525" t="s">
        <v>1527</v>
      </c>
    </row>
    <row r="1526" spans="1:5">
      <c r="A1526">
        <f>HYPERLINK("http://www.twitter.com/realDonaldTrump/status/765953073072058368", "765953073072058368")</f>
        <v>0</v>
      </c>
      <c r="B1526" s="2">
        <v>42599.6992708333</v>
      </c>
      <c r="C1526">
        <v>16527</v>
      </c>
      <c r="D1526">
        <v>6080</v>
      </c>
      <c r="E1526" t="s">
        <v>1528</v>
      </c>
    </row>
    <row r="1527" spans="1:5">
      <c r="A1527">
        <f>HYPERLINK("http://www.twitter.com/realDonaldTrump/status/765950471160954884", "765950471160954884")</f>
        <v>0</v>
      </c>
      <c r="B1527" s="2">
        <v>42599.6920949074</v>
      </c>
      <c r="C1527">
        <v>15634</v>
      </c>
      <c r="D1527">
        <v>5523</v>
      </c>
      <c r="E1527" t="s">
        <v>1529</v>
      </c>
    </row>
    <row r="1528" spans="1:5">
      <c r="A1528">
        <f>HYPERLINK("http://www.twitter.com/realDonaldTrump/status/765902170084483073", "765902170084483073")</f>
        <v>0</v>
      </c>
      <c r="B1528" s="2">
        <v>42599.5588078704</v>
      </c>
      <c r="C1528">
        <v>11171</v>
      </c>
      <c r="D1528">
        <v>3595</v>
      </c>
      <c r="E1528" t="s">
        <v>1530</v>
      </c>
    </row>
    <row r="1529" spans="1:5">
      <c r="A1529">
        <f>HYPERLINK("http://www.twitter.com/realDonaldTrump/status/765769891278381056", "765769891278381056")</f>
        <v>0</v>
      </c>
      <c r="B1529" s="2">
        <v>42599.1937962963</v>
      </c>
      <c r="C1529">
        <v>15172</v>
      </c>
      <c r="D1529">
        <v>5426</v>
      </c>
      <c r="E1529" t="s">
        <v>1531</v>
      </c>
    </row>
    <row r="1530" spans="1:5">
      <c r="A1530">
        <f>HYPERLINK("http://www.twitter.com/realDonaldTrump/status/765765603743391744", "765765603743391744")</f>
        <v>0</v>
      </c>
      <c r="B1530" s="2">
        <v>42599.1819560185</v>
      </c>
      <c r="C1530">
        <v>12496</v>
      </c>
      <c r="D1530">
        <v>4386</v>
      </c>
      <c r="E1530" t="s">
        <v>1532</v>
      </c>
    </row>
    <row r="1531" spans="1:5">
      <c r="A1531">
        <f>HYPERLINK("http://www.twitter.com/realDonaldTrump/status/765726909925851136", "765726909925851136")</f>
        <v>0</v>
      </c>
      <c r="B1531" s="2">
        <v>42599.0751851852</v>
      </c>
      <c r="C1531">
        <v>16217</v>
      </c>
      <c r="D1531">
        <v>4085</v>
      </c>
      <c r="E1531" t="s">
        <v>1533</v>
      </c>
    </row>
    <row r="1532" spans="1:5">
      <c r="A1532">
        <f>HYPERLINK("http://www.twitter.com/realDonaldTrump/status/765688915932045313", "765688915932045313")</f>
        <v>0</v>
      </c>
      <c r="B1532" s="2">
        <v>42598.9703472222</v>
      </c>
      <c r="C1532">
        <v>17177</v>
      </c>
      <c r="D1532">
        <v>5877</v>
      </c>
      <c r="E1532" t="s">
        <v>1534</v>
      </c>
    </row>
    <row r="1533" spans="1:5">
      <c r="A1533">
        <f>HYPERLINK("http://www.twitter.com/realDonaldTrump/status/765679267086684161", "765679267086684161")</f>
        <v>0</v>
      </c>
      <c r="B1533" s="2">
        <v>42598.9437152778</v>
      </c>
      <c r="C1533">
        <v>18545</v>
      </c>
      <c r="D1533">
        <v>7669</v>
      </c>
      <c r="E1533" t="s">
        <v>1535</v>
      </c>
    </row>
    <row r="1534" spans="1:5">
      <c r="A1534">
        <f>HYPERLINK("http://www.twitter.com/realDonaldTrump/status/765629939811020802", "765629939811020802")</f>
        <v>0</v>
      </c>
      <c r="B1534" s="2">
        <v>42598.8076041667</v>
      </c>
      <c r="C1534">
        <v>17283</v>
      </c>
      <c r="D1534">
        <v>7018</v>
      </c>
      <c r="E1534" t="s">
        <v>1536</v>
      </c>
    </row>
    <row r="1535" spans="1:5">
      <c r="A1535">
        <f>HYPERLINK("http://www.twitter.com/realDonaldTrump/status/765623972234948608", "765623972234948608")</f>
        <v>0</v>
      </c>
      <c r="B1535" s="2">
        <v>42598.7911342593</v>
      </c>
      <c r="C1535">
        <v>21413</v>
      </c>
      <c r="D1535">
        <v>9912</v>
      </c>
      <c r="E1535" t="s">
        <v>1537</v>
      </c>
    </row>
    <row r="1536" spans="1:5">
      <c r="A1536">
        <f>HYPERLINK("http://www.twitter.com/realDonaldTrump/status/765284051938926592", "765284051938926592")</f>
        <v>0</v>
      </c>
      <c r="B1536" s="2">
        <v>42597.853125</v>
      </c>
      <c r="C1536">
        <v>22386</v>
      </c>
      <c r="D1536">
        <v>11199</v>
      </c>
      <c r="E1536" t="s">
        <v>1538</v>
      </c>
    </row>
    <row r="1537" spans="1:5">
      <c r="A1537">
        <f>HYPERLINK("http://www.twitter.com/realDonaldTrump/status/765283490887790592", "765283490887790592")</f>
        <v>0</v>
      </c>
      <c r="B1537" s="2">
        <v>42597.8515856481</v>
      </c>
      <c r="C1537">
        <v>22898</v>
      </c>
      <c r="D1537">
        <v>13427</v>
      </c>
      <c r="E1537" t="s">
        <v>1539</v>
      </c>
    </row>
    <row r="1538" spans="1:5">
      <c r="A1538">
        <f>HYPERLINK("http://www.twitter.com/realDonaldTrump/status/765269114973720576", "765269114973720576")</f>
        <v>0</v>
      </c>
      <c r="B1538" s="2">
        <v>42597.8119097222</v>
      </c>
      <c r="C1538">
        <v>14786</v>
      </c>
      <c r="D1538">
        <v>5474</v>
      </c>
      <c r="E1538" t="s">
        <v>1540</v>
      </c>
    </row>
    <row r="1539" spans="1:5">
      <c r="A1539">
        <f>HYPERLINK("http://www.twitter.com/realDonaldTrump/status/764998650598686721", "764998650598686721")</f>
        <v>0</v>
      </c>
      <c r="B1539" s="2">
        <v>42597.0655671296</v>
      </c>
      <c r="C1539">
        <v>46877</v>
      </c>
      <c r="D1539">
        <v>15110</v>
      </c>
      <c r="E1539" t="s">
        <v>1541</v>
      </c>
    </row>
    <row r="1540" spans="1:5">
      <c r="A1540">
        <f>HYPERLINK("http://www.twitter.com/realDonaldTrump/status/764976828914237440", "764976828914237440")</f>
        <v>0</v>
      </c>
      <c r="B1540" s="2">
        <v>42597.0053587963</v>
      </c>
      <c r="C1540">
        <v>36725</v>
      </c>
      <c r="D1540">
        <v>12466</v>
      </c>
      <c r="E1540" t="s">
        <v>1542</v>
      </c>
    </row>
    <row r="1541" spans="1:5">
      <c r="A1541">
        <f>HYPERLINK("http://www.twitter.com/realDonaldTrump/status/764974286931169285", "764974286931169285")</f>
        <v>0</v>
      </c>
      <c r="B1541" s="2">
        <v>42596.9983449074</v>
      </c>
      <c r="C1541">
        <v>40797</v>
      </c>
      <c r="D1541">
        <v>12507</v>
      </c>
      <c r="E1541" t="s">
        <v>1543</v>
      </c>
    </row>
    <row r="1542" spans="1:5">
      <c r="A1542">
        <f>HYPERLINK("http://www.twitter.com/realDonaldTrump/status/764870785634799617", "764870785634799617")</f>
        <v>0</v>
      </c>
      <c r="B1542" s="2">
        <v>42596.7127314815</v>
      </c>
      <c r="C1542">
        <v>49237</v>
      </c>
      <c r="D1542">
        <v>17464</v>
      </c>
      <c r="E1542" t="s">
        <v>1544</v>
      </c>
    </row>
    <row r="1543" spans="1:5">
      <c r="A1543">
        <f>HYPERLINK("http://www.twitter.com/realDonaldTrump/status/764867963845484545", "764867963845484545")</f>
        <v>0</v>
      </c>
      <c r="B1543" s="2">
        <v>42596.7049421296</v>
      </c>
      <c r="C1543">
        <v>52251</v>
      </c>
      <c r="D1543">
        <v>18071</v>
      </c>
      <c r="E1543" t="s">
        <v>1545</v>
      </c>
    </row>
    <row r="1544" spans="1:5">
      <c r="A1544">
        <f>HYPERLINK("http://www.twitter.com/realDonaldTrump/status/764866887511572480", "764866887511572480")</f>
        <v>0</v>
      </c>
      <c r="B1544" s="2">
        <v>42596.7019791667</v>
      </c>
      <c r="C1544">
        <v>38858</v>
      </c>
      <c r="D1544">
        <v>13689</v>
      </c>
      <c r="E1544" t="s">
        <v>1546</v>
      </c>
    </row>
    <row r="1545" spans="1:5">
      <c r="A1545">
        <f>HYPERLINK("http://www.twitter.com/realDonaldTrump/status/764805340823248896", "764805340823248896")</f>
        <v>0</v>
      </c>
      <c r="B1545" s="2">
        <v>42596.5321412037</v>
      </c>
      <c r="C1545">
        <v>39807</v>
      </c>
      <c r="D1545">
        <v>12572</v>
      </c>
      <c r="E1545" t="s">
        <v>1547</v>
      </c>
    </row>
    <row r="1546" spans="1:5">
      <c r="A1546">
        <f>HYPERLINK("http://www.twitter.com/realDonaldTrump/status/764803159692836864", "764803159692836864")</f>
        <v>0</v>
      </c>
      <c r="B1546" s="2">
        <v>42596.5261226852</v>
      </c>
      <c r="C1546">
        <v>49394</v>
      </c>
      <c r="D1546">
        <v>16620</v>
      </c>
      <c r="E1546" t="s">
        <v>1548</v>
      </c>
    </row>
    <row r="1547" spans="1:5">
      <c r="A1547">
        <f>HYPERLINK("http://www.twitter.com/realDonaldTrump/status/764801590415024128", "764801590415024128")</f>
        <v>0</v>
      </c>
      <c r="B1547" s="2">
        <v>42596.5217939815</v>
      </c>
      <c r="C1547">
        <v>24797</v>
      </c>
      <c r="D1547">
        <v>7763</v>
      </c>
      <c r="E1547" t="s">
        <v>1549</v>
      </c>
    </row>
    <row r="1548" spans="1:5">
      <c r="A1548">
        <f>HYPERLINK("http://www.twitter.com/realDonaldTrump/status/764799933325144064", "764799933325144064")</f>
        <v>0</v>
      </c>
      <c r="B1548" s="2">
        <v>42596.5172222222</v>
      </c>
      <c r="C1548">
        <v>28294</v>
      </c>
      <c r="D1548">
        <v>9390</v>
      </c>
      <c r="E1548" t="s">
        <v>1550</v>
      </c>
    </row>
    <row r="1549" spans="1:5">
      <c r="A1549">
        <f>HYPERLINK("http://www.twitter.com/realDonaldTrump/status/764554121324204033", "764554121324204033")</f>
        <v>0</v>
      </c>
      <c r="B1549" s="2">
        <v>42595.838900463</v>
      </c>
      <c r="C1549">
        <v>18122</v>
      </c>
      <c r="D1549">
        <v>4991</v>
      </c>
      <c r="E1549" t="s">
        <v>1551</v>
      </c>
    </row>
    <row r="1550" spans="1:5">
      <c r="A1550">
        <f>HYPERLINK("http://www.twitter.com/realDonaldTrump/status/764553771879899137", "764553771879899137")</f>
        <v>0</v>
      </c>
      <c r="B1550" s="2">
        <v>42595.8379398148</v>
      </c>
      <c r="C1550">
        <v>17463</v>
      </c>
      <c r="D1550">
        <v>4631</v>
      </c>
      <c r="E1550" t="s">
        <v>1552</v>
      </c>
    </row>
    <row r="1551" spans="1:5">
      <c r="A1551">
        <f>HYPERLINK("http://www.twitter.com/realDonaldTrump/status/764553088204214272", "764553088204214272")</f>
        <v>0</v>
      </c>
      <c r="B1551" s="2">
        <v>42595.8360532407</v>
      </c>
      <c r="C1551">
        <v>17846</v>
      </c>
      <c r="D1551">
        <v>5004</v>
      </c>
      <c r="E1551" t="s">
        <v>1553</v>
      </c>
    </row>
    <row r="1552" spans="1:5">
      <c r="A1552">
        <f>HYPERLINK("http://www.twitter.com/realDonaldTrump/status/764552764177481728", "764552764177481728")</f>
        <v>0</v>
      </c>
      <c r="B1552" s="2">
        <v>42595.835162037</v>
      </c>
      <c r="C1552">
        <v>32414</v>
      </c>
      <c r="D1552">
        <v>12493</v>
      </c>
      <c r="E1552" t="s">
        <v>1554</v>
      </c>
    </row>
    <row r="1553" spans="1:5">
      <c r="A1553">
        <f>HYPERLINK("http://www.twitter.com/realDonaldTrump/status/764546914683682817", "764546914683682817")</f>
        <v>0</v>
      </c>
      <c r="B1553" s="2">
        <v>42595.8190162037</v>
      </c>
      <c r="C1553">
        <v>18874</v>
      </c>
      <c r="D1553">
        <v>5320</v>
      </c>
      <c r="E1553" t="s">
        <v>1555</v>
      </c>
    </row>
    <row r="1554" spans="1:5">
      <c r="A1554">
        <f>HYPERLINK("http://www.twitter.com/realDonaldTrump/status/764531827168186369", "764531827168186369")</f>
        <v>0</v>
      </c>
      <c r="B1554" s="2">
        <v>42595.7773842593</v>
      </c>
      <c r="C1554">
        <v>44141</v>
      </c>
      <c r="D1554">
        <v>11973</v>
      </c>
      <c r="E1554" t="s">
        <v>1556</v>
      </c>
    </row>
    <row r="1555" spans="1:5">
      <c r="A1555">
        <f>HYPERLINK("http://www.twitter.com/realDonaldTrump/status/764529295901528064", "764529295901528064")</f>
        <v>0</v>
      </c>
      <c r="B1555" s="2">
        <v>42595.7704050926</v>
      </c>
      <c r="C1555">
        <v>28999</v>
      </c>
      <c r="D1555">
        <v>9326</v>
      </c>
      <c r="E1555" t="s">
        <v>1557</v>
      </c>
    </row>
    <row r="1556" spans="1:5">
      <c r="A1556">
        <f>HYPERLINK("http://www.twitter.com/realDonaldTrump/status/764254551822196737", "764254551822196737")</f>
        <v>0</v>
      </c>
      <c r="B1556" s="2">
        <v>42595.0122453704</v>
      </c>
      <c r="C1556">
        <v>16341</v>
      </c>
      <c r="D1556">
        <v>4133</v>
      </c>
      <c r="E1556" t="s">
        <v>1558</v>
      </c>
    </row>
    <row r="1557" spans="1:5">
      <c r="A1557">
        <f>HYPERLINK("http://www.twitter.com/realDonaldTrump/status/764186768522420224", "764186768522420224")</f>
        <v>0</v>
      </c>
      <c r="B1557" s="2">
        <v>42594.8252083333</v>
      </c>
      <c r="C1557">
        <v>23240</v>
      </c>
      <c r="D1557">
        <v>7678</v>
      </c>
      <c r="E1557" t="s">
        <v>1559</v>
      </c>
    </row>
    <row r="1558" spans="1:5">
      <c r="A1558">
        <f>HYPERLINK("http://www.twitter.com/realDonaldTrump/status/764153606765412352", "764153606765412352")</f>
        <v>0</v>
      </c>
      <c r="B1558" s="2">
        <v>42594.7336921296</v>
      </c>
      <c r="C1558">
        <v>23859</v>
      </c>
      <c r="D1558">
        <v>7603</v>
      </c>
      <c r="E1558" t="s">
        <v>1560</v>
      </c>
    </row>
    <row r="1559" spans="1:5">
      <c r="A1559">
        <f>HYPERLINK("http://www.twitter.com/realDonaldTrump/status/764084294704697344", "764084294704697344")</f>
        <v>0</v>
      </c>
      <c r="B1559" s="2">
        <v>42594.5424305556</v>
      </c>
      <c r="C1559">
        <v>39049</v>
      </c>
      <c r="D1559">
        <v>15081</v>
      </c>
      <c r="E1559" t="s">
        <v>1561</v>
      </c>
    </row>
    <row r="1560" spans="1:5">
      <c r="A1560">
        <f>HYPERLINK("http://www.twitter.com/realDonaldTrump/status/764064821000056832", "764064821000056832")</f>
        <v>0</v>
      </c>
      <c r="B1560" s="2">
        <v>42594.4886921296</v>
      </c>
      <c r="C1560">
        <v>41164</v>
      </c>
      <c r="D1560">
        <v>13617</v>
      </c>
      <c r="E1560" t="s">
        <v>1562</v>
      </c>
    </row>
    <row r="1561" spans="1:5">
      <c r="A1561">
        <f>HYPERLINK("http://www.twitter.com/realDonaldTrump/status/764055793951834114", "764055793951834114")</f>
        <v>0</v>
      </c>
      <c r="B1561" s="2">
        <v>42594.4637847222</v>
      </c>
      <c r="C1561">
        <v>32701</v>
      </c>
      <c r="D1561">
        <v>10178</v>
      </c>
      <c r="E1561" t="s">
        <v>1563</v>
      </c>
    </row>
    <row r="1562" spans="1:5">
      <c r="A1562">
        <f>HYPERLINK("http://www.twitter.com/realDonaldTrump/status/764053208394182656", "764053208394182656")</f>
        <v>0</v>
      </c>
      <c r="B1562" s="2">
        <v>42594.4566435185</v>
      </c>
      <c r="C1562">
        <v>12222</v>
      </c>
      <c r="D1562">
        <v>3031</v>
      </c>
      <c r="E1562" t="s">
        <v>1564</v>
      </c>
    </row>
    <row r="1563" spans="1:5">
      <c r="A1563">
        <f>HYPERLINK("http://www.twitter.com/realDonaldTrump/status/764045345332396032", "764045345332396032")</f>
        <v>0</v>
      </c>
      <c r="B1563" s="2">
        <v>42594.4349537037</v>
      </c>
      <c r="C1563">
        <v>24590</v>
      </c>
      <c r="D1563">
        <v>7962</v>
      </c>
      <c r="E1563" t="s">
        <v>1565</v>
      </c>
    </row>
    <row r="1564" spans="1:5">
      <c r="A1564">
        <f>HYPERLINK("http://www.twitter.com/realDonaldTrump/status/763950742755434498", "763950742755434498")</f>
        <v>0</v>
      </c>
      <c r="B1564" s="2">
        <v>42594.173900463</v>
      </c>
      <c r="C1564">
        <v>21045</v>
      </c>
      <c r="D1564">
        <v>6777</v>
      </c>
      <c r="E1564" t="s">
        <v>1566</v>
      </c>
    </row>
    <row r="1565" spans="1:5">
      <c r="A1565">
        <f>HYPERLINK("http://www.twitter.com/realDonaldTrump/status/763949723833118721", "763949723833118721")</f>
        <v>0</v>
      </c>
      <c r="B1565" s="2">
        <v>42594.171087963</v>
      </c>
      <c r="C1565">
        <v>27120</v>
      </c>
      <c r="D1565">
        <v>11778</v>
      </c>
      <c r="E1565" t="s">
        <v>1567</v>
      </c>
    </row>
    <row r="1566" spans="1:5">
      <c r="A1566">
        <f>HYPERLINK("http://www.twitter.com/realDonaldTrump/status/763947916184522754", "763947916184522754")</f>
        <v>0</v>
      </c>
      <c r="B1566" s="2">
        <v>42594.166099537</v>
      </c>
      <c r="C1566">
        <v>15648</v>
      </c>
      <c r="D1566">
        <v>6410</v>
      </c>
      <c r="E1566" t="s">
        <v>1568</v>
      </c>
    </row>
    <row r="1567" spans="1:5">
      <c r="A1567">
        <f>HYPERLINK("http://www.twitter.com/realDonaldTrump/status/763857902490836992", "763857902490836992")</f>
        <v>0</v>
      </c>
      <c r="B1567" s="2">
        <v>42593.9177083333</v>
      </c>
      <c r="C1567">
        <v>16040</v>
      </c>
      <c r="D1567">
        <v>4056</v>
      </c>
      <c r="E1567" t="s">
        <v>1569</v>
      </c>
    </row>
    <row r="1568" spans="1:5">
      <c r="A1568">
        <f>HYPERLINK("http://www.twitter.com/realDonaldTrump/status/763740672012738561", "763740672012738561")</f>
        <v>0</v>
      </c>
      <c r="B1568" s="2">
        <v>42593.594212963</v>
      </c>
      <c r="C1568">
        <v>30115</v>
      </c>
      <c r="D1568">
        <v>10919</v>
      </c>
      <c r="E1568" t="s">
        <v>1570</v>
      </c>
    </row>
    <row r="1569" spans="1:5">
      <c r="A1569">
        <f>HYPERLINK("http://www.twitter.com/realDonaldTrump/status/763558559833591809", "763558559833591809")</f>
        <v>0</v>
      </c>
      <c r="B1569" s="2">
        <v>42593.0916782407</v>
      </c>
      <c r="C1569">
        <v>22449</v>
      </c>
      <c r="D1569">
        <v>6971</v>
      </c>
      <c r="E1569" t="s">
        <v>1571</v>
      </c>
    </row>
    <row r="1570" spans="1:5">
      <c r="A1570">
        <f>HYPERLINK("http://www.twitter.com/realDonaldTrump/status/763557327295438848", "763557327295438848")</f>
        <v>0</v>
      </c>
      <c r="B1570" s="2">
        <v>42593.088275463</v>
      </c>
      <c r="C1570">
        <v>33477</v>
      </c>
      <c r="D1570">
        <v>8281</v>
      </c>
      <c r="E1570" t="s">
        <v>1572</v>
      </c>
    </row>
    <row r="1571" spans="1:5">
      <c r="A1571">
        <f>HYPERLINK("http://www.twitter.com/realDonaldTrump/status/763519861406531584", "763519861406531584")</f>
        <v>0</v>
      </c>
      <c r="B1571" s="2">
        <v>42592.9848958333</v>
      </c>
      <c r="C1571">
        <v>45334</v>
      </c>
      <c r="D1571">
        <v>20784</v>
      </c>
      <c r="E1571" t="s">
        <v>1573</v>
      </c>
    </row>
    <row r="1572" spans="1:5">
      <c r="A1572">
        <f>HYPERLINK("http://www.twitter.com/realDonaldTrump/status/763519444576370688", "763519444576370688")</f>
        <v>0</v>
      </c>
      <c r="B1572" s="2">
        <v>42592.9837384259</v>
      </c>
      <c r="C1572">
        <v>20379</v>
      </c>
      <c r="D1572">
        <v>5823</v>
      </c>
      <c r="E1572" t="s">
        <v>1574</v>
      </c>
    </row>
    <row r="1573" spans="1:5">
      <c r="A1573">
        <f>HYPERLINK("http://www.twitter.com/realDonaldTrump/status/763516489865523200", "763516489865523200")</f>
        <v>0</v>
      </c>
      <c r="B1573" s="2">
        <v>42592.9755902778</v>
      </c>
      <c r="C1573">
        <v>22102</v>
      </c>
      <c r="D1573">
        <v>8871</v>
      </c>
      <c r="E1573" t="s">
        <v>1575</v>
      </c>
    </row>
    <row r="1574" spans="1:5">
      <c r="A1574">
        <f>HYPERLINK("http://www.twitter.com/realDonaldTrump/status/763481802254249984", "763481802254249984")</f>
        <v>0</v>
      </c>
      <c r="B1574" s="2">
        <v>42592.8798726852</v>
      </c>
      <c r="C1574">
        <v>15369</v>
      </c>
      <c r="D1574">
        <v>4994</v>
      </c>
      <c r="E1574" t="s">
        <v>1576</v>
      </c>
    </row>
    <row r="1575" spans="1:5">
      <c r="A1575">
        <f>HYPERLINK("http://www.twitter.com/realDonaldTrump/status/763477408909500416", "763477408909500416")</f>
        <v>0</v>
      </c>
      <c r="B1575" s="2">
        <v>42592.8677430556</v>
      </c>
      <c r="C1575">
        <v>20601</v>
      </c>
      <c r="D1575">
        <v>7142</v>
      </c>
      <c r="E1575" t="s">
        <v>1577</v>
      </c>
    </row>
    <row r="1576" spans="1:5">
      <c r="A1576">
        <f>HYPERLINK("http://www.twitter.com/realDonaldTrump/status/763474491183816704", "763474491183816704")</f>
        <v>0</v>
      </c>
      <c r="B1576" s="2">
        <v>42592.8596990741</v>
      </c>
      <c r="C1576">
        <v>21388</v>
      </c>
      <c r="D1576">
        <v>7466</v>
      </c>
      <c r="E1576" t="s">
        <v>1578</v>
      </c>
    </row>
    <row r="1577" spans="1:5">
      <c r="A1577">
        <f>HYPERLINK("http://www.twitter.com/realDonaldTrump/status/763433452893011969", "763433452893011969")</f>
        <v>0</v>
      </c>
      <c r="B1577" s="2">
        <v>42592.7464467593</v>
      </c>
      <c r="C1577">
        <v>17702</v>
      </c>
      <c r="D1577">
        <v>5297</v>
      </c>
      <c r="E1577" t="s">
        <v>1579</v>
      </c>
    </row>
    <row r="1578" spans="1:5">
      <c r="A1578">
        <f>HYPERLINK("http://www.twitter.com/realDonaldTrump/status/763430568721784833", "763430568721784833")</f>
        <v>0</v>
      </c>
      <c r="B1578" s="2">
        <v>42592.7384953704</v>
      </c>
      <c r="C1578">
        <v>31779</v>
      </c>
      <c r="D1578">
        <v>10704</v>
      </c>
      <c r="E1578" t="s">
        <v>1580</v>
      </c>
    </row>
    <row r="1579" spans="1:5">
      <c r="A1579">
        <f>HYPERLINK("http://www.twitter.com/realDonaldTrump/status/763398630812311552", "763398630812311552")</f>
        <v>0</v>
      </c>
      <c r="B1579" s="2">
        <v>42592.6503587963</v>
      </c>
      <c r="C1579">
        <v>21460</v>
      </c>
      <c r="D1579">
        <v>6668</v>
      </c>
      <c r="E1579" t="s">
        <v>1581</v>
      </c>
    </row>
    <row r="1580" spans="1:5">
      <c r="A1580">
        <f>HYPERLINK("http://www.twitter.com/realDonaldTrump/status/763391459110313984", "763391459110313984")</f>
        <v>0</v>
      </c>
      <c r="B1580" s="2">
        <v>42592.6305671296</v>
      </c>
      <c r="C1580">
        <v>29202</v>
      </c>
      <c r="D1580">
        <v>9550</v>
      </c>
      <c r="E1580" t="s">
        <v>1582</v>
      </c>
    </row>
    <row r="1581" spans="1:5">
      <c r="A1581">
        <f>HYPERLINK("http://www.twitter.com/realDonaldTrump/status/763385288295055360", "763385288295055360")</f>
        <v>0</v>
      </c>
      <c r="B1581" s="2">
        <v>42592.6135416667</v>
      </c>
      <c r="C1581">
        <v>18390</v>
      </c>
      <c r="D1581">
        <v>7775</v>
      </c>
      <c r="E1581" t="s">
        <v>1583</v>
      </c>
    </row>
    <row r="1582" spans="1:5">
      <c r="A1582">
        <f>HYPERLINK("http://www.twitter.com/realDonaldTrump/status/763198483927011329", "763198483927011329")</f>
        <v>0</v>
      </c>
      <c r="B1582" s="2">
        <v>42592.0980555556</v>
      </c>
      <c r="C1582">
        <v>37739</v>
      </c>
      <c r="D1582">
        <v>14943</v>
      </c>
      <c r="E1582" t="s">
        <v>1584</v>
      </c>
    </row>
    <row r="1583" spans="1:5">
      <c r="A1583">
        <f>HYPERLINK("http://www.twitter.com/realDonaldTrump/status/763180978588221440", "763180978588221440")</f>
        <v>0</v>
      </c>
      <c r="B1583" s="2">
        <v>42592.0497569444</v>
      </c>
      <c r="C1583">
        <v>51393</v>
      </c>
      <c r="D1583">
        <v>20688</v>
      </c>
      <c r="E1583" t="s">
        <v>1585</v>
      </c>
    </row>
    <row r="1584" spans="1:5">
      <c r="A1584">
        <f>HYPERLINK("http://www.twitter.com/realDonaldTrump/status/763167671974232064", "763167671974232064")</f>
        <v>0</v>
      </c>
      <c r="B1584" s="2">
        <v>42592.0130324074</v>
      </c>
      <c r="C1584">
        <v>18817</v>
      </c>
      <c r="D1584">
        <v>6806</v>
      </c>
      <c r="E1584" t="s">
        <v>1586</v>
      </c>
    </row>
    <row r="1585" spans="1:5">
      <c r="A1585">
        <f>HYPERLINK("http://www.twitter.com/realDonaldTrump/status/763167345405784064", "763167345405784064")</f>
        <v>0</v>
      </c>
      <c r="B1585" s="2">
        <v>42592.0121296296</v>
      </c>
      <c r="C1585">
        <v>12244</v>
      </c>
      <c r="D1585">
        <v>3507</v>
      </c>
      <c r="E1585" t="s">
        <v>1587</v>
      </c>
    </row>
    <row r="1586" spans="1:5">
      <c r="A1586">
        <f>HYPERLINK("http://www.twitter.com/realDonaldTrump/status/763119571309998083", "763119571309998083")</f>
        <v>0</v>
      </c>
      <c r="B1586" s="2">
        <v>42591.8803009259</v>
      </c>
      <c r="C1586">
        <v>25736</v>
      </c>
      <c r="D1586">
        <v>7813</v>
      </c>
      <c r="E1586" t="s">
        <v>1588</v>
      </c>
    </row>
    <row r="1587" spans="1:5">
      <c r="A1587">
        <f>HYPERLINK("http://www.twitter.com/realDonaldTrump/status/763115058058629120", "763115058058629120")</f>
        <v>0</v>
      </c>
      <c r="B1587" s="2">
        <v>42591.8678472222</v>
      </c>
      <c r="C1587">
        <v>0</v>
      </c>
      <c r="D1587">
        <v>7404</v>
      </c>
      <c r="E1587" t="s">
        <v>1589</v>
      </c>
    </row>
    <row r="1588" spans="1:5">
      <c r="A1588">
        <f>HYPERLINK("http://www.twitter.com/realDonaldTrump/status/763115041675706368", "763115041675706368")</f>
        <v>0</v>
      </c>
      <c r="B1588" s="2">
        <v>42591.8678009259</v>
      </c>
      <c r="C1588">
        <v>0</v>
      </c>
      <c r="D1588">
        <v>7676</v>
      </c>
      <c r="E1588" t="s">
        <v>1590</v>
      </c>
    </row>
    <row r="1589" spans="1:5">
      <c r="A1589">
        <f>HYPERLINK("http://www.twitter.com/realDonaldTrump/status/763106393922600960", "763106393922600960")</f>
        <v>0</v>
      </c>
      <c r="B1589" s="2">
        <v>42591.8439351852</v>
      </c>
      <c r="C1589">
        <v>0</v>
      </c>
      <c r="D1589">
        <v>4287</v>
      </c>
      <c r="E1589" t="s">
        <v>1591</v>
      </c>
    </row>
    <row r="1590" spans="1:5">
      <c r="A1590">
        <f>HYPERLINK("http://www.twitter.com/realDonaldTrump/status/763106383092977664", "763106383092977664")</f>
        <v>0</v>
      </c>
      <c r="B1590" s="2">
        <v>42591.843912037</v>
      </c>
      <c r="C1590">
        <v>0</v>
      </c>
      <c r="D1590">
        <v>3417</v>
      </c>
      <c r="E1590" t="s">
        <v>1592</v>
      </c>
    </row>
    <row r="1591" spans="1:5">
      <c r="A1591">
        <f>HYPERLINK("http://www.twitter.com/realDonaldTrump/status/762982360853905408", "762982360853905408")</f>
        <v>0</v>
      </c>
      <c r="B1591" s="2">
        <v>42591.5016782407</v>
      </c>
      <c r="C1591">
        <v>17801</v>
      </c>
      <c r="D1591">
        <v>5496</v>
      </c>
      <c r="E1591" t="s">
        <v>1593</v>
      </c>
    </row>
    <row r="1592" spans="1:5">
      <c r="A1592">
        <f>HYPERLINK("http://www.twitter.com/realDonaldTrump/status/762982142783676416", "762982142783676416")</f>
        <v>0</v>
      </c>
      <c r="B1592" s="2">
        <v>42591.5010763889</v>
      </c>
      <c r="C1592">
        <v>13847</v>
      </c>
      <c r="D1592">
        <v>3838</v>
      </c>
      <c r="E1592" t="s">
        <v>1594</v>
      </c>
    </row>
    <row r="1593" spans="1:5">
      <c r="A1593">
        <f>HYPERLINK("http://www.twitter.com/realDonaldTrump/status/762981606755856384", "762981606755856384")</f>
        <v>0</v>
      </c>
      <c r="B1593" s="2">
        <v>42591.4995949074</v>
      </c>
      <c r="C1593">
        <v>46456</v>
      </c>
      <c r="D1593">
        <v>16415</v>
      </c>
      <c r="E1593" t="s">
        <v>1595</v>
      </c>
    </row>
    <row r="1594" spans="1:5">
      <c r="A1594">
        <f>HYPERLINK("http://www.twitter.com/realDonaldTrump/status/762974889275953152", "762974889275953152")</f>
        <v>0</v>
      </c>
      <c r="B1594" s="2">
        <v>42591.4810532407</v>
      </c>
      <c r="C1594">
        <v>11438</v>
      </c>
      <c r="D1594">
        <v>2185</v>
      </c>
      <c r="E1594" t="s">
        <v>1596</v>
      </c>
    </row>
    <row r="1595" spans="1:5">
      <c r="A1595">
        <f>HYPERLINK("http://www.twitter.com/realDonaldTrump/status/762842126900015105", "762842126900015105")</f>
        <v>0</v>
      </c>
      <c r="B1595" s="2">
        <v>42591.1146990741</v>
      </c>
      <c r="C1595">
        <v>25562</v>
      </c>
      <c r="D1595">
        <v>5693</v>
      </c>
      <c r="E1595" t="s">
        <v>1597</v>
      </c>
    </row>
    <row r="1596" spans="1:5">
      <c r="A1596">
        <f>HYPERLINK("http://www.twitter.com/realDonaldTrump/status/762790167732035585", "762790167732035585")</f>
        <v>0</v>
      </c>
      <c r="B1596" s="2">
        <v>42590.9713194444</v>
      </c>
      <c r="C1596">
        <v>17365</v>
      </c>
      <c r="D1596">
        <v>7844</v>
      </c>
      <c r="E1596" t="s">
        <v>1598</v>
      </c>
    </row>
    <row r="1597" spans="1:5">
      <c r="A1597">
        <f>HYPERLINK("http://www.twitter.com/realDonaldTrump/status/762781826549030912", "762781826549030912")</f>
        <v>0</v>
      </c>
      <c r="B1597" s="2">
        <v>42590.9482986111</v>
      </c>
      <c r="C1597">
        <v>33422</v>
      </c>
      <c r="D1597">
        <v>13190</v>
      </c>
      <c r="E1597" t="s">
        <v>1599</v>
      </c>
    </row>
    <row r="1598" spans="1:5">
      <c r="A1598">
        <f>HYPERLINK("http://www.twitter.com/realDonaldTrump/status/762781418778791936", "762781418778791936")</f>
        <v>0</v>
      </c>
      <c r="B1598" s="2">
        <v>42590.9471759259</v>
      </c>
      <c r="C1598">
        <v>25068</v>
      </c>
      <c r="D1598">
        <v>8886</v>
      </c>
      <c r="E1598" t="s">
        <v>1600</v>
      </c>
    </row>
    <row r="1599" spans="1:5">
      <c r="A1599">
        <f>HYPERLINK("http://www.twitter.com/realDonaldTrump/status/762777166476025856", "762777166476025856")</f>
        <v>0</v>
      </c>
      <c r="B1599" s="2">
        <v>42590.9354398148</v>
      </c>
      <c r="C1599">
        <v>16428</v>
      </c>
      <c r="D1599">
        <v>6071</v>
      </c>
      <c r="E1599" t="s">
        <v>1601</v>
      </c>
    </row>
    <row r="1600" spans="1:5">
      <c r="A1600">
        <f>HYPERLINK("http://www.twitter.com/realDonaldTrump/status/762776440681095169", "762776440681095169")</f>
        <v>0</v>
      </c>
      <c r="B1600" s="2">
        <v>42590.9334375</v>
      </c>
      <c r="C1600">
        <v>15460</v>
      </c>
      <c r="D1600">
        <v>6115</v>
      </c>
      <c r="E1600" t="s">
        <v>1602</v>
      </c>
    </row>
    <row r="1601" spans="1:5">
      <c r="A1601">
        <f>HYPERLINK("http://www.twitter.com/realDonaldTrump/status/762775525756514304", "762775525756514304")</f>
        <v>0</v>
      </c>
      <c r="B1601" s="2">
        <v>42590.9309143519</v>
      </c>
      <c r="C1601">
        <v>13508</v>
      </c>
      <c r="D1601">
        <v>4645</v>
      </c>
      <c r="E1601" t="s">
        <v>1603</v>
      </c>
    </row>
    <row r="1602" spans="1:5">
      <c r="A1602">
        <f>HYPERLINK("http://www.twitter.com/realDonaldTrump/status/762774321580367872", "762774321580367872")</f>
        <v>0</v>
      </c>
      <c r="B1602" s="2">
        <v>42590.9275925926</v>
      </c>
      <c r="C1602">
        <v>13240</v>
      </c>
      <c r="D1602">
        <v>4500</v>
      </c>
      <c r="E1602" t="s">
        <v>1604</v>
      </c>
    </row>
    <row r="1603" spans="1:5">
      <c r="A1603">
        <f>HYPERLINK("http://www.twitter.com/realDonaldTrump/status/762773468479889409", "762773468479889409")</f>
        <v>0</v>
      </c>
      <c r="B1603" s="2">
        <v>42590.9252430556</v>
      </c>
      <c r="C1603">
        <v>11996</v>
      </c>
      <c r="D1603">
        <v>3606</v>
      </c>
      <c r="E1603" t="s">
        <v>1605</v>
      </c>
    </row>
    <row r="1604" spans="1:5">
      <c r="A1604">
        <f>HYPERLINK("http://www.twitter.com/realDonaldTrump/status/762771974657495041", "762771974657495041")</f>
        <v>0</v>
      </c>
      <c r="B1604" s="2">
        <v>42590.9211226852</v>
      </c>
      <c r="C1604">
        <v>13106</v>
      </c>
      <c r="D1604">
        <v>4242</v>
      </c>
      <c r="E1604" t="s">
        <v>1606</v>
      </c>
    </row>
    <row r="1605" spans="1:5">
      <c r="A1605">
        <f>HYPERLINK("http://www.twitter.com/realDonaldTrump/status/762743923697672192", "762743923697672192")</f>
        <v>0</v>
      </c>
      <c r="B1605" s="2">
        <v>42590.8437152778</v>
      </c>
      <c r="C1605">
        <v>0</v>
      </c>
      <c r="D1605">
        <v>3311</v>
      </c>
      <c r="E1605" t="s">
        <v>1607</v>
      </c>
    </row>
    <row r="1606" spans="1:5">
      <c r="A1606">
        <f>HYPERLINK("http://www.twitter.com/realDonaldTrump/status/762669882571980801", "762669882571980801")</f>
        <v>0</v>
      </c>
      <c r="B1606" s="2">
        <v>42590.6393981481</v>
      </c>
      <c r="C1606">
        <v>21130</v>
      </c>
      <c r="D1606">
        <v>5437</v>
      </c>
      <c r="E1606" t="s">
        <v>1608</v>
      </c>
    </row>
    <row r="1607" spans="1:5">
      <c r="A1607">
        <f>HYPERLINK("http://www.twitter.com/realDonaldTrump/status/762641595439190016", "762641595439190016")</f>
        <v>0</v>
      </c>
      <c r="B1607" s="2">
        <v>42590.5613425926</v>
      </c>
      <c r="C1607">
        <v>13000</v>
      </c>
      <c r="D1607">
        <v>4081</v>
      </c>
      <c r="E1607" t="s">
        <v>1609</v>
      </c>
    </row>
    <row r="1608" spans="1:5">
      <c r="A1608">
        <f>HYPERLINK("http://www.twitter.com/realDonaldTrump/status/762439658911338496", "762439658911338496")</f>
        <v>0</v>
      </c>
      <c r="B1608" s="2">
        <v>42590.0040972222</v>
      </c>
      <c r="C1608">
        <v>19087</v>
      </c>
      <c r="D1608">
        <v>8027</v>
      </c>
      <c r="E1608" t="s">
        <v>1610</v>
      </c>
    </row>
    <row r="1609" spans="1:5">
      <c r="A1609">
        <f>HYPERLINK("http://www.twitter.com/realDonaldTrump/status/762425371874557952", "762425371874557952")</f>
        <v>0</v>
      </c>
      <c r="B1609" s="2">
        <v>42589.9646759259</v>
      </c>
      <c r="C1609">
        <v>24268</v>
      </c>
      <c r="D1609">
        <v>7679</v>
      </c>
      <c r="E1609" t="s">
        <v>1611</v>
      </c>
    </row>
    <row r="1610" spans="1:5">
      <c r="A1610">
        <f>HYPERLINK("http://www.twitter.com/realDonaldTrump/status/762400869858115588", "762400869858115588")</f>
        <v>0</v>
      </c>
      <c r="B1610" s="2">
        <v>42589.8970601852</v>
      </c>
      <c r="C1610">
        <v>40633</v>
      </c>
      <c r="D1610">
        <v>13651</v>
      </c>
      <c r="E1610" t="s">
        <v>1612</v>
      </c>
    </row>
    <row r="1611" spans="1:5">
      <c r="A1611">
        <f>HYPERLINK("http://www.twitter.com/realDonaldTrump/status/762399410940706816", "762399410940706816")</f>
        <v>0</v>
      </c>
      <c r="B1611" s="2">
        <v>42589.8930324074</v>
      </c>
      <c r="C1611">
        <v>0</v>
      </c>
      <c r="D1611">
        <v>8259</v>
      </c>
      <c r="E1611" t="s">
        <v>1613</v>
      </c>
    </row>
    <row r="1612" spans="1:5">
      <c r="A1612">
        <f>HYPERLINK("http://www.twitter.com/realDonaldTrump/status/762284533341417472", "762284533341417472")</f>
        <v>0</v>
      </c>
      <c r="B1612" s="2">
        <v>42589.5760300926</v>
      </c>
      <c r="C1612">
        <v>33253</v>
      </c>
      <c r="D1612">
        <v>10746</v>
      </c>
      <c r="E1612" t="s">
        <v>1614</v>
      </c>
    </row>
    <row r="1613" spans="1:5">
      <c r="A1613">
        <f>HYPERLINK("http://www.twitter.com/realDonaldTrump/status/762110918721310721", "762110918721310721")</f>
        <v>0</v>
      </c>
      <c r="B1613" s="2">
        <v>42589.0969560185</v>
      </c>
      <c r="C1613">
        <v>20364</v>
      </c>
      <c r="D1613">
        <v>6133</v>
      </c>
      <c r="E1613" t="s">
        <v>1615</v>
      </c>
    </row>
    <row r="1614" spans="1:5">
      <c r="A1614">
        <f>HYPERLINK("http://www.twitter.com/realDonaldTrump/status/762106904436961280", "762106904436961280")</f>
        <v>0</v>
      </c>
      <c r="B1614" s="2">
        <v>42589.0858680556</v>
      </c>
      <c r="C1614">
        <v>20905</v>
      </c>
      <c r="D1614">
        <v>8671</v>
      </c>
      <c r="E1614" t="s">
        <v>1616</v>
      </c>
    </row>
    <row r="1615" spans="1:5">
      <c r="A1615">
        <f>HYPERLINK("http://www.twitter.com/realDonaldTrump/status/762104411707568128", "762104411707568128")</f>
        <v>0</v>
      </c>
      <c r="B1615" s="2">
        <v>42589.0789930556</v>
      </c>
      <c r="C1615">
        <v>86932</v>
      </c>
      <c r="D1615">
        <v>28210</v>
      </c>
      <c r="E1615" t="s">
        <v>1617</v>
      </c>
    </row>
    <row r="1616" spans="1:5">
      <c r="A1616">
        <f>HYPERLINK("http://www.twitter.com/realDonaldTrump/status/762016426102296576", "762016426102296576")</f>
        <v>0</v>
      </c>
      <c r="B1616" s="2">
        <v>42588.8362037037</v>
      </c>
      <c r="C1616">
        <v>24812</v>
      </c>
      <c r="D1616">
        <v>8308</v>
      </c>
      <c r="E1616" t="s">
        <v>1618</v>
      </c>
    </row>
    <row r="1617" spans="1:5">
      <c r="A1617">
        <f>HYPERLINK("http://www.twitter.com/realDonaldTrump/status/761988164382756864", "761988164382756864")</f>
        <v>0</v>
      </c>
      <c r="B1617" s="2">
        <v>42588.7582175926</v>
      </c>
      <c r="C1617">
        <v>28959</v>
      </c>
      <c r="D1617">
        <v>8796</v>
      </c>
      <c r="E1617" t="s">
        <v>1619</v>
      </c>
    </row>
    <row r="1618" spans="1:5">
      <c r="A1618">
        <f>HYPERLINK("http://www.twitter.com/realDonaldTrump/status/761936929902452740", "761936929902452740")</f>
        <v>0</v>
      </c>
      <c r="B1618" s="2">
        <v>42588.6168287037</v>
      </c>
      <c r="C1618">
        <v>36314</v>
      </c>
      <c r="D1618">
        <v>13535</v>
      </c>
      <c r="E1618" t="s">
        <v>1620</v>
      </c>
    </row>
    <row r="1619" spans="1:5">
      <c r="A1619">
        <f>HYPERLINK("http://www.twitter.com/realDonaldTrump/status/761931010548305920", "761931010548305920")</f>
        <v>0</v>
      </c>
      <c r="B1619" s="2">
        <v>42588.6004976852</v>
      </c>
      <c r="C1619">
        <v>38968</v>
      </c>
      <c r="D1619">
        <v>13755</v>
      </c>
      <c r="E1619" t="s">
        <v>1621</v>
      </c>
    </row>
    <row r="1620" spans="1:5">
      <c r="A1620">
        <f>HYPERLINK("http://www.twitter.com/realDonaldTrump/status/761892829434183684", "761892829434183684")</f>
        <v>0</v>
      </c>
      <c r="B1620" s="2">
        <v>42588.4951388889</v>
      </c>
      <c r="C1620">
        <v>33822</v>
      </c>
      <c r="D1620">
        <v>9528</v>
      </c>
      <c r="E1620" t="s">
        <v>1622</v>
      </c>
    </row>
    <row r="1621" spans="1:5">
      <c r="A1621">
        <f>HYPERLINK("http://www.twitter.com/realDonaldTrump/status/761773576101953536", "761773576101953536")</f>
        <v>0</v>
      </c>
      <c r="B1621" s="2">
        <v>42588.1660648148</v>
      </c>
      <c r="C1621">
        <v>34962</v>
      </c>
      <c r="D1621">
        <v>10484</v>
      </c>
      <c r="E1621" t="s">
        <v>1623</v>
      </c>
    </row>
    <row r="1622" spans="1:5">
      <c r="A1622">
        <f>HYPERLINK("http://www.twitter.com/realDonaldTrump/status/761757988516401153", "761757988516401153")</f>
        <v>0</v>
      </c>
      <c r="B1622" s="2">
        <v>42588.1230439815</v>
      </c>
      <c r="C1622">
        <v>20010</v>
      </c>
      <c r="D1622">
        <v>8356</v>
      </c>
      <c r="E1622" t="s">
        <v>1624</v>
      </c>
    </row>
    <row r="1623" spans="1:5">
      <c r="A1623">
        <f>HYPERLINK("http://www.twitter.com/realDonaldTrump/status/761754898602061824", "761754898602061824")</f>
        <v>0</v>
      </c>
      <c r="B1623" s="2">
        <v>42588.114525463</v>
      </c>
      <c r="C1623">
        <v>19833</v>
      </c>
      <c r="D1623">
        <v>5589</v>
      </c>
      <c r="E1623" t="s">
        <v>1625</v>
      </c>
    </row>
    <row r="1624" spans="1:5">
      <c r="A1624">
        <f>HYPERLINK("http://www.twitter.com/realDonaldTrump/status/761711856457125888", "761711856457125888")</f>
        <v>0</v>
      </c>
      <c r="B1624" s="2">
        <v>42587.9957523148</v>
      </c>
      <c r="C1624">
        <v>32674</v>
      </c>
      <c r="D1624">
        <v>18120</v>
      </c>
      <c r="E1624" t="s">
        <v>1626</v>
      </c>
    </row>
    <row r="1625" spans="1:5">
      <c r="A1625">
        <f>HYPERLINK("http://www.twitter.com/realDonaldTrump/status/761693803120041986", "761693803120041986")</f>
        <v>0</v>
      </c>
      <c r="B1625" s="2">
        <v>42587.9459259259</v>
      </c>
      <c r="C1625">
        <v>19825</v>
      </c>
      <c r="D1625">
        <v>5839</v>
      </c>
      <c r="E1625" t="s">
        <v>1627</v>
      </c>
    </row>
    <row r="1626" spans="1:5">
      <c r="A1626">
        <f>HYPERLINK("http://www.twitter.com/realDonaldTrump/status/761653875413618689", "761653875413618689")</f>
        <v>0</v>
      </c>
      <c r="B1626" s="2">
        <v>42587.8357523148</v>
      </c>
      <c r="C1626">
        <v>29137</v>
      </c>
      <c r="D1626">
        <v>14736</v>
      </c>
      <c r="E1626" t="s">
        <v>1628</v>
      </c>
    </row>
    <row r="1627" spans="1:5">
      <c r="A1627">
        <f>HYPERLINK("http://www.twitter.com/realDonaldTrump/status/761645207909568512", "761645207909568512")</f>
        <v>0</v>
      </c>
      <c r="B1627" s="2">
        <v>42587.8118287037</v>
      </c>
      <c r="C1627">
        <v>0</v>
      </c>
      <c r="D1627">
        <v>8835</v>
      </c>
      <c r="E1627" t="s">
        <v>1629</v>
      </c>
    </row>
    <row r="1628" spans="1:5">
      <c r="A1628">
        <f>HYPERLINK("http://www.twitter.com/realDonaldTrump/status/761645187986620416", "761645187986620416")</f>
        <v>0</v>
      </c>
      <c r="B1628" s="2">
        <v>42587.8117824074</v>
      </c>
      <c r="C1628">
        <v>0</v>
      </c>
      <c r="D1628">
        <v>5012</v>
      </c>
      <c r="E1628" t="s">
        <v>1630</v>
      </c>
    </row>
    <row r="1629" spans="1:5">
      <c r="A1629">
        <f>HYPERLINK("http://www.twitter.com/realDonaldTrump/status/761549461893984256", "761549461893984256")</f>
        <v>0</v>
      </c>
      <c r="B1629" s="2">
        <v>42587.5476273148</v>
      </c>
      <c r="C1629">
        <v>26180</v>
      </c>
      <c r="D1629">
        <v>9107</v>
      </c>
      <c r="E1629" t="s">
        <v>1631</v>
      </c>
    </row>
    <row r="1630" spans="1:5">
      <c r="A1630">
        <f>HYPERLINK("http://www.twitter.com/realDonaldTrump/status/761511930238496772", "761511930238496772")</f>
        <v>0</v>
      </c>
      <c r="B1630" s="2">
        <v>42587.4440625</v>
      </c>
      <c r="C1630">
        <v>27232</v>
      </c>
      <c r="D1630">
        <v>8671</v>
      </c>
      <c r="E1630" t="s">
        <v>1632</v>
      </c>
    </row>
    <row r="1631" spans="1:5">
      <c r="A1631">
        <f>HYPERLINK("http://www.twitter.com/realDonaldTrump/status/761386080272875520", "761386080272875520")</f>
        <v>0</v>
      </c>
      <c r="B1631" s="2">
        <v>42587.0967824074</v>
      </c>
      <c r="C1631">
        <v>33008</v>
      </c>
      <c r="D1631">
        <v>12586</v>
      </c>
      <c r="E1631" t="s">
        <v>1633</v>
      </c>
    </row>
    <row r="1632" spans="1:5">
      <c r="A1632">
        <f>HYPERLINK("http://www.twitter.com/realDonaldTrump/status/761386025323225088", "761386025323225088")</f>
        <v>0</v>
      </c>
      <c r="B1632" s="2">
        <v>42587.0966203704</v>
      </c>
      <c r="C1632">
        <v>37048</v>
      </c>
      <c r="D1632">
        <v>13206</v>
      </c>
      <c r="E1632" t="s">
        <v>1634</v>
      </c>
    </row>
    <row r="1633" spans="1:5">
      <c r="A1633">
        <f>HYPERLINK("http://www.twitter.com/realDonaldTrump/status/761385812390977536", "761385812390977536")</f>
        <v>0</v>
      </c>
      <c r="B1633" s="2">
        <v>42587.0960416667</v>
      </c>
      <c r="C1633">
        <v>34662</v>
      </c>
      <c r="D1633">
        <v>11871</v>
      </c>
      <c r="E1633" t="s">
        <v>1635</v>
      </c>
    </row>
    <row r="1634" spans="1:5">
      <c r="A1634">
        <f>HYPERLINK("http://www.twitter.com/realDonaldTrump/status/761385317169496064", "761385317169496064")</f>
        <v>0</v>
      </c>
      <c r="B1634" s="2">
        <v>42587.0946759259</v>
      </c>
      <c r="C1634">
        <v>13771</v>
      </c>
      <c r="D1634">
        <v>4248</v>
      </c>
      <c r="E1634" t="s">
        <v>1636</v>
      </c>
    </row>
    <row r="1635" spans="1:5">
      <c r="A1635">
        <f>HYPERLINK("http://www.twitter.com/realDonaldTrump/status/761331433810132992", "761331433810132992")</f>
        <v>0</v>
      </c>
      <c r="B1635" s="2">
        <v>42586.9459837963</v>
      </c>
      <c r="C1635">
        <v>18130</v>
      </c>
      <c r="D1635">
        <v>5449</v>
      </c>
      <c r="E1635" t="s">
        <v>1637</v>
      </c>
    </row>
    <row r="1636" spans="1:5">
      <c r="A1636">
        <f>HYPERLINK("http://www.twitter.com/realDonaldTrump/status/761281473492189184", "761281473492189184")</f>
        <v>0</v>
      </c>
      <c r="B1636" s="2">
        <v>42586.8081134259</v>
      </c>
      <c r="C1636">
        <v>34829</v>
      </c>
      <c r="D1636">
        <v>10565</v>
      </c>
      <c r="E1636" t="s">
        <v>1638</v>
      </c>
    </row>
    <row r="1637" spans="1:5">
      <c r="A1637">
        <f>HYPERLINK("http://www.twitter.com/realDonaldTrump/status/761279538106097664", "761279538106097664")</f>
        <v>0</v>
      </c>
      <c r="B1637" s="2">
        <v>42586.8027777778</v>
      </c>
      <c r="C1637">
        <v>19417</v>
      </c>
      <c r="D1637">
        <v>5909</v>
      </c>
      <c r="E1637" t="s">
        <v>1639</v>
      </c>
    </row>
    <row r="1638" spans="1:5">
      <c r="A1638">
        <f>HYPERLINK("http://www.twitter.com/realDonaldTrump/status/761219396635361280", "761219396635361280")</f>
        <v>0</v>
      </c>
      <c r="B1638" s="2">
        <v>42586.6368171296</v>
      </c>
      <c r="C1638">
        <v>18419</v>
      </c>
      <c r="D1638">
        <v>5730</v>
      </c>
      <c r="E1638" t="s">
        <v>1640</v>
      </c>
    </row>
    <row r="1639" spans="1:5">
      <c r="A1639">
        <f>HYPERLINK("http://www.twitter.com/realDonaldTrump/status/761025834350018561", "761025834350018561")</f>
        <v>0</v>
      </c>
      <c r="B1639" s="2">
        <v>42586.1026851852</v>
      </c>
      <c r="C1639">
        <v>23443</v>
      </c>
      <c r="D1639">
        <v>7419</v>
      </c>
      <c r="E1639" t="s">
        <v>1641</v>
      </c>
    </row>
    <row r="1640" spans="1:5">
      <c r="A1640">
        <f>HYPERLINK("http://www.twitter.com/realDonaldTrump/status/760976212068106240", "760976212068106240")</f>
        <v>0</v>
      </c>
      <c r="B1640" s="2">
        <v>42585.9657523148</v>
      </c>
      <c r="C1640">
        <v>20382</v>
      </c>
      <c r="D1640">
        <v>5711</v>
      </c>
      <c r="E1640" t="s">
        <v>1642</v>
      </c>
    </row>
    <row r="1641" spans="1:5">
      <c r="A1641">
        <f>HYPERLINK("http://www.twitter.com/realDonaldTrump/status/760960985524043777", "760960985524043777")</f>
        <v>0</v>
      </c>
      <c r="B1641" s="2">
        <v>42585.9237384259</v>
      </c>
      <c r="C1641">
        <v>34671</v>
      </c>
      <c r="D1641">
        <v>10224</v>
      </c>
      <c r="E1641" t="s">
        <v>1643</v>
      </c>
    </row>
    <row r="1642" spans="1:5">
      <c r="A1642">
        <f>HYPERLINK("http://www.twitter.com/realDonaldTrump/status/760957697579708416", "760957697579708416")</f>
        <v>0</v>
      </c>
      <c r="B1642" s="2">
        <v>42585.9146643519</v>
      </c>
      <c r="C1642">
        <v>23521</v>
      </c>
      <c r="D1642">
        <v>7463</v>
      </c>
      <c r="E1642" t="s">
        <v>1644</v>
      </c>
    </row>
    <row r="1643" spans="1:5">
      <c r="A1643">
        <f>HYPERLINK("http://www.twitter.com/realDonaldTrump/status/760888078605090821", "760888078605090821")</f>
        <v>0</v>
      </c>
      <c r="B1643" s="2">
        <v>42585.7225578704</v>
      </c>
      <c r="C1643">
        <v>0</v>
      </c>
      <c r="D1643">
        <v>3314</v>
      </c>
      <c r="E1643" t="s">
        <v>1645</v>
      </c>
    </row>
    <row r="1644" spans="1:5">
      <c r="A1644">
        <f>HYPERLINK("http://www.twitter.com/realDonaldTrump/status/760783130978648064", "760783130978648064")</f>
        <v>0</v>
      </c>
      <c r="B1644" s="2">
        <v>42585.4329513889</v>
      </c>
      <c r="C1644">
        <v>47980</v>
      </c>
      <c r="D1644">
        <v>19939</v>
      </c>
      <c r="E1644" t="s">
        <v>1646</v>
      </c>
    </row>
    <row r="1645" spans="1:5">
      <c r="A1645">
        <f>HYPERLINK("http://www.twitter.com/realDonaldTrump/status/760765818917515264", "760765818917515264")</f>
        <v>0</v>
      </c>
      <c r="B1645" s="2">
        <v>42585.3851851852</v>
      </c>
      <c r="C1645">
        <v>48388</v>
      </c>
      <c r="D1645">
        <v>13436</v>
      </c>
      <c r="E1645" t="s">
        <v>1647</v>
      </c>
    </row>
    <row r="1646" spans="1:5">
      <c r="A1646">
        <f>HYPERLINK("http://www.twitter.com/realDonaldTrump/status/760669268539301889", "760669268539301889")</f>
        <v>0</v>
      </c>
      <c r="B1646" s="2">
        <v>42585.11875</v>
      </c>
      <c r="C1646">
        <v>24961</v>
      </c>
      <c r="D1646">
        <v>5490</v>
      </c>
      <c r="E1646" t="s">
        <v>1648</v>
      </c>
    </row>
    <row r="1647" spans="1:5">
      <c r="A1647">
        <f>HYPERLINK("http://www.twitter.com/realDonaldTrump/status/760594155835887616", "760594155835887616")</f>
        <v>0</v>
      </c>
      <c r="B1647" s="2">
        <v>42584.9114814815</v>
      </c>
      <c r="C1647">
        <v>27337</v>
      </c>
      <c r="D1647">
        <v>6070</v>
      </c>
      <c r="E1647" t="s">
        <v>1649</v>
      </c>
    </row>
    <row r="1648" spans="1:5">
      <c r="A1648">
        <f>HYPERLINK("http://www.twitter.com/realDonaldTrump/status/760560366447370241", "760560366447370241")</f>
        <v>0</v>
      </c>
      <c r="B1648" s="2">
        <v>42584.8182407407</v>
      </c>
      <c r="C1648">
        <v>20991</v>
      </c>
      <c r="D1648">
        <v>10992</v>
      </c>
      <c r="E1648" t="s">
        <v>1650</v>
      </c>
    </row>
    <row r="1649" spans="1:5">
      <c r="A1649">
        <f>HYPERLINK("http://www.twitter.com/realDonaldTrump/status/760552601356267520", "760552601356267520")</f>
        <v>0</v>
      </c>
      <c r="B1649" s="2">
        <v>42584.7968171296</v>
      </c>
      <c r="C1649">
        <v>79372</v>
      </c>
      <c r="D1649">
        <v>29726</v>
      </c>
      <c r="E1649" t="s">
        <v>1651</v>
      </c>
    </row>
    <row r="1650" spans="1:5">
      <c r="A1650">
        <f>HYPERLINK("http://www.twitter.com/realDonaldTrump/status/760550754692263936", "760550754692263936")</f>
        <v>0</v>
      </c>
      <c r="B1650" s="2">
        <v>42584.791712963</v>
      </c>
      <c r="C1650">
        <v>0</v>
      </c>
      <c r="D1650">
        <v>4946</v>
      </c>
      <c r="E1650" t="s">
        <v>1652</v>
      </c>
    </row>
    <row r="1651" spans="1:5">
      <c r="A1651">
        <f>HYPERLINK("http://www.twitter.com/realDonaldTrump/status/760542646888652804", "760542646888652804")</f>
        <v>0</v>
      </c>
      <c r="B1651" s="2">
        <v>42584.7693402778</v>
      </c>
      <c r="C1651">
        <v>14499</v>
      </c>
      <c r="D1651">
        <v>8161</v>
      </c>
      <c r="E1651" t="s">
        <v>1653</v>
      </c>
    </row>
    <row r="1652" spans="1:5">
      <c r="A1652">
        <f>HYPERLINK("http://www.twitter.com/realDonaldTrump/status/760538951581130754", "760538951581130754")</f>
        <v>0</v>
      </c>
      <c r="B1652" s="2">
        <v>42584.7591435185</v>
      </c>
      <c r="C1652">
        <v>27382</v>
      </c>
      <c r="D1652">
        <v>13480</v>
      </c>
      <c r="E1652" t="s">
        <v>1654</v>
      </c>
    </row>
    <row r="1653" spans="1:5">
      <c r="A1653">
        <f>HYPERLINK("http://www.twitter.com/realDonaldTrump/status/760535661699035136", "760535661699035136")</f>
        <v>0</v>
      </c>
      <c r="B1653" s="2">
        <v>42584.7500694444</v>
      </c>
      <c r="C1653">
        <v>10305</v>
      </c>
      <c r="D1653">
        <v>3520</v>
      </c>
      <c r="E1653" t="s">
        <v>1655</v>
      </c>
    </row>
    <row r="1654" spans="1:5">
      <c r="A1654">
        <f>HYPERLINK("http://www.twitter.com/realDonaldTrump/status/760532443061420033", "760532443061420033")</f>
        <v>0</v>
      </c>
      <c r="B1654" s="2">
        <v>42584.7411921296</v>
      </c>
      <c r="C1654">
        <v>16661</v>
      </c>
      <c r="D1654">
        <v>7523</v>
      </c>
      <c r="E1654" t="s">
        <v>1656</v>
      </c>
    </row>
    <row r="1655" spans="1:5">
      <c r="A1655">
        <f>HYPERLINK("http://www.twitter.com/realDonaldTrump/status/760519847461658624", "760519847461658624")</f>
        <v>0</v>
      </c>
      <c r="B1655" s="2">
        <v>42584.7064351852</v>
      </c>
      <c r="C1655">
        <v>17566</v>
      </c>
      <c r="D1655">
        <v>5042</v>
      </c>
      <c r="E1655" t="s">
        <v>1657</v>
      </c>
    </row>
    <row r="1656" spans="1:5">
      <c r="A1656">
        <f>HYPERLINK("http://www.twitter.com/realDonaldTrump/status/760420894271471620", "760420894271471620")</f>
        <v>0</v>
      </c>
      <c r="B1656" s="2">
        <v>42584.4333680556</v>
      </c>
      <c r="C1656">
        <v>50654</v>
      </c>
      <c r="D1656">
        <v>26540</v>
      </c>
      <c r="E1656" t="s">
        <v>1658</v>
      </c>
    </row>
    <row r="1657" spans="1:5">
      <c r="A1657">
        <f>HYPERLINK("http://www.twitter.com/realDonaldTrump/status/760299757206208512", "760299757206208512")</f>
        <v>0</v>
      </c>
      <c r="B1657" s="2">
        <v>42584.0990972222</v>
      </c>
      <c r="C1657">
        <v>62052</v>
      </c>
      <c r="D1657">
        <v>15570</v>
      </c>
      <c r="E1657" t="s">
        <v>1659</v>
      </c>
    </row>
    <row r="1658" spans="1:5">
      <c r="A1658">
        <f>HYPERLINK("http://www.twitter.com/realDonaldTrump/status/760293742381244416", "760293742381244416")</f>
        <v>0</v>
      </c>
      <c r="B1658" s="2">
        <v>42584.0825</v>
      </c>
      <c r="C1658">
        <v>24780</v>
      </c>
      <c r="D1658">
        <v>7178</v>
      </c>
      <c r="E1658" t="s">
        <v>1660</v>
      </c>
    </row>
    <row r="1659" spans="1:5">
      <c r="A1659">
        <f>HYPERLINK("http://www.twitter.com/realDonaldTrump/status/760289166324215808", "760289166324215808")</f>
        <v>0</v>
      </c>
      <c r="B1659" s="2">
        <v>42584.0698726852</v>
      </c>
      <c r="C1659">
        <v>0</v>
      </c>
      <c r="D1659">
        <v>7503</v>
      </c>
      <c r="E1659" t="s">
        <v>1661</v>
      </c>
    </row>
    <row r="1660" spans="1:5">
      <c r="A1660">
        <f>HYPERLINK("http://www.twitter.com/realDonaldTrump/status/760287440435187712", "760287440435187712")</f>
        <v>0</v>
      </c>
      <c r="B1660" s="2">
        <v>42584.0651041667</v>
      </c>
      <c r="C1660">
        <v>27157</v>
      </c>
      <c r="D1660">
        <v>8510</v>
      </c>
      <c r="E1660" t="s">
        <v>1662</v>
      </c>
    </row>
    <row r="1661" spans="1:5">
      <c r="A1661">
        <f>HYPERLINK("http://www.twitter.com/realDonaldTrump/status/760255085561597952", "760255085561597952")</f>
        <v>0</v>
      </c>
      <c r="B1661" s="2">
        <v>42583.9758217593</v>
      </c>
      <c r="C1661">
        <v>16775</v>
      </c>
      <c r="D1661">
        <v>5204</v>
      </c>
      <c r="E1661" t="s">
        <v>1663</v>
      </c>
    </row>
    <row r="1662" spans="1:5">
      <c r="A1662">
        <f>HYPERLINK("http://www.twitter.com/realDonaldTrump/status/760249495754006528", "760249495754006528")</f>
        <v>0</v>
      </c>
      <c r="B1662" s="2">
        <v>42583.9604050926</v>
      </c>
      <c r="C1662">
        <v>11654</v>
      </c>
      <c r="D1662">
        <v>3913</v>
      </c>
      <c r="E1662" t="s">
        <v>1664</v>
      </c>
    </row>
    <row r="1663" spans="1:5">
      <c r="A1663">
        <f>HYPERLINK("http://www.twitter.com/realDonaldTrump/status/760247348673077248", "760247348673077248")</f>
        <v>0</v>
      </c>
      <c r="B1663" s="2">
        <v>42583.9544791667</v>
      </c>
      <c r="C1663">
        <v>20699</v>
      </c>
      <c r="D1663">
        <v>10661</v>
      </c>
      <c r="E1663" t="s">
        <v>1665</v>
      </c>
    </row>
    <row r="1664" spans="1:5">
      <c r="A1664">
        <f>HYPERLINK("http://www.twitter.com/realDonaldTrump/status/760246898095775744", "760246898095775744")</f>
        <v>0</v>
      </c>
      <c r="B1664" s="2">
        <v>42583.9532291667</v>
      </c>
      <c r="C1664">
        <v>28693</v>
      </c>
      <c r="D1664">
        <v>12044</v>
      </c>
      <c r="E1664" t="s">
        <v>1666</v>
      </c>
    </row>
    <row r="1665" spans="1:5">
      <c r="A1665">
        <f>HYPERLINK("http://www.twitter.com/realDonaldTrump/status/760246732152311808", "760246732152311808")</f>
        <v>0</v>
      </c>
      <c r="B1665" s="2">
        <v>42583.9527777778</v>
      </c>
      <c r="C1665">
        <v>27034</v>
      </c>
      <c r="D1665">
        <v>11063</v>
      </c>
      <c r="E1665" t="s">
        <v>1667</v>
      </c>
    </row>
    <row r="1666" spans="1:5">
      <c r="A1666">
        <f>HYPERLINK("http://www.twitter.com/realDonaldTrump/status/760245342231158785", "760245342231158785")</f>
        <v>0</v>
      </c>
      <c r="B1666" s="2">
        <v>42583.9489351852</v>
      </c>
      <c r="C1666">
        <v>23961</v>
      </c>
      <c r="D1666">
        <v>13022</v>
      </c>
      <c r="E1666" t="s">
        <v>1668</v>
      </c>
    </row>
    <row r="1667" spans="1:5">
      <c r="A1667">
        <f>HYPERLINK("http://www.twitter.com/realDonaldTrump/status/760229355784138752", "760229355784138752")</f>
        <v>0</v>
      </c>
      <c r="B1667" s="2">
        <v>42583.9048263889</v>
      </c>
      <c r="C1667">
        <v>36469</v>
      </c>
      <c r="D1667">
        <v>16572</v>
      </c>
      <c r="E1667" t="s">
        <v>1669</v>
      </c>
    </row>
    <row r="1668" spans="1:5">
      <c r="A1668">
        <f>HYPERLINK("http://www.twitter.com/realDonaldTrump/status/760214225830772737", "760214225830772737")</f>
        <v>0</v>
      </c>
      <c r="B1668" s="2">
        <v>42583.8630787037</v>
      </c>
      <c r="C1668">
        <v>17550</v>
      </c>
      <c r="D1668">
        <v>4851</v>
      </c>
      <c r="E1668" t="s">
        <v>1670</v>
      </c>
    </row>
    <row r="1669" spans="1:5">
      <c r="A1669">
        <f>HYPERLINK("http://www.twitter.com/realDonaldTrump/status/760213628926779392", "760213628926779392")</f>
        <v>0</v>
      </c>
      <c r="B1669" s="2">
        <v>42583.8614236111</v>
      </c>
      <c r="C1669">
        <v>25992</v>
      </c>
      <c r="D1669">
        <v>9086</v>
      </c>
      <c r="E1669" t="s">
        <v>1671</v>
      </c>
    </row>
    <row r="1670" spans="1:5">
      <c r="A1670">
        <f>HYPERLINK("http://www.twitter.com/realDonaldTrump/status/760185303483187201", "760185303483187201")</f>
        <v>0</v>
      </c>
      <c r="B1670" s="2">
        <v>42583.7832638889</v>
      </c>
      <c r="C1670">
        <v>29522</v>
      </c>
      <c r="D1670">
        <v>9283</v>
      </c>
      <c r="E1670" t="s">
        <v>1672</v>
      </c>
    </row>
    <row r="1671" spans="1:5">
      <c r="A1671">
        <f>HYPERLINK("http://www.twitter.com/realDonaldTrump/status/760185067054465024", "760185067054465024")</f>
        <v>0</v>
      </c>
      <c r="B1671" s="2">
        <v>42583.7826157407</v>
      </c>
      <c r="C1671">
        <v>23138</v>
      </c>
      <c r="D1671">
        <v>7866</v>
      </c>
      <c r="E1671" t="s">
        <v>1673</v>
      </c>
    </row>
    <row r="1672" spans="1:5">
      <c r="A1672">
        <f>HYPERLINK("http://www.twitter.com/realDonaldTrump/status/760184664468418560", "760184664468418560")</f>
        <v>0</v>
      </c>
      <c r="B1672" s="2">
        <v>42583.7815046296</v>
      </c>
      <c r="C1672">
        <v>32646</v>
      </c>
      <c r="D1672">
        <v>11360</v>
      </c>
      <c r="E1672" t="s">
        <v>1674</v>
      </c>
    </row>
    <row r="1673" spans="1:5">
      <c r="A1673">
        <f>HYPERLINK("http://www.twitter.com/realDonaldTrump/status/760184336603811842", "760184336603811842")</f>
        <v>0</v>
      </c>
      <c r="B1673" s="2">
        <v>42583.7806018519</v>
      </c>
      <c r="C1673">
        <v>30778</v>
      </c>
      <c r="D1673">
        <v>12470</v>
      </c>
      <c r="E1673" t="s">
        <v>1675</v>
      </c>
    </row>
    <row r="1674" spans="1:5">
      <c r="A1674">
        <f>HYPERLINK("http://www.twitter.com/realDonaldTrump/status/760184176591208448", "760184176591208448")</f>
        <v>0</v>
      </c>
      <c r="B1674" s="2">
        <v>42583.780150463</v>
      </c>
      <c r="C1674">
        <v>25547</v>
      </c>
      <c r="D1674">
        <v>7962</v>
      </c>
      <c r="E1674" t="s">
        <v>1676</v>
      </c>
    </row>
    <row r="1675" spans="1:5">
      <c r="A1675">
        <f>HYPERLINK("http://www.twitter.com/realDonaldTrump/status/760184028293173248", "760184028293173248")</f>
        <v>0</v>
      </c>
      <c r="B1675" s="2">
        <v>42583.7797453704</v>
      </c>
      <c r="C1675">
        <v>28286</v>
      </c>
      <c r="D1675">
        <v>9658</v>
      </c>
      <c r="E1675" t="s">
        <v>1677</v>
      </c>
    </row>
    <row r="1676" spans="1:5">
      <c r="A1676">
        <f>HYPERLINK("http://www.twitter.com/realDonaldTrump/status/760126146830794753", "760126146830794753")</f>
        <v>0</v>
      </c>
      <c r="B1676" s="2">
        <v>42583.6200231481</v>
      </c>
      <c r="C1676">
        <v>12148</v>
      </c>
      <c r="D1676">
        <v>3711</v>
      </c>
      <c r="E1676" t="s">
        <v>1678</v>
      </c>
    </row>
    <row r="1677" spans="1:5">
      <c r="A1677">
        <f>HYPERLINK("http://www.twitter.com/realDonaldTrump/status/760125021280960512", "760125021280960512")</f>
        <v>0</v>
      </c>
      <c r="B1677" s="2">
        <v>42583.6169212963</v>
      </c>
      <c r="C1677">
        <v>19434</v>
      </c>
      <c r="D1677">
        <v>8686</v>
      </c>
      <c r="E1677" t="s">
        <v>1679</v>
      </c>
    </row>
    <row r="1678" spans="1:5">
      <c r="A1678">
        <f>HYPERLINK("http://www.twitter.com/realDonaldTrump/status/760098514319835136", "760098514319835136")</f>
        <v>0</v>
      </c>
      <c r="B1678" s="2">
        <v>42583.5437731482</v>
      </c>
      <c r="C1678">
        <v>21154</v>
      </c>
      <c r="D1678">
        <v>6616</v>
      </c>
      <c r="E1678" t="s">
        <v>1680</v>
      </c>
    </row>
    <row r="1679" spans="1:5">
      <c r="A1679">
        <f>HYPERLINK("http://www.twitter.com/realDonaldTrump/status/760095370185674752", "760095370185674752")</f>
        <v>0</v>
      </c>
      <c r="B1679" s="2">
        <v>42583.5350925926</v>
      </c>
      <c r="C1679">
        <v>18856</v>
      </c>
      <c r="D1679">
        <v>5845</v>
      </c>
      <c r="E1679" t="s">
        <v>1681</v>
      </c>
    </row>
    <row r="1680" spans="1:5">
      <c r="A1680">
        <f>HYPERLINK("http://www.twitter.com/realDonaldTrump/status/760074526059270144", "760074526059270144")</f>
        <v>0</v>
      </c>
      <c r="B1680" s="2">
        <v>42583.4775810185</v>
      </c>
      <c r="C1680">
        <v>34873</v>
      </c>
      <c r="D1680">
        <v>12301</v>
      </c>
      <c r="E1680" t="s">
        <v>1682</v>
      </c>
    </row>
    <row r="1681" spans="1:5">
      <c r="A1681">
        <f>HYPERLINK("http://www.twitter.com/realDonaldTrump/status/760070280932982784", "760070280932982784")</f>
        <v>0</v>
      </c>
      <c r="B1681" s="2">
        <v>42583.4658680556</v>
      </c>
      <c r="C1681">
        <v>28092</v>
      </c>
      <c r="D1681">
        <v>8791</v>
      </c>
      <c r="E1681" t="s">
        <v>1683</v>
      </c>
    </row>
    <row r="1682" spans="1:5">
      <c r="A1682">
        <f>HYPERLINK("http://www.twitter.com/realDonaldTrump/status/759915863600304128", "759915863600304128")</f>
        <v>0</v>
      </c>
      <c r="B1682" s="2">
        <v>42583.0397569444</v>
      </c>
      <c r="C1682">
        <v>45366</v>
      </c>
      <c r="D1682">
        <v>14512</v>
      </c>
      <c r="E1682" t="s">
        <v>1684</v>
      </c>
    </row>
    <row r="1683" spans="1:5">
      <c r="A1683">
        <f>HYPERLINK("http://www.twitter.com/realDonaldTrump/status/759848885900763141", "759848885900763141")</f>
        <v>0</v>
      </c>
      <c r="B1683" s="2">
        <v>42582.8549305556</v>
      </c>
      <c r="C1683">
        <v>35565</v>
      </c>
      <c r="D1683">
        <v>13928</v>
      </c>
      <c r="E1683" t="s">
        <v>1685</v>
      </c>
    </row>
    <row r="1684" spans="1:5">
      <c r="A1684">
        <f>HYPERLINK("http://www.twitter.com/realDonaldTrump/status/759843323909668865", "759843323909668865")</f>
        <v>0</v>
      </c>
      <c r="B1684" s="2">
        <v>42582.8395833333</v>
      </c>
      <c r="C1684">
        <v>37772</v>
      </c>
      <c r="D1684">
        <v>10079</v>
      </c>
      <c r="E1684" t="s">
        <v>1686</v>
      </c>
    </row>
    <row r="1685" spans="1:5">
      <c r="A1685">
        <f>HYPERLINK("http://www.twitter.com/realDonaldTrump/status/759743648573435905", "759743648573435905")</f>
        <v>0</v>
      </c>
      <c r="B1685" s="2">
        <v>42582.564525463</v>
      </c>
      <c r="C1685">
        <v>57185</v>
      </c>
      <c r="D1685">
        <v>18936</v>
      </c>
      <c r="E1685" t="s">
        <v>1687</v>
      </c>
    </row>
    <row r="1686" spans="1:5">
      <c r="A1686">
        <f>HYPERLINK("http://www.twitter.com/realDonaldTrump/status/759734698415312897", "759734698415312897")</f>
        <v>0</v>
      </c>
      <c r="B1686" s="2">
        <v>42582.5398263889</v>
      </c>
      <c r="C1686">
        <v>44517</v>
      </c>
      <c r="D1686">
        <v>15445</v>
      </c>
      <c r="E1686" t="s">
        <v>1688</v>
      </c>
    </row>
    <row r="1687" spans="1:5">
      <c r="A1687">
        <f>HYPERLINK("http://www.twitter.com/realDonaldTrump/status/759592590106849280", "759592590106849280")</f>
        <v>0</v>
      </c>
      <c r="B1687" s="2">
        <v>42582.1476851852</v>
      </c>
      <c r="C1687">
        <v>41339</v>
      </c>
      <c r="D1687">
        <v>12247</v>
      </c>
      <c r="E1687" t="s">
        <v>1689</v>
      </c>
    </row>
    <row r="1688" spans="1:5">
      <c r="A1688">
        <f>HYPERLINK("http://www.twitter.com/realDonaldTrump/status/759524001613918208", "759524001613918208")</f>
        <v>0</v>
      </c>
      <c r="B1688" s="2">
        <v>42581.9584143519</v>
      </c>
      <c r="C1688">
        <v>44581</v>
      </c>
      <c r="D1688">
        <v>10946</v>
      </c>
      <c r="E1688" t="s">
        <v>1690</v>
      </c>
    </row>
    <row r="1689" spans="1:5">
      <c r="A1689">
        <f>HYPERLINK("http://www.twitter.com/realDonaldTrump/status/759516008272932864", "759516008272932864")</f>
        <v>0</v>
      </c>
      <c r="B1689" s="2">
        <v>42581.9363657407</v>
      </c>
      <c r="C1689">
        <v>32121</v>
      </c>
      <c r="D1689">
        <v>10208</v>
      </c>
      <c r="E1689" t="s">
        <v>1691</v>
      </c>
    </row>
    <row r="1690" spans="1:5">
      <c r="A1690">
        <f>HYPERLINK("http://www.twitter.com/realDonaldTrump/status/759515080010719232", "759515080010719232")</f>
        <v>0</v>
      </c>
      <c r="B1690" s="2">
        <v>42581.9337962963</v>
      </c>
      <c r="C1690">
        <v>18574</v>
      </c>
      <c r="D1690">
        <v>7593</v>
      </c>
      <c r="E1690" t="s">
        <v>1692</v>
      </c>
    </row>
    <row r="1691" spans="1:5">
      <c r="A1691">
        <f>HYPERLINK("http://www.twitter.com/realDonaldTrump/status/759513644258525184", "759513644258525184")</f>
        <v>0</v>
      </c>
      <c r="B1691" s="2">
        <v>42581.929837963</v>
      </c>
      <c r="C1691">
        <v>36692</v>
      </c>
      <c r="D1691">
        <v>11707</v>
      </c>
      <c r="E1691" t="s">
        <v>1693</v>
      </c>
    </row>
    <row r="1692" spans="1:5">
      <c r="A1692">
        <f>HYPERLINK("http://www.twitter.com/realDonaldTrump/status/759512042906587137", "759512042906587137")</f>
        <v>0</v>
      </c>
      <c r="B1692" s="2">
        <v>42581.9254166667</v>
      </c>
      <c r="C1692">
        <v>27030</v>
      </c>
      <c r="D1692">
        <v>8904</v>
      </c>
      <c r="E1692" t="s">
        <v>1694</v>
      </c>
    </row>
    <row r="1693" spans="1:5">
      <c r="A1693">
        <f>HYPERLINK("http://www.twitter.com/realDonaldTrump/status/759509936002957314", "759509936002957314")</f>
        <v>0</v>
      </c>
      <c r="B1693" s="2">
        <v>42581.9196064815</v>
      </c>
      <c r="C1693">
        <v>29972</v>
      </c>
      <c r="D1693">
        <v>10230</v>
      </c>
      <c r="E1693" t="s">
        <v>1695</v>
      </c>
    </row>
    <row r="1694" spans="1:5">
      <c r="A1694">
        <f>HYPERLINK("http://www.twitter.com/realDonaldTrump/status/759507812963737600", "759507812963737600")</f>
        <v>0</v>
      </c>
      <c r="B1694" s="2">
        <v>42581.91375</v>
      </c>
      <c r="C1694">
        <v>25473</v>
      </c>
      <c r="D1694">
        <v>10312</v>
      </c>
      <c r="E1694" t="s">
        <v>1696</v>
      </c>
    </row>
    <row r="1695" spans="1:5">
      <c r="A1695">
        <f>HYPERLINK("http://www.twitter.com/realDonaldTrump/status/759506712516784128", "759506712516784128")</f>
        <v>0</v>
      </c>
      <c r="B1695" s="2">
        <v>42581.9107060185</v>
      </c>
      <c r="C1695">
        <v>27368</v>
      </c>
      <c r="D1695">
        <v>8461</v>
      </c>
      <c r="E1695" t="s">
        <v>1697</v>
      </c>
    </row>
    <row r="1696" spans="1:5">
      <c r="A1696">
        <f>HYPERLINK("http://www.twitter.com/realDonaldTrump/status/759479059046883328", "759479059046883328")</f>
        <v>0</v>
      </c>
      <c r="B1696" s="2">
        <v>42581.8343981481</v>
      </c>
      <c r="C1696">
        <v>34809</v>
      </c>
      <c r="D1696">
        <v>12151</v>
      </c>
      <c r="E1696" t="s">
        <v>1698</v>
      </c>
    </row>
    <row r="1697" spans="1:5">
      <c r="A1697">
        <f>HYPERLINK("http://www.twitter.com/realDonaldTrump/status/759477522232901632", "759477522232901632")</f>
        <v>0</v>
      </c>
      <c r="B1697" s="2">
        <v>42581.830162037</v>
      </c>
      <c r="C1697">
        <v>27555</v>
      </c>
      <c r="D1697">
        <v>8171</v>
      </c>
      <c r="E1697" t="s">
        <v>1699</v>
      </c>
    </row>
    <row r="1698" spans="1:5">
      <c r="A1698">
        <f>HYPERLINK("http://www.twitter.com/realDonaldTrump/status/759457253925785604", "759457253925785604")</f>
        <v>0</v>
      </c>
      <c r="B1698" s="2">
        <v>42581.7742361111</v>
      </c>
      <c r="C1698">
        <v>21993</v>
      </c>
      <c r="D1698">
        <v>10629</v>
      </c>
      <c r="E1698" t="s">
        <v>1700</v>
      </c>
    </row>
    <row r="1699" spans="1:5">
      <c r="A1699">
        <f>HYPERLINK("http://www.twitter.com/realDonaldTrump/status/759450265208651776", "759450265208651776")</f>
        <v>0</v>
      </c>
      <c r="B1699" s="2">
        <v>42581.7549421296</v>
      </c>
      <c r="C1699">
        <v>28262</v>
      </c>
      <c r="D1699">
        <v>9549</v>
      </c>
      <c r="E1699" t="s">
        <v>1701</v>
      </c>
    </row>
    <row r="1700" spans="1:5">
      <c r="A1700">
        <f>HYPERLINK("http://www.twitter.com/realDonaldTrump/status/759450053379579905", "759450053379579905")</f>
        <v>0</v>
      </c>
      <c r="B1700" s="2">
        <v>42581.7543634259</v>
      </c>
      <c r="C1700">
        <v>29267</v>
      </c>
      <c r="D1700">
        <v>9141</v>
      </c>
      <c r="E1700" t="s">
        <v>1702</v>
      </c>
    </row>
    <row r="1701" spans="1:5">
      <c r="A1701">
        <f>HYPERLINK("http://www.twitter.com/realDonaldTrump/status/759425642723246084", "759425642723246084")</f>
        <v>0</v>
      </c>
      <c r="B1701" s="2">
        <v>42581.6870023148</v>
      </c>
      <c r="C1701">
        <v>22972</v>
      </c>
      <c r="D1701">
        <v>5287</v>
      </c>
      <c r="E1701" t="s">
        <v>1703</v>
      </c>
    </row>
    <row r="1702" spans="1:5">
      <c r="A1702">
        <f>HYPERLINK("http://www.twitter.com/realDonaldTrump/status/759393092554424320", "759393092554424320")</f>
        <v>0</v>
      </c>
      <c r="B1702" s="2">
        <v>42581.5971759259</v>
      </c>
      <c r="C1702">
        <v>12656</v>
      </c>
      <c r="D1702">
        <v>4012</v>
      </c>
      <c r="E1702" t="s">
        <v>1704</v>
      </c>
    </row>
    <row r="1703" spans="1:5">
      <c r="A1703">
        <f>HYPERLINK("http://www.twitter.com/realDonaldTrump/status/759389559385952257", "759389559385952257")</f>
        <v>0</v>
      </c>
      <c r="B1703" s="2">
        <v>42581.5874305556</v>
      </c>
      <c r="C1703">
        <v>11391</v>
      </c>
      <c r="D1703">
        <v>3795</v>
      </c>
      <c r="E1703" t="s">
        <v>1705</v>
      </c>
    </row>
    <row r="1704" spans="1:5">
      <c r="A1704">
        <f>HYPERLINK("http://www.twitter.com/realDonaldTrump/status/759381869267980288", "759381869267980288")</f>
        <v>0</v>
      </c>
      <c r="B1704" s="2">
        <v>42581.5662037037</v>
      </c>
      <c r="C1704">
        <v>28652</v>
      </c>
      <c r="D1704">
        <v>10865</v>
      </c>
      <c r="E1704" t="s">
        <v>1706</v>
      </c>
    </row>
    <row r="1705" spans="1:5">
      <c r="A1705">
        <f>HYPERLINK("http://www.twitter.com/realDonaldTrump/status/759372422692954112", "759372422692954112")</f>
        <v>0</v>
      </c>
      <c r="B1705" s="2">
        <v>42581.5401388889</v>
      </c>
      <c r="C1705">
        <v>27861</v>
      </c>
      <c r="D1705">
        <v>9309</v>
      </c>
      <c r="E1705" t="s">
        <v>1707</v>
      </c>
    </row>
    <row r="1706" spans="1:5">
      <c r="A1706">
        <f>HYPERLINK("http://www.twitter.com/realDonaldTrump/status/759371648764108801", "759371648764108801")</f>
        <v>0</v>
      </c>
      <c r="B1706" s="2">
        <v>42581.5380092593</v>
      </c>
      <c r="C1706">
        <v>24935</v>
      </c>
      <c r="D1706">
        <v>8144</v>
      </c>
      <c r="E1706" t="s">
        <v>1708</v>
      </c>
    </row>
    <row r="1707" spans="1:5">
      <c r="A1707">
        <f>HYPERLINK("http://www.twitter.com/realDonaldTrump/status/759371377002553344", "759371377002553344")</f>
        <v>0</v>
      </c>
      <c r="B1707" s="2">
        <v>42581.5372569444</v>
      </c>
      <c r="C1707">
        <v>19612</v>
      </c>
      <c r="D1707">
        <v>4948</v>
      </c>
      <c r="E1707" t="s">
        <v>1709</v>
      </c>
    </row>
    <row r="1708" spans="1:5">
      <c r="A1708">
        <f>HYPERLINK("http://www.twitter.com/realDonaldTrump/status/759282300135809024", "759282300135809024")</f>
        <v>0</v>
      </c>
      <c r="B1708" s="2">
        <v>42581.2914467593</v>
      </c>
      <c r="C1708">
        <v>33507</v>
      </c>
      <c r="D1708">
        <v>12569</v>
      </c>
      <c r="E1708" t="s">
        <v>1710</v>
      </c>
    </row>
    <row r="1709" spans="1:5">
      <c r="A1709">
        <f>HYPERLINK("http://www.twitter.com/realDonaldTrump/status/759227755494072320", "759227755494072320")</f>
        <v>0</v>
      </c>
      <c r="B1709" s="2">
        <v>42581.1409375</v>
      </c>
      <c r="C1709">
        <v>17903</v>
      </c>
      <c r="D1709">
        <v>5213</v>
      </c>
      <c r="E1709" t="s">
        <v>1711</v>
      </c>
    </row>
    <row r="1710" spans="1:5">
      <c r="A1710">
        <f>HYPERLINK("http://www.twitter.com/realDonaldTrump/status/759222916387069952", "759222916387069952")</f>
        <v>0</v>
      </c>
      <c r="B1710" s="2">
        <v>42581.1275810185</v>
      </c>
      <c r="C1710">
        <v>39978</v>
      </c>
      <c r="D1710">
        <v>15697</v>
      </c>
      <c r="E1710" t="s">
        <v>1712</v>
      </c>
    </row>
    <row r="1711" spans="1:5">
      <c r="A1711">
        <f>HYPERLINK("http://www.twitter.com/realDonaldTrump/status/759192213234393088", "759192213234393088")</f>
        <v>0</v>
      </c>
      <c r="B1711" s="2">
        <v>42581.0428587963</v>
      </c>
      <c r="C1711">
        <v>35388</v>
      </c>
      <c r="D1711">
        <v>16911</v>
      </c>
      <c r="E1711" t="s">
        <v>1713</v>
      </c>
    </row>
    <row r="1712" spans="1:5">
      <c r="A1712">
        <f>HYPERLINK("http://www.twitter.com/realDonaldTrump/status/759191265988653056", "759191265988653056")</f>
        <v>0</v>
      </c>
      <c r="B1712" s="2">
        <v>42581.0402430556</v>
      </c>
      <c r="C1712">
        <v>38334</v>
      </c>
      <c r="D1712">
        <v>11852</v>
      </c>
      <c r="E1712" t="s">
        <v>1714</v>
      </c>
    </row>
    <row r="1713" spans="1:5">
      <c r="A1713">
        <f>HYPERLINK("http://www.twitter.com/realDonaldTrump/status/759185456818860032", "759185456818860032")</f>
        <v>0</v>
      </c>
      <c r="B1713" s="2">
        <v>42581.024212963</v>
      </c>
      <c r="C1713">
        <v>30432</v>
      </c>
      <c r="D1713">
        <v>9752</v>
      </c>
      <c r="E1713" t="s">
        <v>1715</v>
      </c>
    </row>
    <row r="1714" spans="1:5">
      <c r="A1714">
        <f>HYPERLINK("http://www.twitter.com/realDonaldTrump/status/759152897602916352", "759152897602916352")</f>
        <v>0</v>
      </c>
      <c r="B1714" s="2">
        <v>42580.9343634259</v>
      </c>
      <c r="C1714">
        <v>23404</v>
      </c>
      <c r="D1714">
        <v>7607</v>
      </c>
      <c r="E1714" t="s">
        <v>1716</v>
      </c>
    </row>
    <row r="1715" spans="1:5">
      <c r="A1715">
        <f>HYPERLINK("http://www.twitter.com/realDonaldTrump/status/759117301517996032", "759117301517996032")</f>
        <v>0</v>
      </c>
      <c r="B1715" s="2">
        <v>42580.8361458333</v>
      </c>
      <c r="C1715">
        <v>21715</v>
      </c>
      <c r="D1715">
        <v>8634</v>
      </c>
      <c r="E1715" t="s">
        <v>1717</v>
      </c>
    </row>
    <row r="1716" spans="1:5">
      <c r="A1716">
        <f>HYPERLINK("http://www.twitter.com/realDonaldTrump/status/759093740497764353", "759093740497764353")</f>
        <v>0</v>
      </c>
      <c r="B1716" s="2">
        <v>42580.7711226852</v>
      </c>
      <c r="C1716">
        <v>22469</v>
      </c>
      <c r="D1716">
        <v>7708</v>
      </c>
      <c r="E1716" t="s">
        <v>1718</v>
      </c>
    </row>
    <row r="1717" spans="1:5">
      <c r="A1717">
        <f>HYPERLINK("http://www.twitter.com/realDonaldTrump/status/759088844683608064", "759088844683608064")</f>
        <v>0</v>
      </c>
      <c r="B1717" s="2">
        <v>42580.7576157407</v>
      </c>
      <c r="C1717">
        <v>10394</v>
      </c>
      <c r="D1717">
        <v>3071</v>
      </c>
      <c r="E1717" t="s">
        <v>1719</v>
      </c>
    </row>
    <row r="1718" spans="1:5">
      <c r="A1718">
        <f>HYPERLINK("http://www.twitter.com/realDonaldTrump/status/759084522705068032", "759084522705068032")</f>
        <v>0</v>
      </c>
      <c r="B1718" s="2">
        <v>42580.7456828704</v>
      </c>
      <c r="C1718">
        <v>41578</v>
      </c>
      <c r="D1718">
        <v>21395</v>
      </c>
      <c r="E1718" t="s">
        <v>1720</v>
      </c>
    </row>
    <row r="1719" spans="1:5">
      <c r="A1719">
        <f>HYPERLINK("http://www.twitter.com/realDonaldTrump/status/759082026687352834", "759082026687352834")</f>
        <v>0</v>
      </c>
      <c r="B1719" s="2">
        <v>42580.7387962963</v>
      </c>
      <c r="C1719">
        <v>24856</v>
      </c>
      <c r="D1719">
        <v>6741</v>
      </c>
      <c r="E1719" t="s">
        <v>1721</v>
      </c>
    </row>
    <row r="1720" spans="1:5">
      <c r="A1720">
        <f>HYPERLINK("http://www.twitter.com/realDonaldTrump/status/759071976182861824", "759071976182861824")</f>
        <v>0</v>
      </c>
      <c r="B1720" s="2">
        <v>42580.7110648148</v>
      </c>
      <c r="C1720">
        <v>35440</v>
      </c>
      <c r="D1720">
        <v>10233</v>
      </c>
      <c r="E1720" t="s">
        <v>1722</v>
      </c>
    </row>
    <row r="1721" spans="1:5">
      <c r="A1721">
        <f>HYPERLINK("http://www.twitter.com/realDonaldTrump/status/759070976181084160", "759070976181084160")</f>
        <v>0</v>
      </c>
      <c r="B1721" s="2">
        <v>42580.7083101852</v>
      </c>
      <c r="C1721">
        <v>26213</v>
      </c>
      <c r="D1721">
        <v>12591</v>
      </c>
      <c r="E1721" t="s">
        <v>1723</v>
      </c>
    </row>
    <row r="1722" spans="1:5">
      <c r="A1722">
        <f>HYPERLINK("http://www.twitter.com/realDonaldTrump/status/759070106546638849", "759070106546638849")</f>
        <v>0</v>
      </c>
      <c r="B1722" s="2">
        <v>42580.7059027778</v>
      </c>
      <c r="C1722">
        <v>29469</v>
      </c>
      <c r="D1722">
        <v>8191</v>
      </c>
      <c r="E1722" t="s">
        <v>1724</v>
      </c>
    </row>
    <row r="1723" spans="1:5">
      <c r="A1723">
        <f>HYPERLINK("http://www.twitter.com/realDonaldTrump/status/759064533814038528", "759064533814038528")</f>
        <v>0</v>
      </c>
      <c r="B1723" s="2">
        <v>42580.6905324074</v>
      </c>
      <c r="C1723">
        <v>22216</v>
      </c>
      <c r="D1723">
        <v>6474</v>
      </c>
      <c r="E1723" t="s">
        <v>1725</v>
      </c>
    </row>
    <row r="1724" spans="1:5">
      <c r="A1724">
        <f>HYPERLINK("http://www.twitter.com/realDonaldTrump/status/759029315006705664", "759029315006705664")</f>
        <v>0</v>
      </c>
      <c r="B1724" s="2">
        <v>42580.5933449074</v>
      </c>
      <c r="C1724">
        <v>53754</v>
      </c>
      <c r="D1724">
        <v>16925</v>
      </c>
      <c r="E1724" t="s">
        <v>1726</v>
      </c>
    </row>
    <row r="1725" spans="1:5">
      <c r="A1725">
        <f>HYPERLINK("http://www.twitter.com/realDonaldTrump/status/759027356434518016", "759027356434518016")</f>
        <v>0</v>
      </c>
      <c r="B1725" s="2">
        <v>42580.5879398148</v>
      </c>
      <c r="C1725">
        <v>21806</v>
      </c>
      <c r="D1725">
        <v>6138</v>
      </c>
      <c r="E1725" t="s">
        <v>1727</v>
      </c>
    </row>
    <row r="1726" spans="1:5">
      <c r="A1726">
        <f>HYPERLINK("http://www.twitter.com/realDonaldTrump/status/759025610249216000", "759025610249216000")</f>
        <v>0</v>
      </c>
      <c r="B1726" s="2">
        <v>42580.583125</v>
      </c>
      <c r="C1726">
        <v>25816</v>
      </c>
      <c r="D1726">
        <v>7834</v>
      </c>
      <c r="E1726" t="s">
        <v>1728</v>
      </c>
    </row>
    <row r="1727" spans="1:5">
      <c r="A1727">
        <f>HYPERLINK("http://www.twitter.com/realDonaldTrump/status/759024055123009536", "759024055123009536")</f>
        <v>0</v>
      </c>
      <c r="B1727" s="2">
        <v>42580.5788310185</v>
      </c>
      <c r="C1727">
        <v>21240</v>
      </c>
      <c r="D1727">
        <v>6352</v>
      </c>
      <c r="E1727" t="s">
        <v>1729</v>
      </c>
    </row>
    <row r="1728" spans="1:5">
      <c r="A1728">
        <f>HYPERLINK("http://www.twitter.com/realDonaldTrump/status/759021886055387136", "759021886055387136")</f>
        <v>0</v>
      </c>
      <c r="B1728" s="2">
        <v>42580.5728472222</v>
      </c>
      <c r="C1728">
        <v>33939</v>
      </c>
      <c r="D1728">
        <v>9579</v>
      </c>
      <c r="E1728" t="s">
        <v>1730</v>
      </c>
    </row>
    <row r="1729" spans="1:5">
      <c r="A1729">
        <f>HYPERLINK("http://www.twitter.com/realDonaldTrump/status/759017481633542145", "759017481633542145")</f>
        <v>0</v>
      </c>
      <c r="B1729" s="2">
        <v>42580.5606944444</v>
      </c>
      <c r="C1729">
        <v>10645</v>
      </c>
      <c r="D1729">
        <v>3149</v>
      </c>
      <c r="E1729" t="s">
        <v>1731</v>
      </c>
    </row>
    <row r="1730" spans="1:5">
      <c r="A1730">
        <f>HYPERLINK("http://www.twitter.com/realDonaldTrump/status/759014707277598720", "759014707277598720")</f>
        <v>0</v>
      </c>
      <c r="B1730" s="2">
        <v>42580.5530324074</v>
      </c>
      <c r="C1730">
        <v>23196</v>
      </c>
      <c r="D1730">
        <v>8332</v>
      </c>
      <c r="E1730" t="s">
        <v>1732</v>
      </c>
    </row>
    <row r="1731" spans="1:5">
      <c r="A1731">
        <f>HYPERLINK("http://www.twitter.com/realDonaldTrump/status/759013928315686917", "759013928315686917")</f>
        <v>0</v>
      </c>
      <c r="B1731" s="2">
        <v>42580.5508796296</v>
      </c>
      <c r="C1731">
        <v>10506</v>
      </c>
      <c r="D1731">
        <v>3814</v>
      </c>
      <c r="E1731" t="s">
        <v>1733</v>
      </c>
    </row>
    <row r="1732" spans="1:5">
      <c r="A1732">
        <f>HYPERLINK("http://www.twitter.com/realDonaldTrump/status/759013889761697794", "759013889761697794")</f>
        <v>0</v>
      </c>
      <c r="B1732" s="2">
        <v>42580.550775463</v>
      </c>
      <c r="C1732">
        <v>27823</v>
      </c>
      <c r="D1732">
        <v>9540</v>
      </c>
      <c r="E1732" t="s">
        <v>1734</v>
      </c>
    </row>
    <row r="1733" spans="1:5">
      <c r="A1733">
        <f>HYPERLINK("http://www.twitter.com/realDonaldTrump/status/759008377577967616", "759008377577967616")</f>
        <v>0</v>
      </c>
      <c r="B1733" s="2">
        <v>42580.5355671296</v>
      </c>
      <c r="C1733">
        <v>31518</v>
      </c>
      <c r="D1733">
        <v>8905</v>
      </c>
      <c r="E1733" t="s">
        <v>1735</v>
      </c>
    </row>
    <row r="1734" spans="1:5">
      <c r="A1734">
        <f>HYPERLINK("http://www.twitter.com/realDonaldTrump/status/759005597899436032", "759005597899436032")</f>
        <v>0</v>
      </c>
      <c r="B1734" s="2">
        <v>42580.5278935185</v>
      </c>
      <c r="C1734">
        <v>20662</v>
      </c>
      <c r="D1734">
        <v>5929</v>
      </c>
      <c r="E1734" t="s">
        <v>1736</v>
      </c>
    </row>
    <row r="1735" spans="1:5">
      <c r="A1735">
        <f>HYPERLINK("http://www.twitter.com/realDonaldTrump/status/758874457142284288", "758874457142284288")</f>
        <v>0</v>
      </c>
      <c r="B1735" s="2">
        <v>42580.1660185185</v>
      </c>
      <c r="C1735">
        <v>49341</v>
      </c>
      <c r="D1735">
        <v>17637</v>
      </c>
      <c r="E1735" t="s">
        <v>1737</v>
      </c>
    </row>
    <row r="1736" spans="1:5">
      <c r="A1736">
        <f>HYPERLINK("http://www.twitter.com/realDonaldTrump/status/758873961425805312", "758873961425805312")</f>
        <v>0</v>
      </c>
      <c r="B1736" s="2">
        <v>42580.1646527778</v>
      </c>
      <c r="C1736">
        <v>36703</v>
      </c>
      <c r="D1736">
        <v>13228</v>
      </c>
      <c r="E1736" t="s">
        <v>1738</v>
      </c>
    </row>
    <row r="1737" spans="1:5">
      <c r="A1737">
        <f>HYPERLINK("http://www.twitter.com/realDonaldTrump/status/758873275044798464", "758873275044798464")</f>
        <v>0</v>
      </c>
      <c r="B1737" s="2">
        <v>42580.1627546296</v>
      </c>
      <c r="C1737">
        <v>43453</v>
      </c>
      <c r="D1737">
        <v>16836</v>
      </c>
      <c r="E1737" t="s">
        <v>1739</v>
      </c>
    </row>
    <row r="1738" spans="1:5">
      <c r="A1738">
        <f>HYPERLINK("http://www.twitter.com/realDonaldTrump/status/758872873234681860", "758872873234681860")</f>
        <v>0</v>
      </c>
      <c r="B1738" s="2">
        <v>42580.1616435185</v>
      </c>
      <c r="C1738">
        <v>43370</v>
      </c>
      <c r="D1738">
        <v>16524</v>
      </c>
      <c r="E1738" t="s">
        <v>1740</v>
      </c>
    </row>
    <row r="1739" spans="1:5">
      <c r="A1739">
        <f>HYPERLINK("http://www.twitter.com/realDonaldTrump/status/758872422028148740", "758872422028148740")</f>
        <v>0</v>
      </c>
      <c r="B1739" s="2">
        <v>42580.1604050926</v>
      </c>
      <c r="C1739">
        <v>42864</v>
      </c>
      <c r="D1739">
        <v>14945</v>
      </c>
      <c r="E1739" t="s">
        <v>1741</v>
      </c>
    </row>
    <row r="1740" spans="1:5">
      <c r="A1740">
        <f>HYPERLINK("http://www.twitter.com/realDonaldTrump/status/758871653547806724", "758871653547806724")</f>
        <v>0</v>
      </c>
      <c r="B1740" s="2">
        <v>42580.158287037</v>
      </c>
      <c r="C1740">
        <v>51580</v>
      </c>
      <c r="D1740">
        <v>19875</v>
      </c>
      <c r="E1740" t="s">
        <v>1742</v>
      </c>
    </row>
    <row r="1741" spans="1:5">
      <c r="A1741">
        <f>HYPERLINK("http://www.twitter.com/realDonaldTrump/status/758851150175055874", "758851150175055874")</f>
        <v>0</v>
      </c>
      <c r="B1741" s="2">
        <v>42580.1017013889</v>
      </c>
      <c r="C1741">
        <v>27765</v>
      </c>
      <c r="D1741">
        <v>7979</v>
      </c>
      <c r="E1741" t="s">
        <v>1743</v>
      </c>
    </row>
    <row r="1742" spans="1:5">
      <c r="A1742">
        <f>HYPERLINK("http://www.twitter.com/realDonaldTrump/status/758802697763958784", "758802697763958784")</f>
        <v>0</v>
      </c>
      <c r="B1742" s="2">
        <v>42579.9679976852</v>
      </c>
      <c r="C1742">
        <v>55279</v>
      </c>
      <c r="D1742">
        <v>30357</v>
      </c>
      <c r="E1742" t="s">
        <v>1744</v>
      </c>
    </row>
    <row r="1743" spans="1:5">
      <c r="A1743">
        <f>HYPERLINK("http://www.twitter.com/realDonaldTrump/status/758778607489708032", "758778607489708032")</f>
        <v>0</v>
      </c>
      <c r="B1743" s="2">
        <v>42579.9015277778</v>
      </c>
      <c r="C1743">
        <v>19193</v>
      </c>
      <c r="D1743">
        <v>6403</v>
      </c>
      <c r="E1743" t="s">
        <v>1745</v>
      </c>
    </row>
    <row r="1744" spans="1:5">
      <c r="A1744">
        <f>HYPERLINK("http://www.twitter.com/realDonaldTrump/status/758771144140820481", "758771144140820481")</f>
        <v>0</v>
      </c>
      <c r="B1744" s="2">
        <v>42579.8809259259</v>
      </c>
      <c r="C1744">
        <v>16912</v>
      </c>
      <c r="D1744">
        <v>4321</v>
      </c>
      <c r="E1744" t="s">
        <v>1746</v>
      </c>
    </row>
    <row r="1745" spans="1:5">
      <c r="A1745">
        <f>HYPERLINK("http://www.twitter.com/realDonaldTrump/status/758768028595032064", "758768028595032064")</f>
        <v>0</v>
      </c>
      <c r="B1745" s="2">
        <v>42579.8723263889</v>
      </c>
      <c r="C1745">
        <v>30014</v>
      </c>
      <c r="D1745">
        <v>10558</v>
      </c>
      <c r="E1745" t="s">
        <v>1747</v>
      </c>
    </row>
    <row r="1746" spans="1:5">
      <c r="A1746">
        <f>HYPERLINK("http://www.twitter.com/realDonaldTrump/status/758761945910669312", "758761945910669312")</f>
        <v>0</v>
      </c>
      <c r="B1746" s="2">
        <v>42579.8555439815</v>
      </c>
      <c r="C1746">
        <v>38682</v>
      </c>
      <c r="D1746">
        <v>16724</v>
      </c>
      <c r="E1746" t="s">
        <v>1748</v>
      </c>
    </row>
    <row r="1747" spans="1:5">
      <c r="A1747">
        <f>HYPERLINK("http://www.twitter.com/realDonaldTrump/status/758761521317023744", "758761521317023744")</f>
        <v>0</v>
      </c>
      <c r="B1747" s="2">
        <v>42579.854375</v>
      </c>
      <c r="C1747">
        <v>11047</v>
      </c>
      <c r="D1747">
        <v>3677</v>
      </c>
      <c r="E1747" t="s">
        <v>1749</v>
      </c>
    </row>
    <row r="1748" spans="1:5">
      <c r="A1748">
        <f>HYPERLINK("http://www.twitter.com/realDonaldTrump/status/758732782348623874", "758732782348623874")</f>
        <v>0</v>
      </c>
      <c r="B1748" s="2">
        <v>42579.7750694444</v>
      </c>
      <c r="C1748">
        <v>14553</v>
      </c>
      <c r="D1748">
        <v>4607</v>
      </c>
      <c r="E1748" t="s">
        <v>1750</v>
      </c>
    </row>
    <row r="1749" spans="1:5">
      <c r="A1749">
        <f>HYPERLINK("http://www.twitter.com/realDonaldTrump/status/758731880183193601", "758731880183193601")</f>
        <v>0</v>
      </c>
      <c r="B1749" s="2">
        <v>42579.7725810185</v>
      </c>
      <c r="C1749">
        <v>17134</v>
      </c>
      <c r="D1749">
        <v>6371</v>
      </c>
      <c r="E1749" t="s">
        <v>1751</v>
      </c>
    </row>
    <row r="1750" spans="1:5">
      <c r="A1750">
        <f>HYPERLINK("http://www.twitter.com/realDonaldTrump/status/758690714268143616", "758690714268143616")</f>
        <v>0</v>
      </c>
      <c r="B1750" s="2">
        <v>42579.6589814815</v>
      </c>
      <c r="C1750">
        <v>0</v>
      </c>
      <c r="D1750">
        <v>3196</v>
      </c>
      <c r="E1750" t="s">
        <v>1752</v>
      </c>
    </row>
    <row r="1751" spans="1:5">
      <c r="A1751">
        <f>HYPERLINK("http://www.twitter.com/realDonaldTrump/status/758685974637473793", "758685974637473793")</f>
        <v>0</v>
      </c>
      <c r="B1751" s="2">
        <v>42579.6459027778</v>
      </c>
      <c r="C1751">
        <v>0</v>
      </c>
      <c r="D1751">
        <v>16394</v>
      </c>
      <c r="E1751" t="s">
        <v>1753</v>
      </c>
    </row>
    <row r="1752" spans="1:5">
      <c r="A1752">
        <f>HYPERLINK("http://www.twitter.com/realDonaldTrump/status/758681061786263552", "758681061786263552")</f>
        <v>0</v>
      </c>
      <c r="B1752" s="2">
        <v>42579.632349537</v>
      </c>
      <c r="C1752">
        <v>0</v>
      </c>
      <c r="D1752">
        <v>7637</v>
      </c>
      <c r="E1752" t="s">
        <v>1754</v>
      </c>
    </row>
    <row r="1753" spans="1:5">
      <c r="A1753">
        <f>HYPERLINK("http://www.twitter.com/realDonaldTrump/status/758680707979943937", "758680707979943937")</f>
        <v>0</v>
      </c>
      <c r="B1753" s="2">
        <v>42579.6313773148</v>
      </c>
      <c r="C1753">
        <v>48494</v>
      </c>
      <c r="D1753">
        <v>16161</v>
      </c>
      <c r="E1753" t="s">
        <v>1755</v>
      </c>
    </row>
    <row r="1754" spans="1:5">
      <c r="A1754">
        <f>HYPERLINK("http://www.twitter.com/realDonaldTrump/status/758512401629192192", "758512401629192192")</f>
        <v>0</v>
      </c>
      <c r="B1754" s="2">
        <v>42579.1669328704</v>
      </c>
      <c r="C1754">
        <v>24287</v>
      </c>
      <c r="D1754">
        <v>6662</v>
      </c>
      <c r="E1754" t="s">
        <v>1756</v>
      </c>
    </row>
    <row r="1755" spans="1:5">
      <c r="A1755">
        <f>HYPERLINK("http://www.twitter.com/realDonaldTrump/status/758511494669664256", "758511494669664256")</f>
        <v>0</v>
      </c>
      <c r="B1755" s="2">
        <v>42579.1644328704</v>
      </c>
      <c r="C1755">
        <v>24940</v>
      </c>
      <c r="D1755">
        <v>8056</v>
      </c>
      <c r="E1755" t="s">
        <v>1757</v>
      </c>
    </row>
    <row r="1756" spans="1:5">
      <c r="A1756">
        <f>HYPERLINK("http://www.twitter.com/realDonaldTrump/status/758492727583576064", "758492727583576064")</f>
        <v>0</v>
      </c>
      <c r="B1756" s="2">
        <v>42579.112650463</v>
      </c>
      <c r="C1756">
        <v>49624</v>
      </c>
      <c r="D1756">
        <v>16761</v>
      </c>
      <c r="E1756" t="s">
        <v>1758</v>
      </c>
    </row>
    <row r="1757" spans="1:5">
      <c r="A1757">
        <f>HYPERLINK("http://www.twitter.com/realDonaldTrump/status/758491947409481728", "758491947409481728")</f>
        <v>0</v>
      </c>
      <c r="B1757" s="2">
        <v>42579.1104976852</v>
      </c>
      <c r="C1757">
        <v>62874</v>
      </c>
      <c r="D1757">
        <v>20290</v>
      </c>
      <c r="E1757" t="s">
        <v>1759</v>
      </c>
    </row>
    <row r="1758" spans="1:5">
      <c r="A1758">
        <f>HYPERLINK("http://www.twitter.com/realDonaldTrump/status/758452289376022529", "758452289376022529")</f>
        <v>0</v>
      </c>
      <c r="B1758" s="2">
        <v>42579.0010532407</v>
      </c>
      <c r="C1758">
        <v>14209</v>
      </c>
      <c r="D1758">
        <v>3891</v>
      </c>
      <c r="E1758" t="s">
        <v>1760</v>
      </c>
    </row>
    <row r="1759" spans="1:5">
      <c r="A1759">
        <f>HYPERLINK("http://www.twitter.com/realDonaldTrump/status/758422125254471680", "758422125254471680")</f>
        <v>0</v>
      </c>
      <c r="B1759" s="2">
        <v>42578.9178240741</v>
      </c>
      <c r="C1759">
        <v>36075</v>
      </c>
      <c r="D1759">
        <v>19260</v>
      </c>
      <c r="E1759" t="s">
        <v>1761</v>
      </c>
    </row>
    <row r="1760" spans="1:5">
      <c r="A1760">
        <f>HYPERLINK("http://www.twitter.com/realDonaldTrump/status/758421383063961604", "758421383063961604")</f>
        <v>0</v>
      </c>
      <c r="B1760" s="2">
        <v>42578.915775463</v>
      </c>
      <c r="C1760">
        <v>18634</v>
      </c>
      <c r="D1760">
        <v>5438</v>
      </c>
      <c r="E1760" t="s">
        <v>1762</v>
      </c>
    </row>
    <row r="1761" spans="1:5">
      <c r="A1761">
        <f>HYPERLINK("http://www.twitter.com/realDonaldTrump/status/758380358874247168", "758380358874247168")</f>
        <v>0</v>
      </c>
      <c r="B1761" s="2">
        <v>42578.8025694444</v>
      </c>
      <c r="C1761">
        <v>45866</v>
      </c>
      <c r="D1761">
        <v>16254</v>
      </c>
      <c r="E1761" t="s">
        <v>1763</v>
      </c>
    </row>
    <row r="1762" spans="1:5">
      <c r="A1762">
        <f>HYPERLINK("http://www.twitter.com/realDonaldTrump/status/758367154232320000", "758367154232320000")</f>
        <v>0</v>
      </c>
      <c r="B1762" s="2">
        <v>42578.7661342593</v>
      </c>
      <c r="C1762">
        <v>14005</v>
      </c>
      <c r="D1762">
        <v>6663</v>
      </c>
      <c r="E1762" t="s">
        <v>1764</v>
      </c>
    </row>
    <row r="1763" spans="1:5">
      <c r="A1763">
        <f>HYPERLINK("http://www.twitter.com/realDonaldTrump/status/758350470402408449", "758350470402408449")</f>
        <v>0</v>
      </c>
      <c r="B1763" s="2">
        <v>42578.7200925926</v>
      </c>
      <c r="C1763">
        <v>37454</v>
      </c>
      <c r="D1763">
        <v>13829</v>
      </c>
      <c r="E1763" t="s">
        <v>1765</v>
      </c>
    </row>
    <row r="1764" spans="1:5">
      <c r="A1764">
        <f>HYPERLINK("http://www.twitter.com/realDonaldTrump/status/758335147183788032", "758335147183788032")</f>
        <v>0</v>
      </c>
      <c r="B1764" s="2">
        <v>42578.6778009259</v>
      </c>
      <c r="C1764">
        <v>62566</v>
      </c>
      <c r="D1764">
        <v>24198</v>
      </c>
      <c r="E1764" t="s">
        <v>1766</v>
      </c>
    </row>
    <row r="1765" spans="1:5">
      <c r="A1765">
        <f>HYPERLINK("http://www.twitter.com/realDonaldTrump/status/758331893809090560", "758331893809090560")</f>
        <v>0</v>
      </c>
      <c r="B1765" s="2">
        <v>42578.6688310185</v>
      </c>
      <c r="C1765">
        <v>13212</v>
      </c>
      <c r="D1765">
        <v>4073</v>
      </c>
      <c r="E1765" t="s">
        <v>1767</v>
      </c>
    </row>
    <row r="1766" spans="1:5">
      <c r="A1766">
        <f>HYPERLINK("http://www.twitter.com/realDonaldTrump/status/758286077400580096", "758286077400580096")</f>
        <v>0</v>
      </c>
      <c r="B1766" s="2">
        <v>42578.5423958333</v>
      </c>
      <c r="C1766">
        <v>83306</v>
      </c>
      <c r="D1766">
        <v>29542</v>
      </c>
      <c r="E1766" t="s">
        <v>1768</v>
      </c>
    </row>
    <row r="1767" spans="1:5">
      <c r="A1767">
        <f>HYPERLINK("http://www.twitter.com/realDonaldTrump/status/758285141982711808", "758285141982711808")</f>
        <v>0</v>
      </c>
      <c r="B1767" s="2">
        <v>42578.5398148148</v>
      </c>
      <c r="C1767">
        <v>37143</v>
      </c>
      <c r="D1767">
        <v>11369</v>
      </c>
      <c r="E1767" t="s">
        <v>1769</v>
      </c>
    </row>
    <row r="1768" spans="1:5">
      <c r="A1768">
        <f>HYPERLINK("http://www.twitter.com/realDonaldTrump/status/758242674646323200", "758242674646323200")</f>
        <v>0</v>
      </c>
      <c r="B1768" s="2">
        <v>42578.4226273148</v>
      </c>
      <c r="C1768">
        <v>53377</v>
      </c>
      <c r="D1768">
        <v>16189</v>
      </c>
      <c r="E1768" t="s">
        <v>1770</v>
      </c>
    </row>
    <row r="1769" spans="1:5">
      <c r="A1769">
        <f>HYPERLINK("http://www.twitter.com/realDonaldTrump/status/758240929564258305", "758240929564258305")</f>
        <v>0</v>
      </c>
      <c r="B1769" s="2">
        <v>42578.4178125</v>
      </c>
      <c r="C1769">
        <v>39813</v>
      </c>
      <c r="D1769">
        <v>12851</v>
      </c>
      <c r="E1769" t="s">
        <v>1771</v>
      </c>
    </row>
    <row r="1770" spans="1:5">
      <c r="A1770">
        <f>HYPERLINK("http://www.twitter.com/realDonaldTrump/status/758238226180083712", "758238226180083712")</f>
        <v>0</v>
      </c>
      <c r="B1770" s="2">
        <v>42578.4103587963</v>
      </c>
      <c r="C1770">
        <v>45122</v>
      </c>
      <c r="D1770">
        <v>15005</v>
      </c>
      <c r="E1770" t="s">
        <v>1772</v>
      </c>
    </row>
    <row r="1771" spans="1:5">
      <c r="A1771">
        <f>HYPERLINK("http://www.twitter.com/realDonaldTrump/status/758236300554174465", "758236300554174465")</f>
        <v>0</v>
      </c>
      <c r="B1771" s="2">
        <v>42578.4050462963</v>
      </c>
      <c r="C1771">
        <v>25301</v>
      </c>
      <c r="D1771">
        <v>7054</v>
      </c>
      <c r="E1771" t="s">
        <v>1773</v>
      </c>
    </row>
    <row r="1772" spans="1:5">
      <c r="A1772">
        <f>HYPERLINK("http://www.twitter.com/realDonaldTrump/status/758233935230959617", "758233935230959617")</f>
        <v>0</v>
      </c>
      <c r="B1772" s="2">
        <v>42578.3985185185</v>
      </c>
      <c r="C1772">
        <v>21935</v>
      </c>
      <c r="D1772">
        <v>6766</v>
      </c>
      <c r="E1772" t="s">
        <v>1774</v>
      </c>
    </row>
    <row r="1773" spans="1:5">
      <c r="A1773">
        <f>HYPERLINK("http://www.twitter.com/realDonaldTrump/status/758135085820416000", "758135085820416000")</f>
        <v>0</v>
      </c>
      <c r="B1773" s="2">
        <v>42578.1257407407</v>
      </c>
      <c r="C1773">
        <v>21735</v>
      </c>
      <c r="D1773">
        <v>9702</v>
      </c>
      <c r="E1773" t="s">
        <v>1775</v>
      </c>
    </row>
    <row r="1774" spans="1:5">
      <c r="A1774">
        <f>HYPERLINK("http://www.twitter.com/realDonaldTrump/status/758122684798607360", "758122684798607360")</f>
        <v>0</v>
      </c>
      <c r="B1774" s="2">
        <v>42578.0915162037</v>
      </c>
      <c r="C1774">
        <v>30890</v>
      </c>
      <c r="D1774">
        <v>8323</v>
      </c>
      <c r="E1774" t="s">
        <v>1776</v>
      </c>
    </row>
    <row r="1775" spans="1:5">
      <c r="A1775">
        <f>HYPERLINK("http://www.twitter.com/realDonaldTrump/status/758121939365982208", "758121939365982208")</f>
        <v>0</v>
      </c>
      <c r="B1775" s="2">
        <v>42578.0894675926</v>
      </c>
      <c r="C1775">
        <v>46102</v>
      </c>
      <c r="D1775">
        <v>10118</v>
      </c>
      <c r="E1775" t="s">
        <v>1777</v>
      </c>
    </row>
    <row r="1776" spans="1:5">
      <c r="A1776">
        <f>HYPERLINK("http://www.twitter.com/realDonaldTrump/status/758120321845235712", "758120321845235712")</f>
        <v>0</v>
      </c>
      <c r="B1776" s="2">
        <v>42578.085</v>
      </c>
      <c r="C1776">
        <v>39887</v>
      </c>
      <c r="D1776">
        <v>10700</v>
      </c>
      <c r="E1776" t="s">
        <v>1778</v>
      </c>
    </row>
    <row r="1777" spans="1:5">
      <c r="A1777">
        <f>HYPERLINK("http://www.twitter.com/realDonaldTrump/status/758117640200187905", "758117640200187905")</f>
        <v>0</v>
      </c>
      <c r="B1777" s="2">
        <v>42578.0776041667</v>
      </c>
      <c r="C1777">
        <v>42624</v>
      </c>
      <c r="D1777">
        <v>13138</v>
      </c>
      <c r="E1777" t="s">
        <v>1779</v>
      </c>
    </row>
    <row r="1778" spans="1:5">
      <c r="A1778">
        <f>HYPERLINK("http://www.twitter.com/realDonaldTrump/status/758071952498159616", "758071952498159616")</f>
        <v>0</v>
      </c>
      <c r="B1778" s="2">
        <v>42577.9515277778</v>
      </c>
      <c r="C1778">
        <v>37063</v>
      </c>
      <c r="D1778">
        <v>11807</v>
      </c>
      <c r="E1778" t="s">
        <v>1780</v>
      </c>
    </row>
    <row r="1779" spans="1:5">
      <c r="A1779">
        <f>HYPERLINK("http://www.twitter.com/realDonaldTrump/status/758071264128806912", "758071264128806912")</f>
        <v>0</v>
      </c>
      <c r="B1779" s="2">
        <v>42577.9496296296</v>
      </c>
      <c r="C1779">
        <v>33141</v>
      </c>
      <c r="D1779">
        <v>9857</v>
      </c>
      <c r="E1779" t="s">
        <v>1781</v>
      </c>
    </row>
    <row r="1780" spans="1:5">
      <c r="A1780">
        <f>HYPERLINK("http://www.twitter.com/realDonaldTrump/status/758026136299397120", "758026136299397120")</f>
        <v>0</v>
      </c>
      <c r="B1780" s="2">
        <v>42577.8250925926</v>
      </c>
      <c r="C1780">
        <v>36022</v>
      </c>
      <c r="D1780">
        <v>13749</v>
      </c>
      <c r="E1780" t="s">
        <v>1782</v>
      </c>
    </row>
    <row r="1781" spans="1:5">
      <c r="A1781">
        <f>HYPERLINK("http://www.twitter.com/realDonaldTrump/status/758021060503756804", "758021060503756804")</f>
        <v>0</v>
      </c>
      <c r="B1781" s="2">
        <v>42577.811087963</v>
      </c>
      <c r="C1781">
        <v>25405</v>
      </c>
      <c r="D1781">
        <v>7057</v>
      </c>
      <c r="E1781" t="s">
        <v>1783</v>
      </c>
    </row>
    <row r="1782" spans="1:5">
      <c r="A1782">
        <f>HYPERLINK("http://www.twitter.com/realDonaldTrump/status/758020997383684096", "758020997383684096")</f>
        <v>0</v>
      </c>
      <c r="B1782" s="2">
        <v>42577.8109143519</v>
      </c>
      <c r="C1782">
        <v>37104</v>
      </c>
      <c r="D1782">
        <v>12202</v>
      </c>
      <c r="E1782" t="s">
        <v>1784</v>
      </c>
    </row>
    <row r="1783" spans="1:5">
      <c r="A1783">
        <f>HYPERLINK("http://www.twitter.com/realDonaldTrump/status/758004154417553409", "758004154417553409")</f>
        <v>0</v>
      </c>
      <c r="B1783" s="2">
        <v>42577.7644444444</v>
      </c>
      <c r="C1783">
        <v>20569</v>
      </c>
      <c r="D1783">
        <v>6317</v>
      </c>
      <c r="E1783" t="s">
        <v>1785</v>
      </c>
    </row>
    <row r="1784" spans="1:5">
      <c r="A1784">
        <f>HYPERLINK("http://www.twitter.com/realDonaldTrump/status/757997327269306369", "757997327269306369")</f>
        <v>0</v>
      </c>
      <c r="B1784" s="2">
        <v>42577.7456018518</v>
      </c>
      <c r="C1784">
        <v>14109</v>
      </c>
      <c r="D1784">
        <v>4316</v>
      </c>
      <c r="E1784" t="s">
        <v>1786</v>
      </c>
    </row>
    <row r="1785" spans="1:5">
      <c r="A1785">
        <f>HYPERLINK("http://www.twitter.com/realDonaldTrump/status/757994830110658560", "757994830110658560")</f>
        <v>0</v>
      </c>
      <c r="B1785" s="2">
        <v>42577.7387152778</v>
      </c>
      <c r="C1785">
        <v>14342</v>
      </c>
      <c r="D1785">
        <v>4383</v>
      </c>
      <c r="E1785" t="s">
        <v>1787</v>
      </c>
    </row>
    <row r="1786" spans="1:5">
      <c r="A1786">
        <f>HYPERLINK("http://www.twitter.com/realDonaldTrump/status/757919034755076096", "757919034755076096")</f>
        <v>0</v>
      </c>
      <c r="B1786" s="2">
        <v>42577.5295486111</v>
      </c>
      <c r="C1786">
        <v>31398</v>
      </c>
      <c r="D1786">
        <v>8304</v>
      </c>
      <c r="E1786" t="s">
        <v>1788</v>
      </c>
    </row>
    <row r="1787" spans="1:5">
      <c r="A1787">
        <f>HYPERLINK("http://www.twitter.com/realDonaldTrump/status/757918002339778560", "757918002339778560")</f>
        <v>0</v>
      </c>
      <c r="B1787" s="2">
        <v>42577.5267013889</v>
      </c>
      <c r="C1787">
        <v>64270</v>
      </c>
      <c r="D1787">
        <v>19988</v>
      </c>
      <c r="E1787" t="s">
        <v>1789</v>
      </c>
    </row>
    <row r="1788" spans="1:5">
      <c r="A1788">
        <f>HYPERLINK("http://www.twitter.com/realDonaldTrump/status/757916962269704192", "757916962269704192")</f>
        <v>0</v>
      </c>
      <c r="B1788" s="2">
        <v>42577.5238310185</v>
      </c>
      <c r="C1788">
        <v>29238</v>
      </c>
      <c r="D1788">
        <v>7775</v>
      </c>
      <c r="E1788" t="s">
        <v>1790</v>
      </c>
    </row>
    <row r="1789" spans="1:5">
      <c r="A1789">
        <f>HYPERLINK("http://www.twitter.com/realDonaldTrump/status/757777369272815617", "757777369272815617")</f>
        <v>0</v>
      </c>
      <c r="B1789" s="2">
        <v>42577.1386342593</v>
      </c>
      <c r="C1789">
        <v>65535</v>
      </c>
      <c r="D1789">
        <v>22648</v>
      </c>
      <c r="E1789" t="s">
        <v>1791</v>
      </c>
    </row>
    <row r="1790" spans="1:5">
      <c r="A1790">
        <f>HYPERLINK("http://www.twitter.com/realDonaldTrump/status/757775689525309440", "757775689525309440")</f>
        <v>0</v>
      </c>
      <c r="B1790" s="2">
        <v>42577.1339930556</v>
      </c>
      <c r="C1790">
        <v>41876</v>
      </c>
      <c r="D1790">
        <v>11561</v>
      </c>
      <c r="E1790" t="s">
        <v>1792</v>
      </c>
    </row>
    <row r="1791" spans="1:5">
      <c r="A1791">
        <f>HYPERLINK("http://www.twitter.com/realDonaldTrump/status/757773671545044992", "757773671545044992")</f>
        <v>0</v>
      </c>
      <c r="B1791" s="2">
        <v>42577.1284259259</v>
      </c>
      <c r="C1791">
        <v>66808</v>
      </c>
      <c r="D1791">
        <v>23036</v>
      </c>
      <c r="E1791" t="s">
        <v>1793</v>
      </c>
    </row>
    <row r="1792" spans="1:5">
      <c r="A1792">
        <f>HYPERLINK("http://www.twitter.com/realDonaldTrump/status/757760973419712512", "757760973419712512")</f>
        <v>0</v>
      </c>
      <c r="B1792" s="2">
        <v>42577.0933912037</v>
      </c>
      <c r="C1792">
        <v>34737</v>
      </c>
      <c r="D1792">
        <v>10475</v>
      </c>
      <c r="E1792" t="s">
        <v>1794</v>
      </c>
    </row>
    <row r="1793" spans="1:5">
      <c r="A1793">
        <f>HYPERLINK("http://www.twitter.com/realDonaldTrump/status/757696233427312640", "757696233427312640")</f>
        <v>0</v>
      </c>
      <c r="B1793" s="2">
        <v>42576.9147453704</v>
      </c>
      <c r="C1793">
        <v>26121</v>
      </c>
      <c r="D1793">
        <v>8173</v>
      </c>
      <c r="E1793" t="s">
        <v>1795</v>
      </c>
    </row>
    <row r="1794" spans="1:5">
      <c r="A1794">
        <f>HYPERLINK("http://www.twitter.com/realDonaldTrump/status/757693383481626624", "757693383481626624")</f>
        <v>0</v>
      </c>
      <c r="B1794" s="2">
        <v>42576.906875</v>
      </c>
      <c r="C1794">
        <v>29918</v>
      </c>
      <c r="D1794">
        <v>8805</v>
      </c>
      <c r="E1794" t="s">
        <v>1796</v>
      </c>
    </row>
    <row r="1795" spans="1:5">
      <c r="A1795">
        <f>HYPERLINK("http://www.twitter.com/realDonaldTrump/status/757690343181737984", "757690343181737984")</f>
        <v>0</v>
      </c>
      <c r="B1795" s="2">
        <v>42576.8984837963</v>
      </c>
      <c r="C1795">
        <v>44004</v>
      </c>
      <c r="D1795">
        <v>14413</v>
      </c>
      <c r="E1795" t="s">
        <v>1797</v>
      </c>
    </row>
    <row r="1796" spans="1:5">
      <c r="A1796">
        <f>HYPERLINK("http://www.twitter.com/realDonaldTrump/status/757690132111777792", "757690132111777792")</f>
        <v>0</v>
      </c>
      <c r="B1796" s="2">
        <v>42576.8979050926</v>
      </c>
      <c r="C1796">
        <v>24156</v>
      </c>
      <c r="D1796">
        <v>8614</v>
      </c>
      <c r="E1796" t="s">
        <v>1798</v>
      </c>
    </row>
    <row r="1797" spans="1:5">
      <c r="A1797">
        <f>HYPERLINK("http://www.twitter.com/realDonaldTrump/status/757688331597668353", "757688331597668353")</f>
        <v>0</v>
      </c>
      <c r="B1797" s="2">
        <v>42576.8929398148</v>
      </c>
      <c r="C1797">
        <v>26447</v>
      </c>
      <c r="D1797">
        <v>8035</v>
      </c>
      <c r="E1797" t="s">
        <v>1799</v>
      </c>
    </row>
    <row r="1798" spans="1:5">
      <c r="A1798">
        <f>HYPERLINK("http://www.twitter.com/realDonaldTrump/status/757687988189065216", "757687988189065216")</f>
        <v>0</v>
      </c>
      <c r="B1798" s="2">
        <v>42576.8919907407</v>
      </c>
      <c r="C1798">
        <v>15768</v>
      </c>
      <c r="D1798">
        <v>4283</v>
      </c>
      <c r="E1798" t="s">
        <v>1800</v>
      </c>
    </row>
    <row r="1799" spans="1:5">
      <c r="A1799">
        <f>HYPERLINK("http://www.twitter.com/realDonaldTrump/status/757650904896139264", "757650904896139264")</f>
        <v>0</v>
      </c>
      <c r="B1799" s="2">
        <v>42576.7896527778</v>
      </c>
      <c r="C1799">
        <v>30335</v>
      </c>
      <c r="D1799">
        <v>10526</v>
      </c>
      <c r="E1799" t="s">
        <v>1801</v>
      </c>
    </row>
    <row r="1800" spans="1:5">
      <c r="A1800">
        <f>HYPERLINK("http://www.twitter.com/realDonaldTrump/status/757618048664829952", "757618048664829952")</f>
        <v>0</v>
      </c>
      <c r="B1800" s="2">
        <v>42576.6989930556</v>
      </c>
      <c r="C1800">
        <v>32876</v>
      </c>
      <c r="D1800">
        <v>13081</v>
      </c>
      <c r="E1800" t="s">
        <v>1802</v>
      </c>
    </row>
    <row r="1801" spans="1:5">
      <c r="A1801">
        <f>HYPERLINK("http://www.twitter.com/realDonaldTrump/status/757577508346888192", "757577508346888192")</f>
        <v>0</v>
      </c>
      <c r="B1801" s="2">
        <v>42576.5871180556</v>
      </c>
      <c r="C1801">
        <v>35163</v>
      </c>
      <c r="D1801">
        <v>10290</v>
      </c>
      <c r="E1801" t="s">
        <v>1803</v>
      </c>
    </row>
    <row r="1802" spans="1:5">
      <c r="A1802">
        <f>HYPERLINK("http://www.twitter.com/realDonaldTrump/status/757576490213146624", "757576490213146624")</f>
        <v>0</v>
      </c>
      <c r="B1802" s="2">
        <v>42576.5843171296</v>
      </c>
      <c r="C1802">
        <v>28953</v>
      </c>
      <c r="D1802">
        <v>7986</v>
      </c>
      <c r="E1802" t="s">
        <v>1804</v>
      </c>
    </row>
    <row r="1803" spans="1:5">
      <c r="A1803">
        <f>HYPERLINK("http://www.twitter.com/realDonaldTrump/status/757573051215147008", "757573051215147008")</f>
        <v>0</v>
      </c>
      <c r="B1803" s="2">
        <v>42576.5748263889</v>
      </c>
      <c r="C1803">
        <v>41139</v>
      </c>
      <c r="D1803">
        <v>11796</v>
      </c>
      <c r="E1803" t="s">
        <v>1805</v>
      </c>
    </row>
    <row r="1804" spans="1:5">
      <c r="A1804">
        <f>HYPERLINK("http://www.twitter.com/realDonaldTrump/status/757571837463240704", "757571837463240704")</f>
        <v>0</v>
      </c>
      <c r="B1804" s="2">
        <v>42576.5714699074</v>
      </c>
      <c r="C1804">
        <v>29844</v>
      </c>
      <c r="D1804">
        <v>9361</v>
      </c>
      <c r="E1804" t="s">
        <v>1806</v>
      </c>
    </row>
    <row r="1805" spans="1:5">
      <c r="A1805">
        <f>HYPERLINK("http://www.twitter.com/realDonaldTrump/status/757565892146454532", "757565892146454532")</f>
        <v>0</v>
      </c>
      <c r="B1805" s="2">
        <v>42576.5550694444</v>
      </c>
      <c r="C1805">
        <v>27244</v>
      </c>
      <c r="D1805">
        <v>9023</v>
      </c>
      <c r="E1805" t="s">
        <v>1807</v>
      </c>
    </row>
    <row r="1806" spans="1:5">
      <c r="A1806">
        <f>HYPERLINK("http://www.twitter.com/realDonaldTrump/status/757552876348645377", "757552876348645377")</f>
        <v>0</v>
      </c>
      <c r="B1806" s="2">
        <v>42576.5191550926</v>
      </c>
      <c r="C1806">
        <v>19844</v>
      </c>
      <c r="D1806">
        <v>5292</v>
      </c>
      <c r="E1806" t="s">
        <v>1808</v>
      </c>
    </row>
    <row r="1807" spans="1:5">
      <c r="A1807">
        <f>HYPERLINK("http://www.twitter.com/realDonaldTrump/status/757552713873891328", "757552713873891328")</f>
        <v>0</v>
      </c>
      <c r="B1807" s="2">
        <v>42576.5187037037</v>
      </c>
      <c r="C1807">
        <v>49622</v>
      </c>
      <c r="D1807">
        <v>17102</v>
      </c>
      <c r="E1807" t="s">
        <v>1809</v>
      </c>
    </row>
    <row r="1808" spans="1:5">
      <c r="A1808">
        <f>HYPERLINK("http://www.twitter.com/realDonaldTrump/status/757546442240167936", "757546442240167936")</f>
        <v>0</v>
      </c>
      <c r="B1808" s="2">
        <v>42576.501400463</v>
      </c>
      <c r="C1808">
        <v>26085</v>
      </c>
      <c r="D1808">
        <v>7495</v>
      </c>
      <c r="E1808" t="s">
        <v>1810</v>
      </c>
    </row>
    <row r="1809" spans="1:5">
      <c r="A1809">
        <f>HYPERLINK("http://www.twitter.com/realDonaldTrump/status/757545252026712064", "757545252026712064")</f>
        <v>0</v>
      </c>
      <c r="B1809" s="2">
        <v>42576.4981134259</v>
      </c>
      <c r="C1809">
        <v>23936</v>
      </c>
      <c r="D1809">
        <v>7010</v>
      </c>
      <c r="E1809" t="s">
        <v>1811</v>
      </c>
    </row>
    <row r="1810" spans="1:5">
      <c r="A1810">
        <f>HYPERLINK("http://www.twitter.com/realDonaldTrump/status/757538729170964481", "757538729170964481")</f>
        <v>0</v>
      </c>
      <c r="B1810" s="2">
        <v>42576.4801157407</v>
      </c>
      <c r="C1810">
        <v>31989</v>
      </c>
      <c r="D1810">
        <v>10085</v>
      </c>
      <c r="E1810" t="s">
        <v>1812</v>
      </c>
    </row>
    <row r="1811" spans="1:5">
      <c r="A1811">
        <f>HYPERLINK("http://www.twitter.com/realDonaldTrump/status/757364534873128960", "757364534873128960")</f>
        <v>0</v>
      </c>
      <c r="B1811" s="2">
        <v>42575.9994212963</v>
      </c>
      <c r="C1811">
        <v>32669</v>
      </c>
      <c r="D1811">
        <v>9910</v>
      </c>
      <c r="E1811" t="s">
        <v>1813</v>
      </c>
    </row>
    <row r="1812" spans="1:5">
      <c r="A1812">
        <f>HYPERLINK("http://www.twitter.com/realDonaldTrump/status/757361504895246336", "757361504895246336")</f>
        <v>0</v>
      </c>
      <c r="B1812" s="2">
        <v>42575.9910648148</v>
      </c>
      <c r="C1812">
        <v>29063</v>
      </c>
      <c r="D1812">
        <v>5924</v>
      </c>
      <c r="E1812" t="s">
        <v>1814</v>
      </c>
    </row>
    <row r="1813" spans="1:5">
      <c r="A1813">
        <f>HYPERLINK("http://www.twitter.com/realDonaldTrump/status/757343025983057922", "757343025983057922")</f>
        <v>0</v>
      </c>
      <c r="B1813" s="2">
        <v>42575.9400694444</v>
      </c>
      <c r="C1813">
        <v>29959</v>
      </c>
      <c r="D1813">
        <v>9398</v>
      </c>
      <c r="E1813" t="s">
        <v>1815</v>
      </c>
    </row>
    <row r="1814" spans="1:5">
      <c r="A1814">
        <f>HYPERLINK("http://www.twitter.com/realDonaldTrump/status/757338816487235584", "757338816487235584")</f>
        <v>0</v>
      </c>
      <c r="B1814" s="2">
        <v>42575.9284606481</v>
      </c>
      <c r="C1814">
        <v>34570</v>
      </c>
      <c r="D1814">
        <v>12975</v>
      </c>
      <c r="E1814" t="s">
        <v>1816</v>
      </c>
    </row>
    <row r="1815" spans="1:5">
      <c r="A1815">
        <f>HYPERLINK("http://www.twitter.com/realDonaldTrump/status/757336511436075008", "757336511436075008")</f>
        <v>0</v>
      </c>
      <c r="B1815" s="2">
        <v>42575.9220949074</v>
      </c>
      <c r="C1815">
        <v>27881</v>
      </c>
      <c r="D1815">
        <v>8012</v>
      </c>
      <c r="E1815" t="s">
        <v>1817</v>
      </c>
    </row>
    <row r="1816" spans="1:5">
      <c r="A1816">
        <f>HYPERLINK("http://www.twitter.com/realDonaldTrump/status/757335224397225984", "757335224397225984")</f>
        <v>0</v>
      </c>
      <c r="B1816" s="2">
        <v>42575.9185416667</v>
      </c>
      <c r="C1816">
        <v>19547</v>
      </c>
      <c r="D1816">
        <v>5450</v>
      </c>
      <c r="E1816" t="s">
        <v>1818</v>
      </c>
    </row>
    <row r="1817" spans="1:5">
      <c r="A1817">
        <f>HYPERLINK("http://www.twitter.com/realDonaldTrump/status/757332905047752704", "757332905047752704")</f>
        <v>0</v>
      </c>
      <c r="B1817" s="2">
        <v>42575.9121412037</v>
      </c>
      <c r="C1817">
        <v>32002</v>
      </c>
      <c r="D1817">
        <v>11198</v>
      </c>
      <c r="E1817" t="s">
        <v>1819</v>
      </c>
    </row>
    <row r="1818" spans="1:5">
      <c r="A1818">
        <f>HYPERLINK("http://www.twitter.com/realDonaldTrump/status/757315800466272256", "757315800466272256")</f>
        <v>0</v>
      </c>
      <c r="B1818" s="2">
        <v>42575.8649421296</v>
      </c>
      <c r="C1818">
        <v>30469</v>
      </c>
      <c r="D1818">
        <v>9273</v>
      </c>
      <c r="E1818" t="s">
        <v>1820</v>
      </c>
    </row>
    <row r="1819" spans="1:5">
      <c r="A1819">
        <f>HYPERLINK("http://www.twitter.com/realDonaldTrump/status/757311921095925760", "757311921095925760")</f>
        <v>0</v>
      </c>
      <c r="B1819" s="2">
        <v>42575.8542361111</v>
      </c>
      <c r="C1819">
        <v>24673</v>
      </c>
      <c r="D1819">
        <v>7374</v>
      </c>
      <c r="E1819" t="s">
        <v>1821</v>
      </c>
    </row>
    <row r="1820" spans="1:5">
      <c r="A1820">
        <f>HYPERLINK("http://www.twitter.com/realDonaldTrump/status/757309616254545920", "757309616254545920")</f>
        <v>0</v>
      </c>
      <c r="B1820" s="2">
        <v>42575.8478819444</v>
      </c>
      <c r="C1820">
        <v>23963</v>
      </c>
      <c r="D1820">
        <v>6986</v>
      </c>
      <c r="E1820" t="s">
        <v>1822</v>
      </c>
    </row>
    <row r="1821" spans="1:5">
      <c r="A1821">
        <f>HYPERLINK("http://www.twitter.com/realDonaldTrump/status/757206444148158464", "757206444148158464")</f>
        <v>0</v>
      </c>
      <c r="B1821" s="2">
        <v>42575.5631828704</v>
      </c>
      <c r="C1821">
        <v>28680</v>
      </c>
      <c r="D1821">
        <v>9438</v>
      </c>
      <c r="E1821" t="s">
        <v>1823</v>
      </c>
    </row>
    <row r="1822" spans="1:5">
      <c r="A1822">
        <f>HYPERLINK("http://www.twitter.com/realDonaldTrump/status/757205678821928960", "757205678821928960")</f>
        <v>0</v>
      </c>
      <c r="B1822" s="2">
        <v>42575.5610648148</v>
      </c>
      <c r="C1822">
        <v>26901</v>
      </c>
      <c r="D1822">
        <v>8967</v>
      </c>
      <c r="E1822" t="s">
        <v>1824</v>
      </c>
    </row>
    <row r="1823" spans="1:5">
      <c r="A1823">
        <f>HYPERLINK("http://www.twitter.com/realDonaldTrump/status/757191160481873920", "757191160481873920")</f>
        <v>0</v>
      </c>
      <c r="B1823" s="2">
        <v>42575.5210069444</v>
      </c>
      <c r="C1823">
        <v>28665</v>
      </c>
      <c r="D1823">
        <v>10831</v>
      </c>
      <c r="E1823" t="s">
        <v>1825</v>
      </c>
    </row>
    <row r="1824" spans="1:5">
      <c r="A1824">
        <f>HYPERLINK("http://www.twitter.com/realDonaldTrump/status/757187537681154048", "757187537681154048")</f>
        <v>0</v>
      </c>
      <c r="B1824" s="2">
        <v>42575.5110069444</v>
      </c>
      <c r="C1824">
        <v>21196</v>
      </c>
      <c r="D1824">
        <v>6571</v>
      </c>
      <c r="E1824" t="s">
        <v>1826</v>
      </c>
    </row>
    <row r="1825" spans="1:5">
      <c r="A1825">
        <f>HYPERLINK("http://www.twitter.com/realDonaldTrump/status/757182723089895424", "757182723089895424")</f>
        <v>0</v>
      </c>
      <c r="B1825" s="2">
        <v>42575.4977199074</v>
      </c>
      <c r="C1825">
        <v>87111</v>
      </c>
      <c r="D1825">
        <v>33486</v>
      </c>
      <c r="E1825" t="s">
        <v>1827</v>
      </c>
    </row>
    <row r="1826" spans="1:5">
      <c r="A1826">
        <f>HYPERLINK("http://www.twitter.com/realDonaldTrump/status/757174767547977728", "757174767547977728")</f>
        <v>0</v>
      </c>
      <c r="B1826" s="2">
        <v>42575.4757638889</v>
      </c>
      <c r="C1826">
        <v>19579</v>
      </c>
      <c r="D1826">
        <v>5612</v>
      </c>
      <c r="E1826" t="s">
        <v>1828</v>
      </c>
    </row>
    <row r="1827" spans="1:5">
      <c r="A1827">
        <f>HYPERLINK("http://www.twitter.com/realDonaldTrump/status/757172536882913280", "757172536882913280")</f>
        <v>0</v>
      </c>
      <c r="B1827" s="2">
        <v>42575.4696180556</v>
      </c>
      <c r="C1827">
        <v>23609</v>
      </c>
      <c r="D1827">
        <v>6649</v>
      </c>
      <c r="E1827" t="s">
        <v>1829</v>
      </c>
    </row>
    <row r="1828" spans="1:5">
      <c r="A1828">
        <f>HYPERLINK("http://www.twitter.com/realDonaldTrump/status/757012114460569604", "757012114460569604")</f>
        <v>0</v>
      </c>
      <c r="B1828" s="2">
        <v>42575.0269328704</v>
      </c>
      <c r="C1828">
        <v>23355</v>
      </c>
      <c r="D1828">
        <v>8055</v>
      </c>
      <c r="E1828" t="s">
        <v>1830</v>
      </c>
    </row>
    <row r="1829" spans="1:5">
      <c r="A1829">
        <f>HYPERLINK("http://www.twitter.com/realDonaldTrump/status/756975589110779904", "756975589110779904")</f>
        <v>0</v>
      </c>
      <c r="B1829" s="2">
        <v>42574.9261458333</v>
      </c>
      <c r="C1829">
        <v>15570</v>
      </c>
      <c r="D1829">
        <v>6213</v>
      </c>
      <c r="E1829" t="s">
        <v>1831</v>
      </c>
    </row>
    <row r="1830" spans="1:5">
      <c r="A1830">
        <f>HYPERLINK("http://www.twitter.com/realDonaldTrump/status/756974970312462336", "756974970312462336")</f>
        <v>0</v>
      </c>
      <c r="B1830" s="2">
        <v>42574.9244328704</v>
      </c>
      <c r="C1830">
        <v>12484</v>
      </c>
      <c r="D1830">
        <v>5859</v>
      </c>
      <c r="E1830" t="s">
        <v>1832</v>
      </c>
    </row>
    <row r="1831" spans="1:5">
      <c r="A1831">
        <f>HYPERLINK("http://www.twitter.com/realDonaldTrump/status/756973646216884225", "756973646216884225")</f>
        <v>0</v>
      </c>
      <c r="B1831" s="2">
        <v>42574.920775463</v>
      </c>
      <c r="C1831">
        <v>32302</v>
      </c>
      <c r="D1831">
        <v>6788</v>
      </c>
      <c r="E1831" t="s">
        <v>1833</v>
      </c>
    </row>
    <row r="1832" spans="1:5">
      <c r="A1832">
        <f>HYPERLINK("http://www.twitter.com/realDonaldTrump/status/756962332228612096", "756962332228612096")</f>
        <v>0</v>
      </c>
      <c r="B1832" s="2">
        <v>42574.8895601852</v>
      </c>
      <c r="C1832">
        <v>36080</v>
      </c>
      <c r="D1832">
        <v>14499</v>
      </c>
      <c r="E1832" t="s">
        <v>1834</v>
      </c>
    </row>
    <row r="1833" spans="1:5">
      <c r="A1833">
        <f>HYPERLINK("http://www.twitter.com/realDonaldTrump/status/756952917152784384", "756952917152784384")</f>
        <v>0</v>
      </c>
      <c r="B1833" s="2">
        <v>42574.8635763889</v>
      </c>
      <c r="C1833">
        <v>31521</v>
      </c>
      <c r="D1833">
        <v>9421</v>
      </c>
      <c r="E1833" t="s">
        <v>1835</v>
      </c>
    </row>
    <row r="1834" spans="1:5">
      <c r="A1834">
        <f>HYPERLINK("http://www.twitter.com/realDonaldTrump/status/756883131685273605", "756883131685273605")</f>
        <v>0</v>
      </c>
      <c r="B1834" s="2">
        <v>42574.6710069444</v>
      </c>
      <c r="C1834">
        <v>34317</v>
      </c>
      <c r="D1834">
        <v>10188</v>
      </c>
      <c r="E1834" t="s">
        <v>1836</v>
      </c>
    </row>
    <row r="1835" spans="1:5">
      <c r="A1835">
        <f>HYPERLINK("http://www.twitter.com/realDonaldTrump/status/756875689924694016", "756875689924694016")</f>
        <v>0</v>
      </c>
      <c r="B1835" s="2">
        <v>42574.650474537</v>
      </c>
      <c r="C1835">
        <v>21777</v>
      </c>
      <c r="D1835">
        <v>7976</v>
      </c>
      <c r="E1835" t="s">
        <v>1837</v>
      </c>
    </row>
    <row r="1836" spans="1:5">
      <c r="A1836">
        <f>HYPERLINK("http://www.twitter.com/realDonaldTrump/status/756866912848584704", "756866912848584704")</f>
        <v>0</v>
      </c>
      <c r="B1836" s="2">
        <v>42574.62625</v>
      </c>
      <c r="C1836">
        <v>30233</v>
      </c>
      <c r="D1836">
        <v>9319</v>
      </c>
      <c r="E1836" t="s">
        <v>1838</v>
      </c>
    </row>
    <row r="1837" spans="1:5">
      <c r="A1837">
        <f>HYPERLINK("http://www.twitter.com/realDonaldTrump/status/756864330054893568", "756864330054893568")</f>
        <v>0</v>
      </c>
      <c r="B1837" s="2">
        <v>42574.6191203704</v>
      </c>
      <c r="C1837">
        <v>26301</v>
      </c>
      <c r="D1837">
        <v>8939</v>
      </c>
      <c r="E1837" t="s">
        <v>1839</v>
      </c>
    </row>
    <row r="1838" spans="1:5">
      <c r="A1838">
        <f>HYPERLINK("http://www.twitter.com/realDonaldTrump/status/756804886038192128", "756804886038192128")</f>
        <v>0</v>
      </c>
      <c r="B1838" s="2">
        <v>42574.4550925926</v>
      </c>
      <c r="C1838">
        <v>52392</v>
      </c>
      <c r="D1838">
        <v>23597</v>
      </c>
      <c r="E1838" t="s">
        <v>1840</v>
      </c>
    </row>
    <row r="1839" spans="1:5">
      <c r="A1839">
        <f>HYPERLINK("http://www.twitter.com/realDonaldTrump/status/756801575193042944", "756801575193042944")</f>
        <v>0</v>
      </c>
      <c r="B1839" s="2">
        <v>42574.4459490741</v>
      </c>
      <c r="C1839">
        <v>27278</v>
      </c>
      <c r="D1839">
        <v>8253</v>
      </c>
      <c r="E1839" t="s">
        <v>1841</v>
      </c>
    </row>
    <row r="1840" spans="1:5">
      <c r="A1840">
        <f>HYPERLINK("http://www.twitter.com/realDonaldTrump/status/756799923648102400", "756799923648102400")</f>
        <v>0</v>
      </c>
      <c r="B1840" s="2">
        <v>42574.441400463</v>
      </c>
      <c r="C1840">
        <v>26607</v>
      </c>
      <c r="D1840">
        <v>9887</v>
      </c>
      <c r="E1840" t="s">
        <v>1842</v>
      </c>
    </row>
    <row r="1841" spans="1:5">
      <c r="A1841">
        <f>HYPERLINK("http://www.twitter.com/realDonaldTrump/status/756798838900396032", "756798838900396032")</f>
        <v>0</v>
      </c>
      <c r="B1841" s="2">
        <v>42574.4384027778</v>
      </c>
      <c r="C1841">
        <v>23733</v>
      </c>
      <c r="D1841">
        <v>7380</v>
      </c>
      <c r="E1841" t="s">
        <v>1843</v>
      </c>
    </row>
    <row r="1842" spans="1:5">
      <c r="A1842">
        <f>HYPERLINK("http://www.twitter.com/realDonaldTrump/status/756699517534212100", "756699517534212100")</f>
        <v>0</v>
      </c>
      <c r="B1842" s="2">
        <v>42574.1643287037</v>
      </c>
      <c r="C1842">
        <v>14883</v>
      </c>
      <c r="D1842">
        <v>4201</v>
      </c>
      <c r="E1842" t="s">
        <v>1844</v>
      </c>
    </row>
    <row r="1843" spans="1:5">
      <c r="A1843">
        <f>HYPERLINK("http://www.twitter.com/realDonaldTrump/status/756697615509688320", "756697615509688320")</f>
        <v>0</v>
      </c>
      <c r="B1843" s="2">
        <v>42574.1590740741</v>
      </c>
      <c r="C1843">
        <v>21738</v>
      </c>
      <c r="D1843">
        <v>8226</v>
      </c>
      <c r="E1843" t="s">
        <v>1845</v>
      </c>
    </row>
    <row r="1844" spans="1:5">
      <c r="A1844">
        <f>HYPERLINK("http://www.twitter.com/realDonaldTrump/status/756691116464959488", "756691116464959488")</f>
        <v>0</v>
      </c>
      <c r="B1844" s="2">
        <v>42574.1411458333</v>
      </c>
      <c r="C1844">
        <v>30086</v>
      </c>
      <c r="D1844">
        <v>12780</v>
      </c>
      <c r="E1844" t="s">
        <v>1846</v>
      </c>
    </row>
    <row r="1845" spans="1:5">
      <c r="A1845">
        <f>HYPERLINK("http://www.twitter.com/realDonaldTrump/status/756625700539465728", "756625700539465728")</f>
        <v>0</v>
      </c>
      <c r="B1845" s="2">
        <v>42573.9606365741</v>
      </c>
      <c r="C1845">
        <v>39205</v>
      </c>
      <c r="D1845">
        <v>10946</v>
      </c>
      <c r="E1845" t="s">
        <v>1847</v>
      </c>
    </row>
    <row r="1846" spans="1:5">
      <c r="A1846">
        <f>HYPERLINK("http://www.twitter.com/realDonaldTrump/status/756490485116575744", "756490485116575744")</f>
        <v>0</v>
      </c>
      <c r="B1846" s="2">
        <v>42573.5875115741</v>
      </c>
      <c r="C1846">
        <v>25231</v>
      </c>
      <c r="D1846">
        <v>5586</v>
      </c>
      <c r="E1846" t="s">
        <v>1848</v>
      </c>
    </row>
    <row r="1847" spans="1:5">
      <c r="A1847">
        <f>HYPERLINK("http://www.twitter.com/realDonaldTrump/status/756477153986895872", "756477153986895872")</f>
        <v>0</v>
      </c>
      <c r="B1847" s="2">
        <v>42573.5507175926</v>
      </c>
      <c r="C1847">
        <v>27560</v>
      </c>
      <c r="D1847">
        <v>5885</v>
      </c>
      <c r="E1847" t="s">
        <v>1849</v>
      </c>
    </row>
    <row r="1848" spans="1:5">
      <c r="A1848">
        <f>HYPERLINK("http://www.twitter.com/realDonaldTrump/status/756475847004057601", "756475847004057601")</f>
        <v>0</v>
      </c>
      <c r="B1848" s="2">
        <v>42573.5471180556</v>
      </c>
      <c r="C1848">
        <v>39612</v>
      </c>
      <c r="D1848">
        <v>8443</v>
      </c>
      <c r="E1848" t="s">
        <v>1850</v>
      </c>
    </row>
    <row r="1849" spans="1:5">
      <c r="A1849">
        <f>HYPERLINK("http://www.twitter.com/realDonaldTrump/status/756355884956127232", "756355884956127232")</f>
        <v>0</v>
      </c>
      <c r="B1849" s="2">
        <v>42573.216087963</v>
      </c>
      <c r="C1849">
        <v>30334</v>
      </c>
      <c r="D1849">
        <v>9906</v>
      </c>
      <c r="E1849" t="s">
        <v>1851</v>
      </c>
    </row>
    <row r="1850" spans="1:5">
      <c r="A1850">
        <f>HYPERLINK("http://www.twitter.com/realDonaldTrump/status/756338260230623232", "756338260230623232")</f>
        <v>0</v>
      </c>
      <c r="B1850" s="2">
        <v>42573.1674421296</v>
      </c>
      <c r="C1850">
        <v>50868</v>
      </c>
      <c r="D1850">
        <v>14938</v>
      </c>
      <c r="E1850" t="s">
        <v>1852</v>
      </c>
    </row>
    <row r="1851" spans="1:5">
      <c r="A1851">
        <f>HYPERLINK("http://www.twitter.com/realDonaldTrump/status/756308357804335106", "756308357804335106")</f>
        <v>0</v>
      </c>
      <c r="B1851" s="2">
        <v>42573.0849305556</v>
      </c>
      <c r="C1851">
        <v>12703</v>
      </c>
      <c r="D1851">
        <v>3720</v>
      </c>
      <c r="E1851" t="s">
        <v>1853</v>
      </c>
    </row>
    <row r="1852" spans="1:5">
      <c r="A1852">
        <f>HYPERLINK("http://www.twitter.com/realDonaldTrump/status/756216362784161792", "756216362784161792")</f>
        <v>0</v>
      </c>
      <c r="B1852" s="2">
        <v>42572.8310763889</v>
      </c>
      <c r="C1852">
        <v>24844</v>
      </c>
      <c r="D1852">
        <v>7946</v>
      </c>
      <c r="E1852" t="s">
        <v>1854</v>
      </c>
    </row>
    <row r="1853" spans="1:5">
      <c r="A1853">
        <f>HYPERLINK("http://www.twitter.com/realDonaldTrump/status/756171983407243264", "756171983407243264")</f>
        <v>0</v>
      </c>
      <c r="B1853" s="2">
        <v>42572.7086111111</v>
      </c>
      <c r="C1853">
        <v>22103</v>
      </c>
      <c r="D1853">
        <v>6241</v>
      </c>
      <c r="E1853" t="s">
        <v>1855</v>
      </c>
    </row>
    <row r="1854" spans="1:5">
      <c r="A1854">
        <f>HYPERLINK("http://www.twitter.com/realDonaldTrump/status/756140881862766594", "756140881862766594")</f>
        <v>0</v>
      </c>
      <c r="B1854" s="2">
        <v>42572.6227893519</v>
      </c>
      <c r="C1854">
        <v>23221</v>
      </c>
      <c r="D1854">
        <v>6429</v>
      </c>
      <c r="E1854" t="s">
        <v>1856</v>
      </c>
    </row>
    <row r="1855" spans="1:5">
      <c r="A1855">
        <f>HYPERLINK("http://www.twitter.com/realDonaldTrump/status/756138994728071168", "756138994728071168")</f>
        <v>0</v>
      </c>
      <c r="B1855" s="2">
        <v>42572.6175810185</v>
      </c>
      <c r="C1855">
        <v>37574</v>
      </c>
      <c r="D1855">
        <v>9291</v>
      </c>
      <c r="E1855" t="s">
        <v>1857</v>
      </c>
    </row>
    <row r="1856" spans="1:5">
      <c r="A1856">
        <f>HYPERLINK("http://www.twitter.com/realDonaldTrump/status/756129793054220288", "756129793054220288")</f>
        <v>0</v>
      </c>
      <c r="B1856" s="2">
        <v>42572.5921875</v>
      </c>
      <c r="C1856">
        <v>31942</v>
      </c>
      <c r="D1856">
        <v>10530</v>
      </c>
      <c r="E1856" t="s">
        <v>1858</v>
      </c>
    </row>
    <row r="1857" spans="1:5">
      <c r="A1857">
        <f>HYPERLINK("http://www.twitter.com/realDonaldTrump/status/756105919470116864", "756105919470116864")</f>
        <v>0</v>
      </c>
      <c r="B1857" s="2">
        <v>42572.5263078704</v>
      </c>
      <c r="C1857">
        <v>42780</v>
      </c>
      <c r="D1857">
        <v>8039</v>
      </c>
      <c r="E1857" t="s">
        <v>1859</v>
      </c>
    </row>
    <row r="1858" spans="1:5">
      <c r="A1858">
        <f>HYPERLINK("http://www.twitter.com/realDonaldTrump/status/755983654728245248", "755983654728245248")</f>
        <v>0</v>
      </c>
      <c r="B1858" s="2">
        <v>42572.1889236111</v>
      </c>
      <c r="C1858">
        <v>25615</v>
      </c>
      <c r="D1858">
        <v>6971</v>
      </c>
      <c r="E1858" t="s">
        <v>1860</v>
      </c>
    </row>
    <row r="1859" spans="1:5">
      <c r="A1859">
        <f>HYPERLINK("http://www.twitter.com/realDonaldTrump/status/755975695940001792", "755975695940001792")</f>
        <v>0</v>
      </c>
      <c r="B1859" s="2">
        <v>42572.1669560185</v>
      </c>
      <c r="C1859">
        <v>25068</v>
      </c>
      <c r="D1859">
        <v>8588</v>
      </c>
      <c r="E1859" t="s">
        <v>1861</v>
      </c>
    </row>
    <row r="1860" spans="1:5">
      <c r="A1860">
        <f>HYPERLINK("http://www.twitter.com/realDonaldTrump/status/755974701172817920", "755974701172817920")</f>
        <v>0</v>
      </c>
      <c r="B1860" s="2">
        <v>42572.164212963</v>
      </c>
      <c r="C1860">
        <v>21690</v>
      </c>
      <c r="D1860">
        <v>4131</v>
      </c>
      <c r="E1860" t="s">
        <v>1862</v>
      </c>
    </row>
    <row r="1861" spans="1:5">
      <c r="A1861">
        <f>HYPERLINK("http://www.twitter.com/realDonaldTrump/status/755973944054681600", "755973944054681600")</f>
        <v>0</v>
      </c>
      <c r="B1861" s="2">
        <v>42572.1621296296</v>
      </c>
      <c r="C1861">
        <v>27830</v>
      </c>
      <c r="D1861">
        <v>6008</v>
      </c>
      <c r="E1861" t="s">
        <v>1863</v>
      </c>
    </row>
    <row r="1862" spans="1:5">
      <c r="A1862">
        <f>HYPERLINK("http://www.twitter.com/realDonaldTrump/status/755972980069376000", "755972980069376000")</f>
        <v>0</v>
      </c>
      <c r="B1862" s="2">
        <v>42572.1594675926</v>
      </c>
      <c r="C1862">
        <v>25551</v>
      </c>
      <c r="D1862">
        <v>7082</v>
      </c>
      <c r="E1862" t="s">
        <v>1864</v>
      </c>
    </row>
    <row r="1863" spans="1:5">
      <c r="A1863">
        <f>HYPERLINK("http://www.twitter.com/realDonaldTrump/status/755972015249645568", "755972015249645568")</f>
        <v>0</v>
      </c>
      <c r="B1863" s="2">
        <v>42572.1568055556</v>
      </c>
      <c r="C1863">
        <v>69583</v>
      </c>
      <c r="D1863">
        <v>20695</v>
      </c>
      <c r="E1863" t="s">
        <v>1865</v>
      </c>
    </row>
    <row r="1864" spans="1:5">
      <c r="A1864">
        <f>HYPERLINK("http://www.twitter.com/realDonaldTrump/status/755954295728541696", "755954295728541696")</f>
        <v>0</v>
      </c>
      <c r="B1864" s="2">
        <v>42572.1079050926</v>
      </c>
      <c r="C1864">
        <v>39283</v>
      </c>
      <c r="D1864">
        <v>12029</v>
      </c>
      <c r="E1864" t="s">
        <v>1866</v>
      </c>
    </row>
    <row r="1865" spans="1:5">
      <c r="A1865">
        <f>HYPERLINK("http://www.twitter.com/realDonaldTrump/status/755944618802286592", "755944618802286592")</f>
        <v>0</v>
      </c>
      <c r="B1865" s="2">
        <v>42572.0812037037</v>
      </c>
      <c r="C1865">
        <v>19233</v>
      </c>
      <c r="D1865">
        <v>6148</v>
      </c>
      <c r="E1865" t="s">
        <v>1867</v>
      </c>
    </row>
    <row r="1866" spans="1:5">
      <c r="A1866">
        <f>HYPERLINK("http://www.twitter.com/realDonaldTrump/status/755936439993589761", "755936439993589761")</f>
        <v>0</v>
      </c>
      <c r="B1866" s="2">
        <v>42572.0586342593</v>
      </c>
      <c r="C1866">
        <v>19334</v>
      </c>
      <c r="D1866">
        <v>4313</v>
      </c>
      <c r="E1866" t="s">
        <v>1868</v>
      </c>
    </row>
    <row r="1867" spans="1:5">
      <c r="A1867">
        <f>HYPERLINK("http://www.twitter.com/realDonaldTrump/status/755932444310724608", "755932444310724608")</f>
        <v>0</v>
      </c>
      <c r="B1867" s="2">
        <v>42572.0476041667</v>
      </c>
      <c r="C1867">
        <v>27429</v>
      </c>
      <c r="D1867">
        <v>9749</v>
      </c>
      <c r="E1867" t="s">
        <v>1869</v>
      </c>
    </row>
    <row r="1868" spans="1:5">
      <c r="A1868">
        <f>HYPERLINK("http://www.twitter.com/realDonaldTrump/status/755927861878460417", "755927861878460417")</f>
        <v>0</v>
      </c>
      <c r="B1868" s="2">
        <v>42572.0349652778</v>
      </c>
      <c r="C1868">
        <v>12834</v>
      </c>
      <c r="D1868">
        <v>4774</v>
      </c>
      <c r="E1868" t="s">
        <v>1870</v>
      </c>
    </row>
    <row r="1869" spans="1:5">
      <c r="A1869">
        <f>HYPERLINK("http://www.twitter.com/realDonaldTrump/status/755912497643806720", "755912497643806720")</f>
        <v>0</v>
      </c>
      <c r="B1869" s="2">
        <v>42571.9925694444</v>
      </c>
      <c r="C1869">
        <v>12377</v>
      </c>
      <c r="D1869">
        <v>2769</v>
      </c>
      <c r="E1869" t="s">
        <v>1871</v>
      </c>
    </row>
    <row r="1870" spans="1:5">
      <c r="A1870">
        <f>HYPERLINK("http://www.twitter.com/realDonaldTrump/status/755836720197795840", "755836720197795840")</f>
        <v>0</v>
      </c>
      <c r="B1870" s="2">
        <v>42571.7834606481</v>
      </c>
      <c r="C1870">
        <v>19657</v>
      </c>
      <c r="D1870">
        <v>4939</v>
      </c>
      <c r="E1870" t="s">
        <v>1872</v>
      </c>
    </row>
    <row r="1871" spans="1:5">
      <c r="A1871">
        <f>HYPERLINK("http://www.twitter.com/realDonaldTrump/status/755810077307727872", "755810077307727872")</f>
        <v>0</v>
      </c>
      <c r="B1871" s="2">
        <v>42571.7099421296</v>
      </c>
      <c r="C1871">
        <v>18719</v>
      </c>
      <c r="D1871">
        <v>6384</v>
      </c>
      <c r="E1871" t="s">
        <v>1873</v>
      </c>
    </row>
    <row r="1872" spans="1:5">
      <c r="A1872">
        <f>HYPERLINK("http://www.twitter.com/realDonaldTrump/status/755788382618390529", "755788382618390529")</f>
        <v>0</v>
      </c>
      <c r="B1872" s="2">
        <v>42571.6500694444</v>
      </c>
      <c r="C1872">
        <v>246611</v>
      </c>
      <c r="D1872">
        <v>118908</v>
      </c>
      <c r="E1872" t="s">
        <v>1874</v>
      </c>
    </row>
    <row r="1873" spans="1:5">
      <c r="A1873">
        <f>HYPERLINK("http://www.twitter.com/realDonaldTrump/status/755787159735570432", "755787159735570432")</f>
        <v>0</v>
      </c>
      <c r="B1873" s="2">
        <v>42571.6467013889</v>
      </c>
      <c r="C1873">
        <v>50469</v>
      </c>
      <c r="D1873">
        <v>12967</v>
      </c>
      <c r="E1873" t="s">
        <v>1875</v>
      </c>
    </row>
    <row r="1874" spans="1:5">
      <c r="A1874">
        <f>HYPERLINK("http://www.twitter.com/realDonaldTrump/status/755747074939949056", "755747074939949056")</f>
        <v>0</v>
      </c>
      <c r="B1874" s="2">
        <v>42571.536087963</v>
      </c>
      <c r="C1874">
        <v>24712</v>
      </c>
      <c r="D1874">
        <v>5735</v>
      </c>
      <c r="E1874" t="s">
        <v>1876</v>
      </c>
    </row>
    <row r="1875" spans="1:5">
      <c r="A1875">
        <f>HYPERLINK("http://www.twitter.com/realDonaldTrump/status/755746062204280833", "755746062204280833")</f>
        <v>0</v>
      </c>
      <c r="B1875" s="2">
        <v>42571.533287037</v>
      </c>
      <c r="C1875">
        <v>14986</v>
      </c>
      <c r="D1875">
        <v>3424</v>
      </c>
      <c r="E1875" t="s">
        <v>1877</v>
      </c>
    </row>
    <row r="1876" spans="1:5">
      <c r="A1876">
        <f>HYPERLINK("http://www.twitter.com/realDonaldTrump/status/755708398537154560", "755708398537154560")</f>
        <v>0</v>
      </c>
      <c r="B1876" s="2">
        <v>42571.4293634259</v>
      </c>
      <c r="C1876">
        <v>37251</v>
      </c>
      <c r="D1876">
        <v>6462</v>
      </c>
      <c r="E1876" t="s">
        <v>1878</v>
      </c>
    </row>
    <row r="1877" spans="1:5">
      <c r="A1877">
        <f>HYPERLINK("http://www.twitter.com/realDonaldTrump/status/755551039244341253", "755551039244341253")</f>
        <v>0</v>
      </c>
      <c r="B1877" s="2">
        <v>42570.9951273148</v>
      </c>
      <c r="C1877">
        <v>128290</v>
      </c>
      <c r="D1877">
        <v>41044</v>
      </c>
      <c r="E1877" t="s">
        <v>1879</v>
      </c>
    </row>
    <row r="1878" spans="1:5">
      <c r="A1878">
        <f>HYPERLINK("http://www.twitter.com/realDonaldTrump/status/755525857456844800", "755525857456844800")</f>
        <v>0</v>
      </c>
      <c r="B1878" s="2">
        <v>42570.9256481481</v>
      </c>
      <c r="C1878">
        <v>21296</v>
      </c>
      <c r="D1878">
        <v>4147</v>
      </c>
      <c r="E1878" t="s">
        <v>1880</v>
      </c>
    </row>
    <row r="1879" spans="1:5">
      <c r="A1879">
        <f>HYPERLINK("http://www.twitter.com/realDonaldTrump/status/755502053003190273", "755502053003190273")</f>
        <v>0</v>
      </c>
      <c r="B1879" s="2">
        <v>42570.8599537037</v>
      </c>
      <c r="C1879">
        <v>20802</v>
      </c>
      <c r="D1879">
        <v>7949</v>
      </c>
      <c r="E1879" t="s">
        <v>1881</v>
      </c>
    </row>
    <row r="1880" spans="1:5">
      <c r="A1880">
        <f>HYPERLINK("http://www.twitter.com/realDonaldTrump/status/755486029742641152", "755486029742641152")</f>
        <v>0</v>
      </c>
      <c r="B1880" s="2">
        <v>42570.8157407407</v>
      </c>
      <c r="C1880">
        <v>21045</v>
      </c>
      <c r="D1880">
        <v>8065</v>
      </c>
      <c r="E1880" t="s">
        <v>1882</v>
      </c>
    </row>
    <row r="1881" spans="1:5">
      <c r="A1881">
        <f>HYPERLINK("http://www.twitter.com/realDonaldTrump/status/755395950089211904", "755395950089211904")</f>
        <v>0</v>
      </c>
      <c r="B1881" s="2">
        <v>42570.5671643519</v>
      </c>
      <c r="C1881">
        <v>24166</v>
      </c>
      <c r="D1881">
        <v>7240</v>
      </c>
      <c r="E1881" t="s">
        <v>1883</v>
      </c>
    </row>
    <row r="1882" spans="1:5">
      <c r="A1882">
        <f>HYPERLINK("http://www.twitter.com/realDonaldTrump/status/755254384062263296", "755254384062263296")</f>
        <v>0</v>
      </c>
      <c r="B1882" s="2">
        <v>42570.1765162037</v>
      </c>
      <c r="C1882">
        <v>55916</v>
      </c>
      <c r="D1882">
        <v>12535</v>
      </c>
      <c r="E1882" t="s">
        <v>1884</v>
      </c>
    </row>
    <row r="1883" spans="1:5">
      <c r="A1883">
        <f>HYPERLINK("http://www.twitter.com/realDonaldTrump/status/755195907658883072", "755195907658883072")</f>
        <v>0</v>
      </c>
      <c r="B1883" s="2">
        <v>42570.015150463</v>
      </c>
      <c r="C1883">
        <v>14208</v>
      </c>
      <c r="D1883">
        <v>2884</v>
      </c>
      <c r="E1883" t="s">
        <v>1885</v>
      </c>
    </row>
    <row r="1884" spans="1:5">
      <c r="A1884">
        <f>HYPERLINK("http://www.twitter.com/realDonaldTrump/status/755176368783187969", "755176368783187969")</f>
        <v>0</v>
      </c>
      <c r="B1884" s="2">
        <v>42569.9612384259</v>
      </c>
      <c r="C1884">
        <v>20142</v>
      </c>
      <c r="D1884">
        <v>7881</v>
      </c>
      <c r="E1884" t="s">
        <v>1886</v>
      </c>
    </row>
    <row r="1885" spans="1:5">
      <c r="A1885">
        <f>HYPERLINK("http://www.twitter.com/realDonaldTrump/status/755143081666744320", "755143081666744320")</f>
        <v>0</v>
      </c>
      <c r="B1885" s="2">
        <v>42569.8693865741</v>
      </c>
      <c r="C1885">
        <v>16138</v>
      </c>
      <c r="D1885">
        <v>4129</v>
      </c>
      <c r="E1885" t="s">
        <v>1887</v>
      </c>
    </row>
    <row r="1886" spans="1:5">
      <c r="A1886">
        <f>HYPERLINK("http://www.twitter.com/realDonaldTrump/status/755142098190475265", "755142098190475265")</f>
        <v>0</v>
      </c>
      <c r="B1886" s="2">
        <v>42569.8666666667</v>
      </c>
      <c r="C1886">
        <v>29539</v>
      </c>
      <c r="D1886">
        <v>8184</v>
      </c>
      <c r="E1886" t="s">
        <v>1888</v>
      </c>
    </row>
    <row r="1887" spans="1:5">
      <c r="A1887">
        <f>HYPERLINK("http://www.twitter.com/realDonaldTrump/status/755091783013507072", "755091783013507072")</f>
        <v>0</v>
      </c>
      <c r="B1887" s="2">
        <v>42569.7278240741</v>
      </c>
      <c r="C1887">
        <v>28620</v>
      </c>
      <c r="D1887">
        <v>6620</v>
      </c>
      <c r="E1887" t="s">
        <v>1889</v>
      </c>
    </row>
    <row r="1888" spans="1:5">
      <c r="A1888">
        <f>HYPERLINK("http://www.twitter.com/realDonaldTrump/status/755087399286411266", "755087399286411266")</f>
        <v>0</v>
      </c>
      <c r="B1888" s="2">
        <v>42569.7157291667</v>
      </c>
      <c r="C1888">
        <v>15137</v>
      </c>
      <c r="D1888">
        <v>4929</v>
      </c>
      <c r="E1888" t="s">
        <v>1890</v>
      </c>
    </row>
    <row r="1889" spans="1:5">
      <c r="A1889">
        <f>HYPERLINK("http://www.twitter.com/realDonaldTrump/status/754992591402328064", "754992591402328064")</f>
        <v>0</v>
      </c>
      <c r="B1889" s="2">
        <v>42569.4541087963</v>
      </c>
      <c r="C1889">
        <v>0</v>
      </c>
      <c r="D1889">
        <v>1922</v>
      </c>
      <c r="E1889" t="s">
        <v>1891</v>
      </c>
    </row>
    <row r="1890" spans="1:5">
      <c r="A1890">
        <f>HYPERLINK("http://www.twitter.com/realDonaldTrump/status/754789482621243392", "754789482621243392")</f>
        <v>0</v>
      </c>
      <c r="B1890" s="2">
        <v>42568.8936342593</v>
      </c>
      <c r="C1890">
        <v>39326</v>
      </c>
      <c r="D1890">
        <v>12363</v>
      </c>
      <c r="E1890" t="s">
        <v>1892</v>
      </c>
    </row>
    <row r="1891" spans="1:5">
      <c r="A1891">
        <f>HYPERLINK("http://www.twitter.com/realDonaldTrump/status/754788362368741376", "754788362368741376")</f>
        <v>0</v>
      </c>
      <c r="B1891" s="2">
        <v>42568.8905439815</v>
      </c>
      <c r="C1891">
        <v>42380</v>
      </c>
      <c r="D1891">
        <v>14975</v>
      </c>
      <c r="E1891" t="s">
        <v>1893</v>
      </c>
    </row>
    <row r="1892" spans="1:5">
      <c r="A1892">
        <f>HYPERLINK("http://www.twitter.com/realDonaldTrump/status/754747849737461760", "754747849737461760")</f>
        <v>0</v>
      </c>
      <c r="B1892" s="2">
        <v>42568.77875</v>
      </c>
      <c r="C1892">
        <v>12503</v>
      </c>
      <c r="D1892">
        <v>4131</v>
      </c>
      <c r="E1892" t="s">
        <v>1894</v>
      </c>
    </row>
    <row r="1893" spans="1:5">
      <c r="A1893">
        <f>HYPERLINK("http://www.twitter.com/realDonaldTrump/status/754747397700485120", "754747397700485120")</f>
        <v>0</v>
      </c>
      <c r="B1893" s="2">
        <v>42568.7775</v>
      </c>
      <c r="C1893">
        <v>18625</v>
      </c>
      <c r="D1893">
        <v>5236</v>
      </c>
      <c r="E1893" t="s">
        <v>1895</v>
      </c>
    </row>
    <row r="1894" spans="1:5">
      <c r="A1894">
        <f>HYPERLINK("http://www.twitter.com/realDonaldTrump/status/754744188856565760", "754744188856565760")</f>
        <v>0</v>
      </c>
      <c r="B1894" s="2">
        <v>42568.7686458333</v>
      </c>
      <c r="C1894">
        <v>85948</v>
      </c>
      <c r="D1894">
        <v>35584</v>
      </c>
      <c r="E1894" t="s">
        <v>1896</v>
      </c>
    </row>
    <row r="1895" spans="1:5">
      <c r="A1895">
        <f>HYPERLINK("http://www.twitter.com/realDonaldTrump/status/754730058913308673", "754730058913308673")</f>
        <v>0</v>
      </c>
      <c r="B1895" s="2">
        <v>42568.7296527778</v>
      </c>
      <c r="C1895">
        <v>25199</v>
      </c>
      <c r="D1895">
        <v>9542</v>
      </c>
      <c r="E1895" t="s">
        <v>1897</v>
      </c>
    </row>
    <row r="1896" spans="1:5">
      <c r="A1896">
        <f>HYPERLINK("http://www.twitter.com/realDonaldTrump/status/754664207799451648", "754664207799451648")</f>
        <v>0</v>
      </c>
      <c r="B1896" s="2">
        <v>42568.5479398148</v>
      </c>
      <c r="C1896">
        <v>28689</v>
      </c>
      <c r="D1896">
        <v>8700</v>
      </c>
      <c r="E1896" t="s">
        <v>1898</v>
      </c>
    </row>
    <row r="1897" spans="1:5">
      <c r="A1897">
        <f>HYPERLINK("http://www.twitter.com/realDonaldTrump/status/754662980164386816", "754662980164386816")</f>
        <v>0</v>
      </c>
      <c r="B1897" s="2">
        <v>42568.5445601852</v>
      </c>
      <c r="C1897">
        <v>19807</v>
      </c>
      <c r="D1897">
        <v>5433</v>
      </c>
      <c r="E1897" t="s">
        <v>1899</v>
      </c>
    </row>
    <row r="1898" spans="1:5">
      <c r="A1898">
        <f>HYPERLINK("http://www.twitter.com/realDonaldTrump/status/754652888752910336", "754652888752910336")</f>
        <v>0</v>
      </c>
      <c r="B1898" s="2">
        <v>42568.516712963</v>
      </c>
      <c r="C1898">
        <v>21246</v>
      </c>
      <c r="D1898">
        <v>5928</v>
      </c>
      <c r="E1898" t="s">
        <v>1900</v>
      </c>
    </row>
    <row r="1899" spans="1:5">
      <c r="A1899">
        <f>HYPERLINK("http://www.twitter.com/realDonaldTrump/status/754650547932758016", "754650547932758016")</f>
        <v>0</v>
      </c>
      <c r="B1899" s="2">
        <v>42568.5102546296</v>
      </c>
      <c r="C1899">
        <v>23071</v>
      </c>
      <c r="D1899">
        <v>6991</v>
      </c>
      <c r="E1899" t="s">
        <v>1901</v>
      </c>
    </row>
    <row r="1900" spans="1:5">
      <c r="A1900">
        <f>HYPERLINK("http://www.twitter.com/realDonaldTrump/status/754648419151511552", "754648419151511552")</f>
        <v>0</v>
      </c>
      <c r="B1900" s="2">
        <v>42568.504375</v>
      </c>
      <c r="C1900">
        <v>21221</v>
      </c>
      <c r="D1900">
        <v>6187</v>
      </c>
      <c r="E1900" t="s">
        <v>1902</v>
      </c>
    </row>
    <row r="1901" spans="1:5">
      <c r="A1901">
        <f>HYPERLINK("http://www.twitter.com/realDonaldTrump/status/754645662357159936", "754645662357159936")</f>
        <v>0</v>
      </c>
      <c r="B1901" s="2">
        <v>42568.4967708333</v>
      </c>
      <c r="C1901">
        <v>19334</v>
      </c>
      <c r="D1901">
        <v>5859</v>
      </c>
      <c r="E1901" t="s">
        <v>1903</v>
      </c>
    </row>
    <row r="1902" spans="1:5">
      <c r="A1902">
        <f>HYPERLINK("http://www.twitter.com/realDonaldTrump/status/754530838386208768", "754530838386208768")</f>
        <v>0</v>
      </c>
      <c r="B1902" s="2">
        <v>42568.1799189815</v>
      </c>
      <c r="C1902">
        <v>22348</v>
      </c>
      <c r="D1902">
        <v>6065</v>
      </c>
      <c r="E1902" t="s">
        <v>1904</v>
      </c>
    </row>
    <row r="1903" spans="1:5">
      <c r="A1903">
        <f>HYPERLINK("http://www.twitter.com/realDonaldTrump/status/754530019200884737", "754530019200884737")</f>
        <v>0</v>
      </c>
      <c r="B1903" s="2">
        <v>42568.177650463</v>
      </c>
      <c r="C1903">
        <v>19935</v>
      </c>
      <c r="D1903">
        <v>5592</v>
      </c>
      <c r="E1903" t="s">
        <v>1905</v>
      </c>
    </row>
    <row r="1904" spans="1:5">
      <c r="A1904">
        <f>HYPERLINK("http://www.twitter.com/realDonaldTrump/status/754520788917780482", "754520788917780482")</f>
        <v>0</v>
      </c>
      <c r="B1904" s="2">
        <v>42568.1521875</v>
      </c>
      <c r="C1904">
        <v>12605</v>
      </c>
      <c r="D1904">
        <v>2826</v>
      </c>
      <c r="E1904" t="s">
        <v>1906</v>
      </c>
    </row>
    <row r="1905" spans="1:5">
      <c r="A1905">
        <f>HYPERLINK("http://www.twitter.com/realDonaldTrump/status/754516280615501824", "754516280615501824")</f>
        <v>0</v>
      </c>
      <c r="B1905" s="2">
        <v>42568.1397453704</v>
      </c>
      <c r="C1905">
        <v>11461</v>
      </c>
      <c r="D1905">
        <v>2707</v>
      </c>
      <c r="E1905" t="s">
        <v>1907</v>
      </c>
    </row>
    <row r="1906" spans="1:5">
      <c r="A1906">
        <f>HYPERLINK("http://www.twitter.com/realDonaldTrump/status/754514805264973824", "754514805264973824")</f>
        <v>0</v>
      </c>
      <c r="B1906" s="2">
        <v>42568.1356712963</v>
      </c>
      <c r="C1906">
        <v>20827</v>
      </c>
      <c r="D1906">
        <v>6420</v>
      </c>
      <c r="E1906" t="s">
        <v>1908</v>
      </c>
    </row>
    <row r="1907" spans="1:5">
      <c r="A1907">
        <f>HYPERLINK("http://www.twitter.com/realDonaldTrump/status/754348235951661056", "754348235951661056")</f>
        <v>0</v>
      </c>
      <c r="B1907" s="2">
        <v>42567.6760300926</v>
      </c>
      <c r="C1907">
        <v>35737</v>
      </c>
      <c r="D1907">
        <v>10209</v>
      </c>
      <c r="E1907" t="s">
        <v>1909</v>
      </c>
    </row>
    <row r="1908" spans="1:5">
      <c r="A1908">
        <f>HYPERLINK("http://www.twitter.com/realDonaldTrump/status/754305404302139392", "754305404302139392")</f>
        <v>0</v>
      </c>
      <c r="B1908" s="2">
        <v>42567.5578356481</v>
      </c>
      <c r="C1908">
        <v>26913</v>
      </c>
      <c r="D1908">
        <v>9149</v>
      </c>
      <c r="E1908" t="s">
        <v>1910</v>
      </c>
    </row>
    <row r="1909" spans="1:5">
      <c r="A1909">
        <f>HYPERLINK("http://www.twitter.com/realDonaldTrump/status/754304371186405376", "754304371186405376")</f>
        <v>0</v>
      </c>
      <c r="B1909" s="2">
        <v>42567.5549884259</v>
      </c>
      <c r="C1909">
        <v>22752</v>
      </c>
      <c r="D1909">
        <v>7020</v>
      </c>
      <c r="E1909" t="s">
        <v>1911</v>
      </c>
    </row>
    <row r="1910" spans="1:5">
      <c r="A1910">
        <f>HYPERLINK("http://www.twitter.com/realDonaldTrump/status/754303051389861888", "754303051389861888")</f>
        <v>0</v>
      </c>
      <c r="B1910" s="2">
        <v>42567.5513425926</v>
      </c>
      <c r="C1910">
        <v>25139</v>
      </c>
      <c r="D1910">
        <v>8040</v>
      </c>
      <c r="E1910" t="s">
        <v>1912</v>
      </c>
    </row>
    <row r="1911" spans="1:5">
      <c r="A1911">
        <f>HYPERLINK("http://www.twitter.com/realDonaldTrump/status/754301737431928832", "754301737431928832")</f>
        <v>0</v>
      </c>
      <c r="B1911" s="2">
        <v>42567.5477199074</v>
      </c>
      <c r="C1911">
        <v>25996</v>
      </c>
      <c r="D1911">
        <v>8913</v>
      </c>
      <c r="E1911" t="s">
        <v>1913</v>
      </c>
    </row>
    <row r="1912" spans="1:5">
      <c r="A1912">
        <f>HYPERLINK("http://www.twitter.com/realDonaldTrump/status/754291925616852992", "754291925616852992")</f>
        <v>0</v>
      </c>
      <c r="B1912" s="2">
        <v>42567.5206365741</v>
      </c>
      <c r="C1912">
        <v>21407</v>
      </c>
      <c r="D1912">
        <v>4821</v>
      </c>
      <c r="E1912" t="s">
        <v>1914</v>
      </c>
    </row>
    <row r="1913" spans="1:5">
      <c r="A1913">
        <f>HYPERLINK("http://www.twitter.com/realDonaldTrump/status/754136526087487488", "754136526087487488")</f>
        <v>0</v>
      </c>
      <c r="B1913" s="2">
        <v>42567.0918171296</v>
      </c>
      <c r="C1913">
        <v>24747</v>
      </c>
      <c r="D1913">
        <v>5635</v>
      </c>
      <c r="E1913" t="s">
        <v>1915</v>
      </c>
    </row>
    <row r="1914" spans="1:5">
      <c r="A1914">
        <f>HYPERLINK("http://www.twitter.com/realDonaldTrump/status/753965070003109888", "753965070003109888")</f>
        <v>0</v>
      </c>
      <c r="B1914" s="2">
        <v>42566.6186921296</v>
      </c>
      <c r="C1914">
        <v>91320</v>
      </c>
      <c r="D1914">
        <v>38281</v>
      </c>
      <c r="E1914" t="s">
        <v>1916</v>
      </c>
    </row>
    <row r="1915" spans="1:5">
      <c r="A1915">
        <f>HYPERLINK("http://www.twitter.com/realDonaldTrump/status/753962659293396992", "753962659293396992")</f>
        <v>0</v>
      </c>
      <c r="B1915" s="2">
        <v>42566.612037037</v>
      </c>
      <c r="C1915">
        <v>31379</v>
      </c>
      <c r="D1915">
        <v>10839</v>
      </c>
      <c r="E1915" t="s">
        <v>1917</v>
      </c>
    </row>
    <row r="1916" spans="1:5">
      <c r="A1916">
        <f>HYPERLINK("http://www.twitter.com/realDonaldTrump/status/753960134422900736", "753960134422900736")</f>
        <v>0</v>
      </c>
      <c r="B1916" s="2">
        <v>42566.6050694444</v>
      </c>
      <c r="C1916">
        <v>35164</v>
      </c>
      <c r="D1916">
        <v>10721</v>
      </c>
      <c r="E1916" t="s">
        <v>1918</v>
      </c>
    </row>
    <row r="1917" spans="1:5">
      <c r="A1917">
        <f>HYPERLINK("http://www.twitter.com/realDonaldTrump/status/753750790590828544", "753750790590828544")</f>
        <v>0</v>
      </c>
      <c r="B1917" s="2">
        <v>42566.0273958333</v>
      </c>
      <c r="C1917">
        <v>50405</v>
      </c>
      <c r="D1917">
        <v>15679</v>
      </c>
      <c r="E1917" t="s">
        <v>1919</v>
      </c>
    </row>
    <row r="1918" spans="1:5">
      <c r="A1918">
        <f>HYPERLINK("http://www.twitter.com/realDonaldTrump/status/753728269019549696", "753728269019549696")</f>
        <v>0</v>
      </c>
      <c r="B1918" s="2">
        <v>42565.9652430556</v>
      </c>
      <c r="C1918">
        <v>46269</v>
      </c>
      <c r="D1918">
        <v>14777</v>
      </c>
      <c r="E1918" t="s">
        <v>1920</v>
      </c>
    </row>
    <row r="1919" spans="1:5">
      <c r="A1919">
        <f>HYPERLINK("http://www.twitter.com/realDonaldTrump/status/753720863606775809", "753720863606775809")</f>
        <v>0</v>
      </c>
      <c r="B1919" s="2">
        <v>42565.9448032407</v>
      </c>
      <c r="C1919">
        <v>55630</v>
      </c>
      <c r="D1919">
        <v>24396</v>
      </c>
      <c r="E1919" t="s">
        <v>1921</v>
      </c>
    </row>
    <row r="1920" spans="1:5">
      <c r="A1920">
        <f>HYPERLINK("http://www.twitter.com/realDonaldTrump/status/753641197588152320", "753641197588152320")</f>
        <v>0</v>
      </c>
      <c r="B1920" s="2">
        <v>42565.7249768519</v>
      </c>
      <c r="C1920">
        <v>23501</v>
      </c>
      <c r="D1920">
        <v>7314</v>
      </c>
      <c r="E1920" t="s">
        <v>1922</v>
      </c>
    </row>
    <row r="1921" spans="1:5">
      <c r="A1921">
        <f>HYPERLINK("http://www.twitter.com/realDonaldTrump/status/753603401854881793", "753603401854881793")</f>
        <v>0</v>
      </c>
      <c r="B1921" s="2">
        <v>42565.6206712963</v>
      </c>
      <c r="C1921">
        <v>23168</v>
      </c>
      <c r="D1921">
        <v>8815</v>
      </c>
      <c r="E1921" t="s">
        <v>1923</v>
      </c>
    </row>
    <row r="1922" spans="1:5">
      <c r="A1922">
        <f>HYPERLINK("http://www.twitter.com/realDonaldTrump/status/753580257895211008", "753580257895211008")</f>
        <v>0</v>
      </c>
      <c r="B1922" s="2">
        <v>42565.5568055556</v>
      </c>
      <c r="C1922">
        <v>22995</v>
      </c>
      <c r="D1922">
        <v>7348</v>
      </c>
      <c r="E1922" t="s">
        <v>1924</v>
      </c>
    </row>
    <row r="1923" spans="1:5">
      <c r="A1923">
        <f>HYPERLINK("http://www.twitter.com/realDonaldTrump/status/753398572515725312", "753398572515725312")</f>
        <v>0</v>
      </c>
      <c r="B1923" s="2">
        <v>42565.0554513889</v>
      </c>
      <c r="C1923">
        <v>44037</v>
      </c>
      <c r="D1923">
        <v>15545</v>
      </c>
      <c r="E1923" t="s">
        <v>1925</v>
      </c>
    </row>
    <row r="1924" spans="1:5">
      <c r="A1924">
        <f>HYPERLINK("http://www.twitter.com/realDonaldTrump/status/753355507721646080", "753355507721646080")</f>
        <v>0</v>
      </c>
      <c r="B1924" s="2">
        <v>42564.9366203704</v>
      </c>
      <c r="C1924">
        <v>25756</v>
      </c>
      <c r="D1924">
        <v>8040</v>
      </c>
      <c r="E1924" t="s">
        <v>1926</v>
      </c>
    </row>
    <row r="1925" spans="1:5">
      <c r="A1925">
        <f>HYPERLINK("http://www.twitter.com/realDonaldTrump/status/753355262363181056", "753355262363181056")</f>
        <v>0</v>
      </c>
      <c r="B1925" s="2">
        <v>42564.9359375</v>
      </c>
      <c r="C1925">
        <v>17554</v>
      </c>
      <c r="D1925">
        <v>5331</v>
      </c>
      <c r="E1925" t="s">
        <v>1927</v>
      </c>
    </row>
    <row r="1926" spans="1:5">
      <c r="A1926">
        <f>HYPERLINK("http://www.twitter.com/realDonaldTrump/status/753354905897668608", "753354905897668608")</f>
        <v>0</v>
      </c>
      <c r="B1926" s="2">
        <v>42564.9349537037</v>
      </c>
      <c r="C1926">
        <v>20582</v>
      </c>
      <c r="D1926">
        <v>5572</v>
      </c>
      <c r="E1926" t="s">
        <v>1928</v>
      </c>
    </row>
    <row r="1927" spans="1:5">
      <c r="A1927">
        <f>HYPERLINK("http://www.twitter.com/realDonaldTrump/status/753354233311731712", "753354233311731712")</f>
        <v>0</v>
      </c>
      <c r="B1927" s="2">
        <v>42564.9331018518</v>
      </c>
      <c r="C1927">
        <v>16541</v>
      </c>
      <c r="D1927">
        <v>4020</v>
      </c>
      <c r="E1927" t="s">
        <v>1929</v>
      </c>
    </row>
    <row r="1928" spans="1:5">
      <c r="A1928">
        <f>HYPERLINK("http://www.twitter.com/realDonaldTrump/status/753353898472017920", "753353898472017920")</f>
        <v>0</v>
      </c>
      <c r="B1928" s="2">
        <v>42564.9321759259</v>
      </c>
      <c r="C1928">
        <v>24133</v>
      </c>
      <c r="D1928">
        <v>7965</v>
      </c>
      <c r="E1928" t="s">
        <v>1930</v>
      </c>
    </row>
    <row r="1929" spans="1:5">
      <c r="A1929">
        <f>HYPERLINK("http://www.twitter.com/realDonaldTrump/status/753353259411054592", "753353259411054592")</f>
        <v>0</v>
      </c>
      <c r="B1929" s="2">
        <v>42564.9304166667</v>
      </c>
      <c r="C1929">
        <v>15496</v>
      </c>
      <c r="D1929">
        <v>4918</v>
      </c>
      <c r="E1929" t="s">
        <v>1931</v>
      </c>
    </row>
    <row r="1930" spans="1:5">
      <c r="A1930">
        <f>HYPERLINK("http://www.twitter.com/realDonaldTrump/status/753351063407767554", "753351063407767554")</f>
        <v>0</v>
      </c>
      <c r="B1930" s="2">
        <v>42564.9243518518</v>
      </c>
      <c r="C1930">
        <v>18191</v>
      </c>
      <c r="D1930">
        <v>7621</v>
      </c>
      <c r="E1930" t="s">
        <v>1932</v>
      </c>
    </row>
    <row r="1931" spans="1:5">
      <c r="A1931">
        <f>HYPERLINK("http://www.twitter.com/realDonaldTrump/status/753349911983235072", "753349911983235072")</f>
        <v>0</v>
      </c>
      <c r="B1931" s="2">
        <v>42564.9211805556</v>
      </c>
      <c r="C1931">
        <v>14556</v>
      </c>
      <c r="D1931">
        <v>4343</v>
      </c>
      <c r="E1931" t="s">
        <v>1933</v>
      </c>
    </row>
    <row r="1932" spans="1:5">
      <c r="A1932">
        <f>HYPERLINK("http://www.twitter.com/realDonaldTrump/status/753349629870084096", "753349629870084096")</f>
        <v>0</v>
      </c>
      <c r="B1932" s="2">
        <v>42564.9203935185</v>
      </c>
      <c r="C1932">
        <v>14723</v>
      </c>
      <c r="D1932">
        <v>4417</v>
      </c>
      <c r="E1932" t="s">
        <v>1934</v>
      </c>
    </row>
    <row r="1933" spans="1:5">
      <c r="A1933">
        <f>HYPERLINK("http://www.twitter.com/realDonaldTrump/status/753347448743964672", "753347448743964672")</f>
        <v>0</v>
      </c>
      <c r="B1933" s="2">
        <v>42564.914375</v>
      </c>
      <c r="C1933">
        <v>17735</v>
      </c>
      <c r="D1933">
        <v>5866</v>
      </c>
      <c r="E1933" t="s">
        <v>1935</v>
      </c>
    </row>
    <row r="1934" spans="1:5">
      <c r="A1934">
        <f>HYPERLINK("http://www.twitter.com/realDonaldTrump/status/753338900647665664", "753338900647665664")</f>
        <v>0</v>
      </c>
      <c r="B1934" s="2">
        <v>42564.890787037</v>
      </c>
      <c r="C1934">
        <v>21297</v>
      </c>
      <c r="D1934">
        <v>7825</v>
      </c>
      <c r="E1934" t="s">
        <v>1936</v>
      </c>
    </row>
    <row r="1935" spans="1:5">
      <c r="A1935">
        <f>HYPERLINK("http://www.twitter.com/realDonaldTrump/status/753209883202351104", "753209883202351104")</f>
        <v>0</v>
      </c>
      <c r="B1935" s="2">
        <v>42564.5347685185</v>
      </c>
      <c r="C1935">
        <v>29084</v>
      </c>
      <c r="D1935">
        <v>11232</v>
      </c>
      <c r="E1935" t="s">
        <v>1937</v>
      </c>
    </row>
    <row r="1936" spans="1:5">
      <c r="A1936">
        <f>HYPERLINK("http://www.twitter.com/realDonaldTrump/status/753205648154767360", "753205648154767360")</f>
        <v>0</v>
      </c>
      <c r="B1936" s="2">
        <v>42564.5230902778</v>
      </c>
      <c r="C1936">
        <v>18626</v>
      </c>
      <c r="D1936">
        <v>6290</v>
      </c>
      <c r="E1936" t="s">
        <v>1938</v>
      </c>
    </row>
    <row r="1937" spans="1:5">
      <c r="A1937">
        <f>HYPERLINK("http://www.twitter.com/realDonaldTrump/status/753090242203283457", "753090242203283457")</f>
        <v>0</v>
      </c>
      <c r="B1937" s="2">
        <v>42564.2046296296</v>
      </c>
      <c r="C1937">
        <v>34433</v>
      </c>
      <c r="D1937">
        <v>11214</v>
      </c>
      <c r="E1937" t="s">
        <v>1939</v>
      </c>
    </row>
    <row r="1938" spans="1:5">
      <c r="A1938">
        <f>HYPERLINK("http://www.twitter.com/realDonaldTrump/status/753063644578144260", "753063644578144260")</f>
        <v>0</v>
      </c>
      <c r="B1938" s="2">
        <v>42564.1312268519</v>
      </c>
      <c r="C1938">
        <v>18959</v>
      </c>
      <c r="D1938">
        <v>5555</v>
      </c>
      <c r="E1938" t="s">
        <v>1940</v>
      </c>
    </row>
    <row r="1939" spans="1:5">
      <c r="A1939">
        <f>HYPERLINK("http://www.twitter.com/realDonaldTrump/status/752990888171831296", "752990888171831296")</f>
        <v>0</v>
      </c>
      <c r="B1939" s="2">
        <v>42563.930462963</v>
      </c>
      <c r="C1939">
        <v>16130</v>
      </c>
      <c r="D1939">
        <v>5545</v>
      </c>
      <c r="E1939" t="s">
        <v>1941</v>
      </c>
    </row>
    <row r="1940" spans="1:5">
      <c r="A1940">
        <f>HYPERLINK("http://www.twitter.com/realDonaldTrump/status/752985826993332224", "752985826993332224")</f>
        <v>0</v>
      </c>
      <c r="B1940" s="2">
        <v>42563.9164930556</v>
      </c>
      <c r="C1940">
        <v>11103</v>
      </c>
      <c r="D1940">
        <v>2831</v>
      </c>
      <c r="E1940" t="s">
        <v>1942</v>
      </c>
    </row>
    <row r="1941" spans="1:5">
      <c r="A1941">
        <f>HYPERLINK("http://www.twitter.com/realDonaldTrump/status/752973319675273218", "752973319675273218")</f>
        <v>0</v>
      </c>
      <c r="B1941" s="2">
        <v>42563.8819791667</v>
      </c>
      <c r="C1941">
        <v>23718</v>
      </c>
      <c r="D1941">
        <v>10714</v>
      </c>
      <c r="E1941" t="s">
        <v>1943</v>
      </c>
    </row>
    <row r="1942" spans="1:5">
      <c r="A1942">
        <f>HYPERLINK("http://www.twitter.com/realDonaldTrump/status/752911479251296258", "752911479251296258")</f>
        <v>0</v>
      </c>
      <c r="B1942" s="2">
        <v>42563.7113310185</v>
      </c>
      <c r="C1942">
        <v>35377</v>
      </c>
      <c r="D1942">
        <v>13599</v>
      </c>
      <c r="E1942" t="s">
        <v>1944</v>
      </c>
    </row>
    <row r="1943" spans="1:5">
      <c r="A1943">
        <f>HYPERLINK("http://www.twitter.com/realDonaldTrump/status/752911332756840448", "752911332756840448")</f>
        <v>0</v>
      </c>
      <c r="B1943" s="2">
        <v>42563.7109259259</v>
      </c>
      <c r="C1943">
        <v>30080</v>
      </c>
      <c r="D1943">
        <v>12624</v>
      </c>
      <c r="E1943" t="s">
        <v>1945</v>
      </c>
    </row>
    <row r="1944" spans="1:5">
      <c r="A1944">
        <f>HYPERLINK("http://www.twitter.com/realDonaldTrump/status/752910855939952640", "752910855939952640")</f>
        <v>0</v>
      </c>
      <c r="B1944" s="2">
        <v>42563.7096180556</v>
      </c>
      <c r="C1944">
        <v>52465</v>
      </c>
      <c r="D1944">
        <v>35881</v>
      </c>
      <c r="E1944" t="s">
        <v>1946</v>
      </c>
    </row>
    <row r="1945" spans="1:5">
      <c r="A1945">
        <f>HYPERLINK("http://www.twitter.com/realDonaldTrump/status/752906803810279424", "752906803810279424")</f>
        <v>0</v>
      </c>
      <c r="B1945" s="2">
        <v>42563.6984375</v>
      </c>
      <c r="C1945">
        <v>23302</v>
      </c>
      <c r="D1945">
        <v>12493</v>
      </c>
      <c r="E1945" t="s">
        <v>1947</v>
      </c>
    </row>
    <row r="1946" spans="1:5">
      <c r="A1946">
        <f>HYPERLINK("http://www.twitter.com/realDonaldTrump/status/752860045084241920", "752860045084241920")</f>
        <v>0</v>
      </c>
      <c r="B1946" s="2">
        <v>42563.5693981481</v>
      </c>
      <c r="C1946">
        <v>37059</v>
      </c>
      <c r="D1946">
        <v>13156</v>
      </c>
      <c r="E1946" t="s">
        <v>1948</v>
      </c>
    </row>
    <row r="1947" spans="1:5">
      <c r="A1947">
        <f>HYPERLINK("http://www.twitter.com/realDonaldTrump/status/752859250628648962", "752859250628648962")</f>
        <v>0</v>
      </c>
      <c r="B1947" s="2">
        <v>42563.5672106482</v>
      </c>
      <c r="C1947">
        <v>30002</v>
      </c>
      <c r="D1947">
        <v>10418</v>
      </c>
      <c r="E1947" t="s">
        <v>1949</v>
      </c>
    </row>
    <row r="1948" spans="1:5">
      <c r="A1948">
        <f>HYPERLINK("http://www.twitter.com/realDonaldTrump/status/752849315094298624", "752849315094298624")</f>
        <v>0</v>
      </c>
      <c r="B1948" s="2">
        <v>42563.5397916667</v>
      </c>
      <c r="C1948">
        <v>29447</v>
      </c>
      <c r="D1948">
        <v>10773</v>
      </c>
      <c r="E1948" t="s">
        <v>1950</v>
      </c>
    </row>
    <row r="1949" spans="1:5">
      <c r="A1949">
        <f>HYPERLINK("http://www.twitter.com/realDonaldTrump/status/752848856317059073", "752848856317059073")</f>
        <v>0</v>
      </c>
      <c r="B1949" s="2">
        <v>42563.5385300926</v>
      </c>
      <c r="C1949">
        <v>20454</v>
      </c>
      <c r="D1949">
        <v>6586</v>
      </c>
      <c r="E1949" t="s">
        <v>1951</v>
      </c>
    </row>
    <row r="1950" spans="1:5">
      <c r="A1950">
        <f>HYPERLINK("http://www.twitter.com/realDonaldTrump/status/752834632907943936", "752834632907943936")</f>
        <v>0</v>
      </c>
      <c r="B1950" s="2">
        <v>42563.4992824074</v>
      </c>
      <c r="C1950">
        <v>20482</v>
      </c>
      <c r="D1950">
        <v>6224</v>
      </c>
      <c r="E1950" t="s">
        <v>1952</v>
      </c>
    </row>
    <row r="1951" spans="1:5">
      <c r="A1951">
        <f>HYPERLINK("http://www.twitter.com/realDonaldTrump/status/752686998826131456", "752686998826131456")</f>
        <v>0</v>
      </c>
      <c r="B1951" s="2">
        <v>42563.0918865741</v>
      </c>
      <c r="C1951">
        <v>14820</v>
      </c>
      <c r="D1951">
        <v>5236</v>
      </c>
      <c r="E1951" t="s">
        <v>1953</v>
      </c>
    </row>
    <row r="1952" spans="1:5">
      <c r="A1952">
        <f>HYPERLINK("http://www.twitter.com/realDonaldTrump/status/752667913820209152", "752667913820209152")</f>
        <v>0</v>
      </c>
      <c r="B1952" s="2">
        <v>42563.039224537</v>
      </c>
      <c r="C1952">
        <v>13845</v>
      </c>
      <c r="D1952">
        <v>5156</v>
      </c>
      <c r="E1952" t="s">
        <v>1954</v>
      </c>
    </row>
    <row r="1953" spans="1:5">
      <c r="A1953">
        <f>HYPERLINK("http://www.twitter.com/realDonaldTrump/status/752628125389955073", "752628125389955073")</f>
        <v>0</v>
      </c>
      <c r="B1953" s="2">
        <v>42562.9294212963</v>
      </c>
      <c r="C1953">
        <v>9408</v>
      </c>
      <c r="D1953">
        <v>3370</v>
      </c>
      <c r="E1953" t="s">
        <v>1955</v>
      </c>
    </row>
    <row r="1954" spans="1:5">
      <c r="A1954">
        <f>HYPERLINK("http://www.twitter.com/realDonaldTrump/status/752618593196597248", "752618593196597248")</f>
        <v>0</v>
      </c>
      <c r="B1954" s="2">
        <v>42562.903125</v>
      </c>
      <c r="C1954">
        <v>24888</v>
      </c>
      <c r="D1954">
        <v>8571</v>
      </c>
      <c r="E1954" t="s">
        <v>1956</v>
      </c>
    </row>
    <row r="1955" spans="1:5">
      <c r="A1955">
        <f>HYPERLINK("http://www.twitter.com/realDonaldTrump/status/752591157641744384", "752591157641744384")</f>
        <v>0</v>
      </c>
      <c r="B1955" s="2">
        <v>42562.8274189815</v>
      </c>
      <c r="C1955">
        <v>28229</v>
      </c>
      <c r="D1955">
        <v>8858</v>
      </c>
      <c r="E1955" t="s">
        <v>1957</v>
      </c>
    </row>
    <row r="1956" spans="1:5">
      <c r="A1956">
        <f>HYPERLINK("http://www.twitter.com/realDonaldTrump/status/752471941416620033", "752471941416620033")</f>
        <v>0</v>
      </c>
      <c r="B1956" s="2">
        <v>42562.4984375</v>
      </c>
      <c r="C1956">
        <v>12207</v>
      </c>
      <c r="D1956">
        <v>4054</v>
      </c>
      <c r="E1956" t="s">
        <v>1958</v>
      </c>
    </row>
    <row r="1957" spans="1:5">
      <c r="A1957">
        <f>HYPERLINK("http://www.twitter.com/realDonaldTrump/status/752215352122208256", "752215352122208256")</f>
        <v>0</v>
      </c>
      <c r="B1957" s="2">
        <v>42561.7903935185</v>
      </c>
      <c r="C1957">
        <v>22243</v>
      </c>
      <c r="D1957">
        <v>6389</v>
      </c>
      <c r="E1957" t="s">
        <v>1959</v>
      </c>
    </row>
    <row r="1958" spans="1:5">
      <c r="A1958">
        <f>HYPERLINK("http://www.twitter.com/realDonaldTrump/status/752211419634933760", "752211419634933760")</f>
        <v>0</v>
      </c>
      <c r="B1958" s="2">
        <v>42561.779537037</v>
      </c>
      <c r="C1958">
        <v>43468</v>
      </c>
      <c r="D1958">
        <v>14035</v>
      </c>
      <c r="E1958" t="s">
        <v>1960</v>
      </c>
    </row>
    <row r="1959" spans="1:5">
      <c r="A1959">
        <f>HYPERLINK("http://www.twitter.com/realDonaldTrump/status/752207752852832256", "752207752852832256")</f>
        <v>0</v>
      </c>
      <c r="B1959" s="2">
        <v>42561.7694212963</v>
      </c>
      <c r="C1959">
        <v>34229</v>
      </c>
      <c r="D1959">
        <v>11588</v>
      </c>
      <c r="E1959" t="s">
        <v>1961</v>
      </c>
    </row>
    <row r="1960" spans="1:5">
      <c r="A1960">
        <f>HYPERLINK("http://www.twitter.com/realDonaldTrump/status/752110630031749120", "752110630031749120")</f>
        <v>0</v>
      </c>
      <c r="B1960" s="2">
        <v>42561.501412037</v>
      </c>
      <c r="C1960">
        <v>54531</v>
      </c>
      <c r="D1960">
        <v>18446</v>
      </c>
      <c r="E1960" t="s">
        <v>1962</v>
      </c>
    </row>
    <row r="1961" spans="1:5">
      <c r="A1961">
        <f>HYPERLINK("http://www.twitter.com/realDonaldTrump/status/751889266934964224", "751889266934964224")</f>
        <v>0</v>
      </c>
      <c r="B1961" s="2">
        <v>42560.8905671296</v>
      </c>
      <c r="C1961">
        <v>23407</v>
      </c>
      <c r="D1961">
        <v>8910</v>
      </c>
      <c r="E1961" t="s">
        <v>1963</v>
      </c>
    </row>
    <row r="1962" spans="1:5">
      <c r="A1962">
        <f>HYPERLINK("http://www.twitter.com/realDonaldTrump/status/751797800690708480", "751797800690708480")</f>
        <v>0</v>
      </c>
      <c r="B1962" s="2">
        <v>42560.6381712963</v>
      </c>
      <c r="C1962">
        <v>24348</v>
      </c>
      <c r="D1962">
        <v>5527</v>
      </c>
      <c r="E1962" t="s">
        <v>1964</v>
      </c>
    </row>
    <row r="1963" spans="1:5">
      <c r="A1963">
        <f>HYPERLINK("http://www.twitter.com/realDonaldTrump/status/751558217075945476", "751558217075945476")</f>
        <v>0</v>
      </c>
      <c r="B1963" s="2">
        <v>42559.977037037</v>
      </c>
      <c r="C1963">
        <v>38158</v>
      </c>
      <c r="D1963">
        <v>14154</v>
      </c>
      <c r="E1963" t="s">
        <v>1965</v>
      </c>
    </row>
    <row r="1964" spans="1:5">
      <c r="A1964">
        <f>HYPERLINK("http://www.twitter.com/realDonaldTrump/status/751529041988116485", "751529041988116485")</f>
        <v>0</v>
      </c>
      <c r="B1964" s="2">
        <v>42559.8965393519</v>
      </c>
      <c r="C1964">
        <v>41304</v>
      </c>
      <c r="D1964">
        <v>13564</v>
      </c>
      <c r="E1964" t="s">
        <v>1966</v>
      </c>
    </row>
    <row r="1965" spans="1:5">
      <c r="A1965">
        <f>HYPERLINK("http://www.twitter.com/realDonaldTrump/status/751423658627829760", "751423658627829760")</f>
        <v>0</v>
      </c>
      <c r="B1965" s="2">
        <v>42559.6057291667</v>
      </c>
      <c r="C1965">
        <v>39661</v>
      </c>
      <c r="D1965">
        <v>8717</v>
      </c>
      <c r="E1965" t="s">
        <v>1967</v>
      </c>
    </row>
    <row r="1966" spans="1:5">
      <c r="A1966">
        <f>HYPERLINK("http://www.twitter.com/realDonaldTrump/status/751405672877744128", "751405672877744128")</f>
        <v>0</v>
      </c>
      <c r="B1966" s="2">
        <v>42559.556099537</v>
      </c>
      <c r="C1966">
        <v>19118</v>
      </c>
      <c r="D1966">
        <v>7156</v>
      </c>
      <c r="E1966" t="s">
        <v>1968</v>
      </c>
    </row>
    <row r="1967" spans="1:5">
      <c r="A1967">
        <f>HYPERLINK("http://www.twitter.com/realDonaldTrump/status/751370918027489280", "751370918027489280")</f>
        <v>0</v>
      </c>
      <c r="B1967" s="2">
        <v>42559.4601967593</v>
      </c>
      <c r="C1967">
        <v>82841</v>
      </c>
      <c r="D1967">
        <v>27921</v>
      </c>
      <c r="E1967" t="s">
        <v>1969</v>
      </c>
    </row>
    <row r="1968" spans="1:5">
      <c r="A1968">
        <f>HYPERLINK("http://www.twitter.com/realDonaldTrump/status/751232353129955328", "751232353129955328")</f>
        <v>0</v>
      </c>
      <c r="B1968" s="2">
        <v>42559.0778240741</v>
      </c>
      <c r="C1968">
        <v>53218</v>
      </c>
      <c r="D1968">
        <v>19354</v>
      </c>
      <c r="E1968" t="s">
        <v>1970</v>
      </c>
    </row>
    <row r="1969" spans="1:5">
      <c r="A1969">
        <f>HYPERLINK("http://www.twitter.com/realDonaldTrump/status/751146264956395521", "751146264956395521")</f>
        <v>0</v>
      </c>
      <c r="B1969" s="2">
        <v>42558.8402662037</v>
      </c>
      <c r="C1969">
        <v>14367</v>
      </c>
      <c r="D1969">
        <v>4480</v>
      </c>
      <c r="E1969" t="s">
        <v>1971</v>
      </c>
    </row>
    <row r="1970" spans="1:5">
      <c r="A1970">
        <f>HYPERLINK("http://www.twitter.com/realDonaldTrump/status/751145333107879936", "751145333107879936")</f>
        <v>0</v>
      </c>
      <c r="B1970" s="2">
        <v>42558.8376967593</v>
      </c>
      <c r="C1970">
        <v>17847</v>
      </c>
      <c r="D1970">
        <v>6407</v>
      </c>
      <c r="E1970" t="s">
        <v>1972</v>
      </c>
    </row>
    <row r="1971" spans="1:5">
      <c r="A1971">
        <f>HYPERLINK("http://www.twitter.com/realDonaldTrump/status/751145002147966976", "751145002147966976")</f>
        <v>0</v>
      </c>
      <c r="B1971" s="2">
        <v>42558.8367824074</v>
      </c>
      <c r="C1971">
        <v>10353</v>
      </c>
      <c r="D1971">
        <v>3252</v>
      </c>
      <c r="E1971" t="s">
        <v>1973</v>
      </c>
    </row>
    <row r="1972" spans="1:5">
      <c r="A1972">
        <f>HYPERLINK("http://www.twitter.com/realDonaldTrump/status/751115433273688064", "751115433273688064")</f>
        <v>0</v>
      </c>
      <c r="B1972" s="2">
        <v>42558.7551851852</v>
      </c>
      <c r="C1972">
        <v>26735</v>
      </c>
      <c r="D1972">
        <v>6739</v>
      </c>
      <c r="E1972" t="s">
        <v>1974</v>
      </c>
    </row>
    <row r="1973" spans="1:5">
      <c r="A1973">
        <f>HYPERLINK("http://www.twitter.com/realDonaldTrump/status/751016366925344768", "751016366925344768")</f>
        <v>0</v>
      </c>
      <c r="B1973" s="2">
        <v>42558.4818171296</v>
      </c>
      <c r="C1973">
        <v>19324</v>
      </c>
      <c r="D1973">
        <v>4901</v>
      </c>
      <c r="E1973" t="s">
        <v>1975</v>
      </c>
    </row>
    <row r="1974" spans="1:5">
      <c r="A1974">
        <f>HYPERLINK("http://www.twitter.com/realDonaldTrump/status/750865499660091393", "750865499660091393")</f>
        <v>0</v>
      </c>
      <c r="B1974" s="2">
        <v>42558.0655092593</v>
      </c>
      <c r="C1974">
        <v>61022</v>
      </c>
      <c r="D1974">
        <v>25463</v>
      </c>
      <c r="E1974" t="s">
        <v>1976</v>
      </c>
    </row>
    <row r="1975" spans="1:5">
      <c r="A1975">
        <f>HYPERLINK("http://www.twitter.com/realDonaldTrump/status/750811268219543552", "750811268219543552")</f>
        <v>0</v>
      </c>
      <c r="B1975" s="2">
        <v>42557.9158564815</v>
      </c>
      <c r="C1975">
        <v>24067</v>
      </c>
      <c r="D1975">
        <v>9499</v>
      </c>
      <c r="E1975" t="s">
        <v>1977</v>
      </c>
    </row>
    <row r="1976" spans="1:5">
      <c r="A1976">
        <f>HYPERLINK("http://www.twitter.com/realDonaldTrump/status/750714064574218245", "750714064574218245")</f>
        <v>0</v>
      </c>
      <c r="B1976" s="2">
        <v>42557.6476273148</v>
      </c>
      <c r="C1976">
        <v>24129</v>
      </c>
      <c r="D1976">
        <v>8120</v>
      </c>
      <c r="E1976" t="s">
        <v>1978</v>
      </c>
    </row>
    <row r="1977" spans="1:5">
      <c r="A1977">
        <f>HYPERLINK("http://www.twitter.com/realDonaldTrump/status/750692436687585280", "750692436687585280")</f>
        <v>0</v>
      </c>
      <c r="B1977" s="2">
        <v>42557.5879398148</v>
      </c>
      <c r="C1977">
        <v>16363</v>
      </c>
      <c r="D1977">
        <v>4964</v>
      </c>
      <c r="E1977" t="s">
        <v>1979</v>
      </c>
    </row>
    <row r="1978" spans="1:5">
      <c r="A1978">
        <f>HYPERLINK("http://www.twitter.com/realDonaldTrump/status/750691056551878656", "750691056551878656")</f>
        <v>0</v>
      </c>
      <c r="B1978" s="2">
        <v>42557.5841319444</v>
      </c>
      <c r="C1978">
        <v>14881</v>
      </c>
      <c r="D1978">
        <v>4194</v>
      </c>
      <c r="E1978" t="s">
        <v>1980</v>
      </c>
    </row>
    <row r="1979" spans="1:5">
      <c r="A1979">
        <f>HYPERLINK("http://www.twitter.com/realDonaldTrump/status/750681915565477888", "750681915565477888")</f>
        <v>0</v>
      </c>
      <c r="B1979" s="2">
        <v>42557.558912037</v>
      </c>
      <c r="C1979">
        <v>14475</v>
      </c>
      <c r="D1979">
        <v>4882</v>
      </c>
      <c r="E1979" t="s">
        <v>1981</v>
      </c>
    </row>
    <row r="1980" spans="1:5">
      <c r="A1980">
        <f>HYPERLINK("http://www.twitter.com/realDonaldTrump/status/750678866532990977", "750678866532990977")</f>
        <v>0</v>
      </c>
      <c r="B1980" s="2">
        <v>42557.5504976852</v>
      </c>
      <c r="C1980">
        <v>13358</v>
      </c>
      <c r="D1980">
        <v>4253</v>
      </c>
      <c r="E1980" t="s">
        <v>1982</v>
      </c>
    </row>
    <row r="1981" spans="1:5">
      <c r="A1981">
        <f>HYPERLINK("http://www.twitter.com/realDonaldTrump/status/750677864379453440", "750677864379453440")</f>
        <v>0</v>
      </c>
      <c r="B1981" s="2">
        <v>42557.5477314815</v>
      </c>
      <c r="C1981">
        <v>12657</v>
      </c>
      <c r="D1981">
        <v>3489</v>
      </c>
      <c r="E1981" t="s">
        <v>1983</v>
      </c>
    </row>
    <row r="1982" spans="1:5">
      <c r="A1982">
        <f>HYPERLINK("http://www.twitter.com/realDonaldTrump/status/750668480559607808", "750668480559607808")</f>
        <v>0</v>
      </c>
      <c r="B1982" s="2">
        <v>42557.5218402778</v>
      </c>
      <c r="C1982">
        <v>27948</v>
      </c>
      <c r="D1982">
        <v>10246</v>
      </c>
      <c r="E1982" t="s">
        <v>1984</v>
      </c>
    </row>
    <row r="1983" spans="1:5">
      <c r="A1983">
        <f>HYPERLINK("http://www.twitter.com/realDonaldTrump/status/750663349025767424", "750663349025767424")</f>
        <v>0</v>
      </c>
      <c r="B1983" s="2">
        <v>42557.5076736111</v>
      </c>
      <c r="C1983">
        <v>15892</v>
      </c>
      <c r="D1983">
        <v>7021</v>
      </c>
      <c r="E1983" t="s">
        <v>1985</v>
      </c>
    </row>
    <row r="1984" spans="1:5">
      <c r="A1984">
        <f>HYPERLINK("http://www.twitter.com/realDonaldTrump/status/750650894040064000", "750650894040064000")</f>
        <v>0</v>
      </c>
      <c r="B1984" s="2">
        <v>42557.4733101852</v>
      </c>
      <c r="C1984">
        <v>24136</v>
      </c>
      <c r="D1984">
        <v>8363</v>
      </c>
      <c r="E1984" t="s">
        <v>1986</v>
      </c>
    </row>
    <row r="1985" spans="1:5">
      <c r="A1985">
        <f>HYPERLINK("http://www.twitter.com/realDonaldTrump/status/750648675186147328", "750648675186147328")</f>
        <v>0</v>
      </c>
      <c r="B1985" s="2">
        <v>42557.4671875</v>
      </c>
      <c r="C1985">
        <v>22734</v>
      </c>
      <c r="D1985">
        <v>7718</v>
      </c>
      <c r="E1985" t="s">
        <v>1987</v>
      </c>
    </row>
    <row r="1986" spans="1:5">
      <c r="A1986">
        <f>HYPERLINK("http://www.twitter.com/realDonaldTrump/status/750548959240843265", "750548959240843265")</f>
        <v>0</v>
      </c>
      <c r="B1986" s="2">
        <v>42557.192025463</v>
      </c>
      <c r="C1986">
        <v>26024</v>
      </c>
      <c r="D1986">
        <v>8294</v>
      </c>
      <c r="E1986" t="s">
        <v>1988</v>
      </c>
    </row>
    <row r="1987" spans="1:5">
      <c r="A1987">
        <f>HYPERLINK("http://www.twitter.com/realDonaldTrump/status/750547338817638401", "750547338817638401")</f>
        <v>0</v>
      </c>
      <c r="B1987" s="2">
        <v>42557.1875462963</v>
      </c>
      <c r="C1987">
        <v>36681</v>
      </c>
      <c r="D1987">
        <v>12778</v>
      </c>
      <c r="E1987" t="s">
        <v>1989</v>
      </c>
    </row>
    <row r="1988" spans="1:5">
      <c r="A1988">
        <f>HYPERLINK("http://www.twitter.com/realDonaldTrump/status/750545570293506048", "750545570293506048")</f>
        <v>0</v>
      </c>
      <c r="B1988" s="2">
        <v>42557.1826736111</v>
      </c>
      <c r="C1988">
        <v>24920</v>
      </c>
      <c r="D1988">
        <v>6010</v>
      </c>
      <c r="E1988" t="s">
        <v>1990</v>
      </c>
    </row>
    <row r="1989" spans="1:5">
      <c r="A1989">
        <f>HYPERLINK("http://www.twitter.com/realDonaldTrump/status/750514941753434113", "750514941753434113")</f>
        <v>0</v>
      </c>
      <c r="B1989" s="2">
        <v>42557.0981481482</v>
      </c>
      <c r="C1989">
        <v>10493</v>
      </c>
      <c r="D1989">
        <v>2293</v>
      </c>
      <c r="E1989" t="s">
        <v>1991</v>
      </c>
    </row>
    <row r="1990" spans="1:5">
      <c r="A1990">
        <f>HYPERLINK("http://www.twitter.com/realDonaldTrump/status/750492628362334208", "750492628362334208")</f>
        <v>0</v>
      </c>
      <c r="B1990" s="2">
        <v>42557.0365740741</v>
      </c>
      <c r="C1990">
        <v>12086</v>
      </c>
      <c r="D1990">
        <v>2718</v>
      </c>
      <c r="E1990" t="s">
        <v>1992</v>
      </c>
    </row>
    <row r="1991" spans="1:5">
      <c r="A1991">
        <f>HYPERLINK("http://www.twitter.com/realDonaldTrump/status/750397898861445120", "750397898861445120")</f>
        <v>0</v>
      </c>
      <c r="B1991" s="2">
        <v>42556.7751736111</v>
      </c>
      <c r="C1991">
        <v>15569</v>
      </c>
      <c r="D1991">
        <v>3815</v>
      </c>
      <c r="E1991" t="s">
        <v>1993</v>
      </c>
    </row>
    <row r="1992" spans="1:5">
      <c r="A1992">
        <f>HYPERLINK("http://www.twitter.com/realDonaldTrump/status/750353319084843008", "750353319084843008")</f>
        <v>0</v>
      </c>
      <c r="B1992" s="2">
        <v>42556.6521527778</v>
      </c>
      <c r="C1992">
        <v>77038</v>
      </c>
      <c r="D1992">
        <v>39584</v>
      </c>
      <c r="E1992" t="s">
        <v>1994</v>
      </c>
    </row>
    <row r="1993" spans="1:5">
      <c r="A1993">
        <f>HYPERLINK("http://www.twitter.com/realDonaldTrump/status/750352884106223616", "750352884106223616")</f>
        <v>0</v>
      </c>
      <c r="B1993" s="2">
        <v>42556.6509606481</v>
      </c>
      <c r="C1993">
        <v>55257</v>
      </c>
      <c r="D1993">
        <v>22128</v>
      </c>
      <c r="E1993" t="s">
        <v>1995</v>
      </c>
    </row>
    <row r="1994" spans="1:5">
      <c r="A1994">
        <f>HYPERLINK("http://www.twitter.com/realDonaldTrump/status/750299631792291840", "750299631792291840")</f>
        <v>0</v>
      </c>
      <c r="B1994" s="2">
        <v>42556.5040046296</v>
      </c>
      <c r="C1994">
        <v>14855</v>
      </c>
      <c r="D1994">
        <v>3784</v>
      </c>
      <c r="E1994" t="s">
        <v>1996</v>
      </c>
    </row>
    <row r="1995" spans="1:5">
      <c r="A1995">
        <f>HYPERLINK("http://www.twitter.com/realDonaldTrump/status/750286846534582272", "750286846534582272")</f>
        <v>0</v>
      </c>
      <c r="B1995" s="2">
        <v>42556.4687268519</v>
      </c>
      <c r="C1995">
        <v>37713</v>
      </c>
      <c r="D1995">
        <v>14495</v>
      </c>
      <c r="E1995" t="s">
        <v>1997</v>
      </c>
    </row>
    <row r="1996" spans="1:5">
      <c r="A1996">
        <f>HYPERLINK("http://www.twitter.com/realDonaldTrump/status/750101826821877760", "750101826821877760")</f>
        <v>0</v>
      </c>
      <c r="B1996" s="2">
        <v>42555.9581712963</v>
      </c>
      <c r="C1996">
        <v>12604</v>
      </c>
      <c r="D1996">
        <v>2912</v>
      </c>
      <c r="E1996" t="s">
        <v>1998</v>
      </c>
    </row>
    <row r="1997" spans="1:5">
      <c r="A1997">
        <f>HYPERLINK("http://www.twitter.com/realDonaldTrump/status/750094399456026624", "750094399456026624")</f>
        <v>0</v>
      </c>
      <c r="B1997" s="2">
        <v>42555.9376736111</v>
      </c>
      <c r="C1997">
        <v>55425</v>
      </c>
      <c r="D1997">
        <v>21740</v>
      </c>
      <c r="E1997" t="s">
        <v>1999</v>
      </c>
    </row>
    <row r="1998" spans="1:5">
      <c r="A1998">
        <f>HYPERLINK("http://www.twitter.com/realDonaldTrump/status/749989709275885568", "749989709275885568")</f>
        <v>0</v>
      </c>
      <c r="B1998" s="2">
        <v>42555.6487847222</v>
      </c>
      <c r="C1998">
        <v>32187</v>
      </c>
      <c r="D1998">
        <v>12009</v>
      </c>
      <c r="E1998" t="s">
        <v>2000</v>
      </c>
    </row>
    <row r="1999" spans="1:5">
      <c r="A1999">
        <f>HYPERLINK("http://www.twitter.com/realDonaldTrump/status/749987869452828672", "749987869452828672")</f>
        <v>0</v>
      </c>
      <c r="B1999" s="2">
        <v>42555.6437037037</v>
      </c>
      <c r="C1999">
        <v>28151</v>
      </c>
      <c r="D1999">
        <v>10547</v>
      </c>
      <c r="E1999" t="s">
        <v>2001</v>
      </c>
    </row>
    <row r="2000" spans="1:5">
      <c r="A2000">
        <f>HYPERLINK("http://www.twitter.com/realDonaldTrump/status/749972298086645760", "749972298086645760")</f>
        <v>0</v>
      </c>
      <c r="B2000" s="2">
        <v>42555.6007407407</v>
      </c>
      <c r="C2000">
        <v>17059</v>
      </c>
      <c r="D2000">
        <v>4696</v>
      </c>
      <c r="E2000" t="s">
        <v>2002</v>
      </c>
    </row>
    <row r="2001" spans="1:5">
      <c r="A2001">
        <f>HYPERLINK("http://www.twitter.com/realDonaldTrump/status/749970824766091264", "749970824766091264")</f>
        <v>0</v>
      </c>
      <c r="B2001" s="2">
        <v>42555.5966782407</v>
      </c>
      <c r="C2001">
        <v>12401</v>
      </c>
      <c r="D2001">
        <v>3206</v>
      </c>
      <c r="E2001" t="s">
        <v>2003</v>
      </c>
    </row>
    <row r="2002" spans="1:5">
      <c r="A2002">
        <f>HYPERLINK("http://www.twitter.com/realDonaldTrump/status/749968796618817538", "749968796618817538")</f>
        <v>0</v>
      </c>
      <c r="B2002" s="2">
        <v>42555.5910763889</v>
      </c>
      <c r="C2002">
        <v>13727</v>
      </c>
      <c r="D2002">
        <v>3402</v>
      </c>
      <c r="E2002" t="s">
        <v>2004</v>
      </c>
    </row>
    <row r="2003" spans="1:5">
      <c r="A2003">
        <f>HYPERLINK("http://www.twitter.com/realDonaldTrump/status/749965127278034944", "749965127278034944")</f>
        <v>0</v>
      </c>
      <c r="B2003" s="2">
        <v>42555.5809490741</v>
      </c>
      <c r="C2003">
        <v>13516</v>
      </c>
      <c r="D2003">
        <v>3430</v>
      </c>
      <c r="E2003" t="s">
        <v>2005</v>
      </c>
    </row>
    <row r="2004" spans="1:5">
      <c r="A2004">
        <f>HYPERLINK("http://www.twitter.com/realDonaldTrump/status/749961528422625281", "749961528422625281")</f>
        <v>0</v>
      </c>
      <c r="B2004" s="2">
        <v>42555.5710185185</v>
      </c>
      <c r="C2004">
        <v>23902</v>
      </c>
      <c r="D2004">
        <v>7285</v>
      </c>
      <c r="E2004" t="s">
        <v>2006</v>
      </c>
    </row>
    <row r="2005" spans="1:5">
      <c r="A2005">
        <f>HYPERLINK("http://www.twitter.com/realDonaldTrump/status/749959090210832386", "749959090210832386")</f>
        <v>0</v>
      </c>
      <c r="B2005" s="2">
        <v>42555.5642939815</v>
      </c>
      <c r="C2005">
        <v>20250</v>
      </c>
      <c r="D2005">
        <v>7660</v>
      </c>
      <c r="E2005" t="s">
        <v>2007</v>
      </c>
    </row>
    <row r="2006" spans="1:5">
      <c r="A2006">
        <f>HYPERLINK("http://www.twitter.com/realDonaldTrump/status/749935837748596736", "749935837748596736")</f>
        <v>0</v>
      </c>
      <c r="B2006" s="2">
        <v>42555.5001273148</v>
      </c>
      <c r="C2006">
        <v>19677</v>
      </c>
      <c r="D2006">
        <v>6575</v>
      </c>
      <c r="E2006" t="s">
        <v>2008</v>
      </c>
    </row>
    <row r="2007" spans="1:5">
      <c r="A2007">
        <f>HYPERLINK("http://www.twitter.com/realDonaldTrump/status/749934450868387840", "749934450868387840")</f>
        <v>0</v>
      </c>
      <c r="B2007" s="2">
        <v>42555.4962962963</v>
      </c>
      <c r="C2007">
        <v>19771</v>
      </c>
      <c r="D2007">
        <v>6855</v>
      </c>
      <c r="E2007" t="s">
        <v>2009</v>
      </c>
    </row>
    <row r="2008" spans="1:5">
      <c r="A2008">
        <f>HYPERLINK("http://www.twitter.com/realDonaldTrump/status/749929565661884417", "749929565661884417")</f>
        <v>0</v>
      </c>
      <c r="B2008" s="2">
        <v>42555.4828240741</v>
      </c>
      <c r="C2008">
        <v>14085</v>
      </c>
      <c r="D2008">
        <v>5638</v>
      </c>
      <c r="E2008" t="s">
        <v>2010</v>
      </c>
    </row>
    <row r="2009" spans="1:5">
      <c r="A2009">
        <f>HYPERLINK("http://www.twitter.com/realDonaldTrump/status/749721116911034368", "749721116911034368")</f>
        <v>0</v>
      </c>
      <c r="B2009" s="2">
        <v>42554.9076157407</v>
      </c>
      <c r="C2009">
        <v>20040</v>
      </c>
      <c r="D2009">
        <v>6321</v>
      </c>
      <c r="E2009" t="s">
        <v>2011</v>
      </c>
    </row>
    <row r="2010" spans="1:5">
      <c r="A2010">
        <f>HYPERLINK("http://www.twitter.com/realDonaldTrump/status/749720224220475393", "749720224220475393")</f>
        <v>0</v>
      </c>
      <c r="B2010" s="2">
        <v>42554.905150463</v>
      </c>
      <c r="C2010">
        <v>21943</v>
      </c>
      <c r="D2010">
        <v>8115</v>
      </c>
      <c r="E2010" t="s">
        <v>2012</v>
      </c>
    </row>
    <row r="2011" spans="1:5">
      <c r="A2011">
        <f>HYPERLINK("http://www.twitter.com/realDonaldTrump/status/749718947973529600", "749718947973529600")</f>
        <v>0</v>
      </c>
      <c r="B2011" s="2">
        <v>42554.9016203704</v>
      </c>
      <c r="C2011">
        <v>21844</v>
      </c>
      <c r="D2011">
        <v>7746</v>
      </c>
      <c r="E2011" t="s">
        <v>2013</v>
      </c>
    </row>
    <row r="2012" spans="1:5">
      <c r="A2012">
        <f>HYPERLINK("http://www.twitter.com/realDonaldTrump/status/749709462974435329", "749709462974435329")</f>
        <v>0</v>
      </c>
      <c r="B2012" s="2">
        <v>42554.8754513889</v>
      </c>
      <c r="C2012">
        <v>24246</v>
      </c>
      <c r="D2012">
        <v>10107</v>
      </c>
      <c r="E2012" t="s">
        <v>2014</v>
      </c>
    </row>
    <row r="2013" spans="1:5">
      <c r="A2013">
        <f>HYPERLINK("http://www.twitter.com/realDonaldTrump/status/749706242579247105", "749706242579247105")</f>
        <v>0</v>
      </c>
      <c r="B2013" s="2">
        <v>42554.8665625</v>
      </c>
      <c r="C2013">
        <v>20890</v>
      </c>
      <c r="D2013">
        <v>5551</v>
      </c>
      <c r="E2013" t="s">
        <v>2015</v>
      </c>
    </row>
    <row r="2014" spans="1:5">
      <c r="A2014">
        <f>HYPERLINK("http://www.twitter.com/realDonaldTrump/status/749699315367612416", "749699315367612416")</f>
        <v>0</v>
      </c>
      <c r="B2014" s="2">
        <v>42554.8474537037</v>
      </c>
      <c r="C2014">
        <v>24052</v>
      </c>
      <c r="D2014">
        <v>8641</v>
      </c>
      <c r="E2014" t="s">
        <v>2016</v>
      </c>
    </row>
    <row r="2015" spans="1:5">
      <c r="A2015">
        <f>HYPERLINK("http://www.twitter.com/realDonaldTrump/status/749698321074180096", "749698321074180096")</f>
        <v>0</v>
      </c>
      <c r="B2015" s="2">
        <v>42554.8447106481</v>
      </c>
      <c r="C2015">
        <v>26645</v>
      </c>
      <c r="D2015">
        <v>9262</v>
      </c>
      <c r="E2015" t="s">
        <v>2017</v>
      </c>
    </row>
    <row r="2016" spans="1:5">
      <c r="A2016">
        <f>HYPERLINK("http://www.twitter.com/realDonaldTrump/status/749659173353299968", "749659173353299968")</f>
        <v>0</v>
      </c>
      <c r="B2016" s="2">
        <v>42554.7366782407</v>
      </c>
      <c r="C2016">
        <v>19712</v>
      </c>
      <c r="D2016">
        <v>5756</v>
      </c>
      <c r="E2016" t="s">
        <v>2018</v>
      </c>
    </row>
    <row r="2017" spans="1:5">
      <c r="A2017">
        <f>HYPERLINK("http://www.twitter.com/realDonaldTrump/status/749350193095667713", "749350193095667713")</f>
        <v>0</v>
      </c>
      <c r="B2017" s="2">
        <v>42553.8840509259</v>
      </c>
      <c r="C2017">
        <v>48754</v>
      </c>
      <c r="D2017">
        <v>20712</v>
      </c>
      <c r="E2017" t="s">
        <v>2019</v>
      </c>
    </row>
    <row r="2018" spans="1:5">
      <c r="A2018">
        <f>HYPERLINK("http://www.twitter.com/realDonaldTrump/status/749341789102960640", "749341789102960640")</f>
        <v>0</v>
      </c>
      <c r="B2018" s="2">
        <v>42553.8608680556</v>
      </c>
      <c r="C2018">
        <v>35489</v>
      </c>
      <c r="D2018">
        <v>12704</v>
      </c>
      <c r="E2018" t="s">
        <v>2020</v>
      </c>
    </row>
    <row r="2019" spans="1:5">
      <c r="A2019">
        <f>HYPERLINK("http://www.twitter.com/realDonaldTrump/status/749264697233383424", "749264697233383424")</f>
        <v>0</v>
      </c>
      <c r="B2019" s="2">
        <v>42553.6481365741</v>
      </c>
      <c r="C2019">
        <v>14298</v>
      </c>
      <c r="D2019">
        <v>5880</v>
      </c>
      <c r="E2019" t="s">
        <v>2021</v>
      </c>
    </row>
    <row r="2020" spans="1:5">
      <c r="A2020">
        <f>HYPERLINK("http://www.twitter.com/realDonaldTrump/status/749264383990194176", "749264383990194176")</f>
        <v>0</v>
      </c>
      <c r="B2020" s="2">
        <v>42553.6472685185</v>
      </c>
      <c r="C2020">
        <v>8964</v>
      </c>
      <c r="D2020">
        <v>2929</v>
      </c>
      <c r="E2020" t="s">
        <v>2022</v>
      </c>
    </row>
    <row r="2021" spans="1:5">
      <c r="A2021">
        <f>HYPERLINK("http://www.twitter.com/realDonaldTrump/status/749263772703985664", "749263772703985664")</f>
        <v>0</v>
      </c>
      <c r="B2021" s="2">
        <v>42553.6455787037</v>
      </c>
      <c r="C2021">
        <v>0</v>
      </c>
      <c r="D2021">
        <v>6708</v>
      </c>
      <c r="E2021" t="s">
        <v>2023</v>
      </c>
    </row>
    <row r="2022" spans="1:5">
      <c r="A2022">
        <f>HYPERLINK("http://www.twitter.com/realDonaldTrump/status/749262206672445441", "749262206672445441")</f>
        <v>0</v>
      </c>
      <c r="B2022" s="2">
        <v>42553.6412615741</v>
      </c>
      <c r="C2022">
        <v>23621</v>
      </c>
      <c r="D2022">
        <v>8351</v>
      </c>
      <c r="E2022" t="s">
        <v>2024</v>
      </c>
    </row>
    <row r="2023" spans="1:5">
      <c r="A2023">
        <f>HYPERLINK("http://www.twitter.com/realDonaldTrump/status/749261242137710592", "749261242137710592")</f>
        <v>0</v>
      </c>
      <c r="B2023" s="2">
        <v>42553.638599537</v>
      </c>
      <c r="C2023">
        <v>9836</v>
      </c>
      <c r="D2023">
        <v>4006</v>
      </c>
      <c r="E2023" t="s">
        <v>2025</v>
      </c>
    </row>
    <row r="2024" spans="1:5">
      <c r="A2024">
        <f>HYPERLINK("http://www.twitter.com/realDonaldTrump/status/749261175968436224", "749261175968436224")</f>
        <v>0</v>
      </c>
      <c r="B2024" s="2">
        <v>42553.6384143519</v>
      </c>
      <c r="C2024">
        <v>25060</v>
      </c>
      <c r="D2024">
        <v>10859</v>
      </c>
      <c r="E2024" t="s">
        <v>2026</v>
      </c>
    </row>
    <row r="2025" spans="1:5">
      <c r="A2025">
        <f>HYPERLINK("http://www.twitter.com/realDonaldTrump/status/749240145442922496", "749240145442922496")</f>
        <v>0</v>
      </c>
      <c r="B2025" s="2">
        <v>42553.5803819444</v>
      </c>
      <c r="C2025">
        <v>25316</v>
      </c>
      <c r="D2025">
        <v>10058</v>
      </c>
      <c r="E2025" t="s">
        <v>2027</v>
      </c>
    </row>
    <row r="2026" spans="1:5">
      <c r="A2026">
        <f>HYPERLINK("http://www.twitter.com/realDonaldTrump/status/749237508916056064", "749237508916056064")</f>
        <v>0</v>
      </c>
      <c r="B2026" s="2">
        <v>42553.5731018518</v>
      </c>
      <c r="C2026">
        <v>16111</v>
      </c>
      <c r="D2026">
        <v>5811</v>
      </c>
      <c r="E2026" t="s">
        <v>2028</v>
      </c>
    </row>
    <row r="2027" spans="1:5">
      <c r="A2027">
        <f>HYPERLINK("http://www.twitter.com/realDonaldTrump/status/749209816732672000", "749209816732672000")</f>
        <v>0</v>
      </c>
      <c r="B2027" s="2">
        <v>42553.4966898148</v>
      </c>
      <c r="C2027">
        <v>14406</v>
      </c>
      <c r="D2027">
        <v>4548</v>
      </c>
      <c r="E2027" t="s">
        <v>2029</v>
      </c>
    </row>
    <row r="2028" spans="1:5">
      <c r="A2028">
        <f>HYPERLINK("http://www.twitter.com/realDonaldTrump/status/749208070505586688", "749208070505586688")</f>
        <v>0</v>
      </c>
      <c r="B2028" s="2">
        <v>42553.491875</v>
      </c>
      <c r="C2028">
        <v>12697</v>
      </c>
      <c r="D2028">
        <v>3968</v>
      </c>
      <c r="E2028" t="s">
        <v>2030</v>
      </c>
    </row>
    <row r="2029" spans="1:5">
      <c r="A2029">
        <f>HYPERLINK("http://www.twitter.com/realDonaldTrump/status/749052325130534912", "749052325130534912")</f>
        <v>0</v>
      </c>
      <c r="B2029" s="2">
        <v>42553.0620949074</v>
      </c>
      <c r="C2029">
        <v>13879</v>
      </c>
      <c r="D2029">
        <v>4971</v>
      </c>
      <c r="E2029" t="s">
        <v>2031</v>
      </c>
    </row>
    <row r="2030" spans="1:5">
      <c r="A2030">
        <f>HYPERLINK("http://www.twitter.com/realDonaldTrump/status/749049896431415296", "749049896431415296")</f>
        <v>0</v>
      </c>
      <c r="B2030" s="2">
        <v>42553.0553935185</v>
      </c>
      <c r="C2030">
        <v>14848</v>
      </c>
      <c r="D2030">
        <v>3100</v>
      </c>
      <c r="E2030" t="s">
        <v>2032</v>
      </c>
    </row>
    <row r="2031" spans="1:5">
      <c r="A2031">
        <f>HYPERLINK("http://www.twitter.com/realDonaldTrump/status/748966167549603840", "748966167549603840")</f>
        <v>0</v>
      </c>
      <c r="B2031" s="2">
        <v>42552.8243518519</v>
      </c>
      <c r="C2031">
        <v>13236</v>
      </c>
      <c r="D2031">
        <v>4016</v>
      </c>
      <c r="E2031" t="s">
        <v>2033</v>
      </c>
    </row>
    <row r="2032" spans="1:5">
      <c r="A2032">
        <f>HYPERLINK("http://www.twitter.com/realDonaldTrump/status/748926103931150336", "748926103931150336")</f>
        <v>0</v>
      </c>
      <c r="B2032" s="2">
        <v>42552.7137962963</v>
      </c>
      <c r="C2032">
        <v>25662</v>
      </c>
      <c r="D2032">
        <v>7933</v>
      </c>
      <c r="E2032" t="s">
        <v>2034</v>
      </c>
    </row>
    <row r="2033" spans="1:5">
      <c r="A2033">
        <f>HYPERLINK("http://www.twitter.com/realDonaldTrump/status/748920081942327296", "748920081942327296")</f>
        <v>0</v>
      </c>
      <c r="B2033" s="2">
        <v>42552.6971759259</v>
      </c>
      <c r="C2033">
        <v>14344</v>
      </c>
      <c r="D2033">
        <v>6862</v>
      </c>
      <c r="E2033" t="s">
        <v>2035</v>
      </c>
    </row>
    <row r="2034" spans="1:5">
      <c r="A2034">
        <f>HYPERLINK("http://www.twitter.com/realDonaldTrump/status/748906952713875456", "748906952713875456")</f>
        <v>0</v>
      </c>
      <c r="B2034" s="2">
        <v>42552.6609490741</v>
      </c>
      <c r="C2034">
        <v>9282</v>
      </c>
      <c r="D2034">
        <v>4120</v>
      </c>
      <c r="E2034" t="s">
        <v>2036</v>
      </c>
    </row>
    <row r="2035" spans="1:5">
      <c r="A2035">
        <f>HYPERLINK("http://www.twitter.com/realDonaldTrump/status/748871858553024512", "748871858553024512")</f>
        <v>0</v>
      </c>
      <c r="B2035" s="2">
        <v>42552.5641087963</v>
      </c>
      <c r="C2035">
        <v>13487</v>
      </c>
      <c r="D2035">
        <v>5446</v>
      </c>
      <c r="E2035" t="s">
        <v>2037</v>
      </c>
    </row>
    <row r="2036" spans="1:5">
      <c r="A2036">
        <f>HYPERLINK("http://www.twitter.com/realDonaldTrump/status/748869825208913921", "748869825208913921")</f>
        <v>0</v>
      </c>
      <c r="B2036" s="2">
        <v>42552.5584953704</v>
      </c>
      <c r="C2036">
        <v>10198</v>
      </c>
      <c r="D2036">
        <v>2513</v>
      </c>
      <c r="E2036" t="s">
        <v>2038</v>
      </c>
    </row>
    <row r="2037" spans="1:5">
      <c r="A2037">
        <f>HYPERLINK("http://www.twitter.com/realDonaldTrump/status/748851849185243136", "748851849185243136")</f>
        <v>0</v>
      </c>
      <c r="B2037" s="2">
        <v>42552.5088888889</v>
      </c>
      <c r="C2037">
        <v>26982</v>
      </c>
      <c r="D2037">
        <v>10542</v>
      </c>
      <c r="E2037" t="s">
        <v>2039</v>
      </c>
    </row>
    <row r="2038" spans="1:5">
      <c r="A2038">
        <f>HYPERLINK("http://www.twitter.com/realDonaldTrump/status/748851673313873920", "748851673313873920")</f>
        <v>0</v>
      </c>
      <c r="B2038" s="2">
        <v>42552.5084027778</v>
      </c>
      <c r="C2038">
        <v>19846</v>
      </c>
      <c r="D2038">
        <v>7744</v>
      </c>
      <c r="E2038" t="s">
        <v>2040</v>
      </c>
    </row>
    <row r="2039" spans="1:5">
      <c r="A2039">
        <f>HYPERLINK("http://www.twitter.com/realDonaldTrump/status/748851569190318080", "748851569190318080")</f>
        <v>0</v>
      </c>
      <c r="B2039" s="2">
        <v>42552.5081134259</v>
      </c>
      <c r="C2039">
        <v>17918</v>
      </c>
      <c r="D2039">
        <v>5889</v>
      </c>
      <c r="E2039" t="s">
        <v>2041</v>
      </c>
    </row>
    <row r="2040" spans="1:5">
      <c r="A2040">
        <f>HYPERLINK("http://www.twitter.com/realDonaldTrump/status/748712661764804608", "748712661764804608")</f>
        <v>0</v>
      </c>
      <c r="B2040" s="2">
        <v>42552.1248032407</v>
      </c>
      <c r="C2040">
        <v>13323</v>
      </c>
      <c r="D2040">
        <v>5041</v>
      </c>
      <c r="E2040" t="s">
        <v>2042</v>
      </c>
    </row>
    <row r="2041" spans="1:5">
      <c r="A2041">
        <f>HYPERLINK("http://www.twitter.com/realDonaldTrump/status/748647669707350016", "748647669707350016")</f>
        <v>0</v>
      </c>
      <c r="B2041" s="2">
        <v>42551.945462963</v>
      </c>
      <c r="C2041">
        <v>10932</v>
      </c>
      <c r="D2041">
        <v>2981</v>
      </c>
      <c r="E2041" t="s">
        <v>2043</v>
      </c>
    </row>
    <row r="2042" spans="1:5">
      <c r="A2042">
        <f>HYPERLINK("http://www.twitter.com/realDonaldTrump/status/748599711792234496", "748599711792234496")</f>
        <v>0</v>
      </c>
      <c r="B2042" s="2">
        <v>42551.813125</v>
      </c>
      <c r="C2042">
        <v>26629</v>
      </c>
      <c r="D2042">
        <v>8395</v>
      </c>
      <c r="E2042" t="s">
        <v>2044</v>
      </c>
    </row>
    <row r="2043" spans="1:5">
      <c r="A2043">
        <f>HYPERLINK("http://www.twitter.com/realDonaldTrump/status/748599572230975492", "748599572230975492")</f>
        <v>0</v>
      </c>
      <c r="B2043" s="2">
        <v>42551.8127314815</v>
      </c>
      <c r="C2043">
        <v>18240</v>
      </c>
      <c r="D2043">
        <v>4950</v>
      </c>
      <c r="E2043" t="s">
        <v>2045</v>
      </c>
    </row>
    <row r="2044" spans="1:5">
      <c r="A2044">
        <f>HYPERLINK("http://www.twitter.com/realDonaldTrump/status/748599438034206720", "748599438034206720")</f>
        <v>0</v>
      </c>
      <c r="B2044" s="2">
        <v>42551.8123611111</v>
      </c>
      <c r="C2044">
        <v>16158</v>
      </c>
      <c r="D2044">
        <v>5237</v>
      </c>
      <c r="E2044" t="s">
        <v>2046</v>
      </c>
    </row>
    <row r="2045" spans="1:5">
      <c r="A2045">
        <f>HYPERLINK("http://www.twitter.com/realDonaldTrump/status/748599094252273664", "748599094252273664")</f>
        <v>0</v>
      </c>
      <c r="B2045" s="2">
        <v>42551.8114236111</v>
      </c>
      <c r="C2045">
        <v>16921</v>
      </c>
      <c r="D2045">
        <v>7727</v>
      </c>
      <c r="E2045" t="s">
        <v>2047</v>
      </c>
    </row>
    <row r="2046" spans="1:5">
      <c r="A2046">
        <f>HYPERLINK("http://www.twitter.com/realDonaldTrump/status/748590222988947457", "748590222988947457")</f>
        <v>0</v>
      </c>
      <c r="B2046" s="2">
        <v>42551.7869328704</v>
      </c>
      <c r="C2046">
        <v>11870</v>
      </c>
      <c r="D2046">
        <v>4937</v>
      </c>
      <c r="E2046" t="s">
        <v>2048</v>
      </c>
    </row>
    <row r="2047" spans="1:5">
      <c r="A2047">
        <f>HYPERLINK("http://www.twitter.com/realDonaldTrump/status/748569874042064900", "748569874042064900")</f>
        <v>0</v>
      </c>
      <c r="B2047" s="2">
        <v>42551.730787037</v>
      </c>
      <c r="C2047">
        <v>11270</v>
      </c>
      <c r="D2047">
        <v>4166</v>
      </c>
      <c r="E2047" t="s">
        <v>2049</v>
      </c>
    </row>
    <row r="2048" spans="1:5">
      <c r="A2048">
        <f>HYPERLINK("http://www.twitter.com/realDonaldTrump/status/748528593634992128", "748528593634992128")</f>
        <v>0</v>
      </c>
      <c r="B2048" s="2">
        <v>42551.616875</v>
      </c>
      <c r="C2048">
        <v>12736</v>
      </c>
      <c r="D2048">
        <v>5885</v>
      </c>
      <c r="E2048" t="s">
        <v>2050</v>
      </c>
    </row>
    <row r="2049" spans="1:5">
      <c r="A2049">
        <f>HYPERLINK("http://www.twitter.com/realDonaldTrump/status/748525411341049857", "748525411341049857")</f>
        <v>0</v>
      </c>
      <c r="B2049" s="2">
        <v>42551.6080902778</v>
      </c>
      <c r="C2049">
        <v>0</v>
      </c>
      <c r="D2049">
        <v>5712</v>
      </c>
      <c r="E2049" t="s">
        <v>2051</v>
      </c>
    </row>
    <row r="2050" spans="1:5">
      <c r="A2050">
        <f>HYPERLINK("http://www.twitter.com/realDonaldTrump/status/748345210372038656", "748345210372038656")</f>
        <v>0</v>
      </c>
      <c r="B2050" s="2">
        <v>42551.1108333333</v>
      </c>
      <c r="C2050">
        <v>15010</v>
      </c>
      <c r="D2050">
        <v>5362</v>
      </c>
      <c r="E2050" t="s">
        <v>2052</v>
      </c>
    </row>
    <row r="2051" spans="1:5">
      <c r="A2051">
        <f>HYPERLINK("http://www.twitter.com/realDonaldTrump/status/748343042994733056", "748343042994733056")</f>
        <v>0</v>
      </c>
      <c r="B2051" s="2">
        <v>42551.104849537</v>
      </c>
      <c r="C2051">
        <v>13763</v>
      </c>
      <c r="D2051">
        <v>3301</v>
      </c>
      <c r="E2051" t="s">
        <v>2053</v>
      </c>
    </row>
    <row r="2052" spans="1:5">
      <c r="A2052">
        <f>HYPERLINK("http://www.twitter.com/realDonaldTrump/status/748331931616579585", "748331931616579585")</f>
        <v>0</v>
      </c>
      <c r="B2052" s="2">
        <v>42551.0741898148</v>
      </c>
      <c r="C2052">
        <v>16150</v>
      </c>
      <c r="D2052">
        <v>5838</v>
      </c>
      <c r="E2052" t="s">
        <v>2054</v>
      </c>
    </row>
    <row r="2053" spans="1:5">
      <c r="A2053">
        <f>HYPERLINK("http://www.twitter.com/realDonaldTrump/status/748289375801323520", "748289375801323520")</f>
        <v>0</v>
      </c>
      <c r="B2053" s="2">
        <v>42550.9567592593</v>
      </c>
      <c r="C2053">
        <v>10089</v>
      </c>
      <c r="D2053">
        <v>2408</v>
      </c>
      <c r="E2053" t="s">
        <v>2055</v>
      </c>
    </row>
    <row r="2054" spans="1:5">
      <c r="A2054">
        <f>HYPERLINK("http://www.twitter.com/realDonaldTrump/status/748219891577131010", "748219891577131010")</f>
        <v>0</v>
      </c>
      <c r="B2054" s="2">
        <v>42550.7650231481</v>
      </c>
      <c r="C2054">
        <v>26213</v>
      </c>
      <c r="D2054">
        <v>9910</v>
      </c>
      <c r="E2054" t="s">
        <v>2056</v>
      </c>
    </row>
    <row r="2055" spans="1:5">
      <c r="A2055">
        <f>HYPERLINK("http://www.twitter.com/realDonaldTrump/status/748166232298381312", "748166232298381312")</f>
        <v>0</v>
      </c>
      <c r="B2055" s="2">
        <v>42550.6169444444</v>
      </c>
      <c r="C2055">
        <v>9422</v>
      </c>
      <c r="D2055">
        <v>2710</v>
      </c>
      <c r="E2055" t="s">
        <v>2057</v>
      </c>
    </row>
    <row r="2056" spans="1:5">
      <c r="A2056">
        <f>HYPERLINK("http://www.twitter.com/realDonaldTrump/status/748163921383723008", "748163921383723008")</f>
        <v>0</v>
      </c>
      <c r="B2056" s="2">
        <v>42550.6105671296</v>
      </c>
      <c r="C2056">
        <v>20809</v>
      </c>
      <c r="D2056">
        <v>6601</v>
      </c>
      <c r="E2056" t="s">
        <v>2058</v>
      </c>
    </row>
    <row r="2057" spans="1:5">
      <c r="A2057">
        <f>HYPERLINK("http://www.twitter.com/realDonaldTrump/status/748163517455413248", "748163517455413248")</f>
        <v>0</v>
      </c>
      <c r="B2057" s="2">
        <v>42550.6094560185</v>
      </c>
      <c r="C2057">
        <v>9742</v>
      </c>
      <c r="D2057">
        <v>2638</v>
      </c>
      <c r="E2057" t="s">
        <v>2059</v>
      </c>
    </row>
    <row r="2058" spans="1:5">
      <c r="A2058">
        <f>HYPERLINK("http://www.twitter.com/realDonaldTrump/status/748142709932756992", "748142709932756992")</f>
        <v>0</v>
      </c>
      <c r="B2058" s="2">
        <v>42550.552037037</v>
      </c>
      <c r="C2058">
        <v>18796</v>
      </c>
      <c r="D2058">
        <v>6360</v>
      </c>
      <c r="E2058" t="s">
        <v>2060</v>
      </c>
    </row>
    <row r="2059" spans="1:5">
      <c r="A2059">
        <f>HYPERLINK("http://www.twitter.com/realDonaldTrump/status/748141420528140288", "748141420528140288")</f>
        <v>0</v>
      </c>
      <c r="B2059" s="2">
        <v>42550.5484837963</v>
      </c>
      <c r="C2059">
        <v>13235</v>
      </c>
      <c r="D2059">
        <v>4287</v>
      </c>
      <c r="E2059" t="s">
        <v>2061</v>
      </c>
    </row>
    <row r="2060" spans="1:5">
      <c r="A2060">
        <f>HYPERLINK("http://www.twitter.com/realDonaldTrump/status/747986907162877952", "747986907162877952")</f>
        <v>0</v>
      </c>
      <c r="B2060" s="2">
        <v>42550.1221064815</v>
      </c>
      <c r="C2060">
        <v>19071</v>
      </c>
      <c r="D2060">
        <v>5419</v>
      </c>
      <c r="E2060" t="s">
        <v>2062</v>
      </c>
    </row>
    <row r="2061" spans="1:5">
      <c r="A2061">
        <f>HYPERLINK("http://www.twitter.com/realDonaldTrump/status/747950659111006208", "747950659111006208")</f>
        <v>0</v>
      </c>
      <c r="B2061" s="2">
        <v>42550.0220833333</v>
      </c>
      <c r="C2061">
        <v>11768</v>
      </c>
      <c r="D2061">
        <v>3777</v>
      </c>
      <c r="E2061" t="s">
        <v>2063</v>
      </c>
    </row>
    <row r="2062" spans="1:5">
      <c r="A2062">
        <f>HYPERLINK("http://www.twitter.com/realDonaldTrump/status/747900114363092992", "747900114363092992")</f>
        <v>0</v>
      </c>
      <c r="B2062" s="2">
        <v>42549.8826041667</v>
      </c>
      <c r="C2062">
        <v>37653</v>
      </c>
      <c r="D2062">
        <v>13868</v>
      </c>
      <c r="E2062" t="s">
        <v>2064</v>
      </c>
    </row>
    <row r="2063" spans="1:5">
      <c r="A2063">
        <f>HYPERLINK("http://www.twitter.com/realDonaldTrump/status/747899586593890309", "747899586593890309")</f>
        <v>0</v>
      </c>
      <c r="B2063" s="2">
        <v>42549.8811458333</v>
      </c>
      <c r="C2063">
        <v>31677</v>
      </c>
      <c r="D2063">
        <v>12189</v>
      </c>
      <c r="E2063" t="s">
        <v>2065</v>
      </c>
    </row>
    <row r="2064" spans="1:5">
      <c r="A2064">
        <f>HYPERLINK("http://www.twitter.com/realDonaldTrump/status/747888895581372416", "747888895581372416")</f>
        <v>0</v>
      </c>
      <c r="B2064" s="2">
        <v>42549.8516435185</v>
      </c>
      <c r="C2064">
        <v>25644</v>
      </c>
      <c r="D2064">
        <v>9149</v>
      </c>
      <c r="E2064" t="s">
        <v>2066</v>
      </c>
    </row>
    <row r="2065" spans="1:5">
      <c r="A2065">
        <f>HYPERLINK("http://www.twitter.com/realDonaldTrump/status/747888354126069761", "747888354126069761")</f>
        <v>0</v>
      </c>
      <c r="B2065" s="2">
        <v>42549.850150463</v>
      </c>
      <c r="C2065">
        <v>23301</v>
      </c>
      <c r="D2065">
        <v>7856</v>
      </c>
      <c r="E2065" t="s">
        <v>2067</v>
      </c>
    </row>
    <row r="2066" spans="1:5">
      <c r="A2066">
        <f>HYPERLINK("http://www.twitter.com/realDonaldTrump/status/747874856130183168", "747874856130183168")</f>
        <v>0</v>
      </c>
      <c r="B2066" s="2">
        <v>42549.8129050926</v>
      </c>
      <c r="C2066">
        <v>10752</v>
      </c>
      <c r="D2066">
        <v>5060</v>
      </c>
      <c r="E2066" t="s">
        <v>2068</v>
      </c>
    </row>
    <row r="2067" spans="1:5">
      <c r="A2067">
        <f>HYPERLINK("http://www.twitter.com/realDonaldTrump/status/747874261583470592", "747874261583470592")</f>
        <v>0</v>
      </c>
      <c r="B2067" s="2">
        <v>42549.8112615741</v>
      </c>
      <c r="C2067">
        <v>12213</v>
      </c>
      <c r="D2067">
        <v>3176</v>
      </c>
      <c r="E2067" t="s">
        <v>2069</v>
      </c>
    </row>
    <row r="2068" spans="1:5">
      <c r="A2068">
        <f>HYPERLINK("http://www.twitter.com/realDonaldTrump/status/747873880103059457", "747873880103059457")</f>
        <v>0</v>
      </c>
      <c r="B2068" s="2">
        <v>42549.8102083333</v>
      </c>
      <c r="C2068">
        <v>7191</v>
      </c>
      <c r="D2068">
        <v>2089</v>
      </c>
      <c r="E2068" t="s">
        <v>2070</v>
      </c>
    </row>
    <row r="2069" spans="1:5">
      <c r="A2069">
        <f>HYPERLINK("http://www.twitter.com/realDonaldTrump/status/747873381077356545", "747873381077356545")</f>
        <v>0</v>
      </c>
      <c r="B2069" s="2">
        <v>42549.8088310185</v>
      </c>
      <c r="C2069">
        <v>8711</v>
      </c>
      <c r="D2069">
        <v>2790</v>
      </c>
      <c r="E2069" t="s">
        <v>2071</v>
      </c>
    </row>
    <row r="2070" spans="1:5">
      <c r="A2070">
        <f>HYPERLINK("http://www.twitter.com/realDonaldTrump/status/747873311531614208", "747873311531614208")</f>
        <v>0</v>
      </c>
      <c r="B2070" s="2">
        <v>42549.8086342593</v>
      </c>
      <c r="C2070">
        <v>9792</v>
      </c>
      <c r="D2070">
        <v>3020</v>
      </c>
      <c r="E2070" t="s">
        <v>2072</v>
      </c>
    </row>
    <row r="2071" spans="1:5">
      <c r="A2071">
        <f>HYPERLINK("http://www.twitter.com/realDonaldTrump/status/747873024515407872", "747873024515407872")</f>
        <v>0</v>
      </c>
      <c r="B2071" s="2">
        <v>42549.8078472222</v>
      </c>
      <c r="C2071">
        <v>8675</v>
      </c>
      <c r="D2071">
        <v>2528</v>
      </c>
      <c r="E2071" t="s">
        <v>2073</v>
      </c>
    </row>
    <row r="2072" spans="1:5">
      <c r="A2072">
        <f>HYPERLINK("http://www.twitter.com/realDonaldTrump/status/747872257872125952", "747872257872125952")</f>
        <v>0</v>
      </c>
      <c r="B2072" s="2">
        <v>42549.8057291667</v>
      </c>
      <c r="C2072">
        <v>7073</v>
      </c>
      <c r="D2072">
        <v>1933</v>
      </c>
      <c r="E2072" t="s">
        <v>2074</v>
      </c>
    </row>
    <row r="2073" spans="1:5">
      <c r="A2073">
        <f>HYPERLINK("http://www.twitter.com/realDonaldTrump/status/747424042181791744", "747424042181791744")</f>
        <v>0</v>
      </c>
      <c r="B2073" s="2">
        <v>42548.5688888889</v>
      </c>
      <c r="C2073">
        <v>23239</v>
      </c>
      <c r="D2073">
        <v>6997</v>
      </c>
      <c r="E2073" t="s">
        <v>2075</v>
      </c>
    </row>
    <row r="2074" spans="1:5">
      <c r="A2074">
        <f>HYPERLINK("http://www.twitter.com/realDonaldTrump/status/747418754255052802", "747418754255052802")</f>
        <v>0</v>
      </c>
      <c r="B2074" s="2">
        <v>42548.5543055556</v>
      </c>
      <c r="C2074">
        <v>21629</v>
      </c>
      <c r="D2074">
        <v>6790</v>
      </c>
      <c r="E2074" t="s">
        <v>2076</v>
      </c>
    </row>
    <row r="2075" spans="1:5">
      <c r="A2075">
        <f>HYPERLINK("http://www.twitter.com/realDonaldTrump/status/747415955400196096", "747415955400196096")</f>
        <v>0</v>
      </c>
      <c r="B2075" s="2">
        <v>42548.5465740741</v>
      </c>
      <c r="C2075">
        <v>25381</v>
      </c>
      <c r="D2075">
        <v>8077</v>
      </c>
      <c r="E2075" t="s">
        <v>2077</v>
      </c>
    </row>
    <row r="2076" spans="1:5">
      <c r="A2076">
        <f>HYPERLINK("http://www.twitter.com/realDonaldTrump/status/747241330552737793", "747241330552737793")</f>
        <v>0</v>
      </c>
      <c r="B2076" s="2">
        <v>42548.0646990741</v>
      </c>
      <c r="C2076">
        <v>23502</v>
      </c>
      <c r="D2076">
        <v>8714</v>
      </c>
      <c r="E2076" t="s">
        <v>2078</v>
      </c>
    </row>
    <row r="2077" spans="1:5">
      <c r="A2077">
        <f>HYPERLINK("http://www.twitter.com/realDonaldTrump/status/747240949370261504", "747240949370261504")</f>
        <v>0</v>
      </c>
      <c r="B2077" s="2">
        <v>42548.0636574074</v>
      </c>
      <c r="C2077">
        <v>19731</v>
      </c>
      <c r="D2077">
        <v>5947</v>
      </c>
      <c r="E2077" t="s">
        <v>2079</v>
      </c>
    </row>
    <row r="2078" spans="1:5">
      <c r="A2078">
        <f>HYPERLINK("http://www.twitter.com/realDonaldTrump/status/747227503329173505", "747227503329173505")</f>
        <v>0</v>
      </c>
      <c r="B2078" s="2">
        <v>42548.0265509259</v>
      </c>
      <c r="C2078">
        <v>21018</v>
      </c>
      <c r="D2078">
        <v>9131</v>
      </c>
      <c r="E2078" t="s">
        <v>2080</v>
      </c>
    </row>
    <row r="2079" spans="1:5">
      <c r="A2079">
        <f>HYPERLINK("http://www.twitter.com/realDonaldTrump/status/747208970201333760", "747208970201333760")</f>
        <v>0</v>
      </c>
      <c r="B2079" s="2">
        <v>42547.9754050926</v>
      </c>
      <c r="C2079">
        <v>11339</v>
      </c>
      <c r="D2079">
        <v>3287</v>
      </c>
      <c r="E2079" t="s">
        <v>2081</v>
      </c>
    </row>
    <row r="2080" spans="1:5">
      <c r="A2080">
        <f>HYPERLINK("http://www.twitter.com/realDonaldTrump/status/747206160806219776", "747206160806219776")</f>
        <v>0</v>
      </c>
      <c r="B2080" s="2">
        <v>42547.967650463</v>
      </c>
      <c r="C2080">
        <v>14883</v>
      </c>
      <c r="D2080">
        <v>5084</v>
      </c>
      <c r="E2080" t="s">
        <v>2082</v>
      </c>
    </row>
    <row r="2081" spans="1:5">
      <c r="A2081">
        <f>HYPERLINK("http://www.twitter.com/realDonaldTrump/status/747194865633595392", "747194865633595392")</f>
        <v>0</v>
      </c>
      <c r="B2081" s="2">
        <v>42547.9364814815</v>
      </c>
      <c r="C2081">
        <v>10863</v>
      </c>
      <c r="D2081">
        <v>4269</v>
      </c>
      <c r="E2081" t="s">
        <v>2083</v>
      </c>
    </row>
    <row r="2082" spans="1:5">
      <c r="A2082">
        <f>HYPERLINK("http://www.twitter.com/realDonaldTrump/status/747191624535511040", "747191624535511040")</f>
        <v>0</v>
      </c>
      <c r="B2082" s="2">
        <v>42547.9275462963</v>
      </c>
      <c r="C2082">
        <v>17176</v>
      </c>
      <c r="D2082">
        <v>5423</v>
      </c>
      <c r="E2082" t="s">
        <v>2084</v>
      </c>
    </row>
    <row r="2083" spans="1:5">
      <c r="A2083">
        <f>HYPERLINK("http://www.twitter.com/realDonaldTrump/status/747190075344162817", "747190075344162817")</f>
        <v>0</v>
      </c>
      <c r="B2083" s="2">
        <v>42547.9232638889</v>
      </c>
      <c r="C2083">
        <v>18421</v>
      </c>
      <c r="D2083">
        <v>5786</v>
      </c>
      <c r="E2083" t="s">
        <v>2085</v>
      </c>
    </row>
    <row r="2084" spans="1:5">
      <c r="A2084">
        <f>HYPERLINK("http://www.twitter.com/realDonaldTrump/status/747178078682644480", "747178078682644480")</f>
        <v>0</v>
      </c>
      <c r="B2084" s="2">
        <v>42547.890162037</v>
      </c>
      <c r="C2084">
        <v>20473</v>
      </c>
      <c r="D2084">
        <v>6577</v>
      </c>
      <c r="E2084" t="s">
        <v>2086</v>
      </c>
    </row>
    <row r="2085" spans="1:5">
      <c r="A2085">
        <f>HYPERLINK("http://www.twitter.com/realDonaldTrump/status/747105049352888320", "747105049352888320")</f>
        <v>0</v>
      </c>
      <c r="B2085" s="2">
        <v>42547.6886342593</v>
      </c>
      <c r="C2085">
        <v>12107</v>
      </c>
      <c r="D2085">
        <v>5971</v>
      </c>
      <c r="E2085" t="s">
        <v>2087</v>
      </c>
    </row>
    <row r="2086" spans="1:5">
      <c r="A2086">
        <f>HYPERLINK("http://www.twitter.com/realDonaldTrump/status/747102432862273536", "747102432862273536")</f>
        <v>0</v>
      </c>
      <c r="B2086" s="2">
        <v>42547.6814236111</v>
      </c>
      <c r="C2086">
        <v>13868</v>
      </c>
      <c r="D2086">
        <v>4574</v>
      </c>
      <c r="E2086" t="s">
        <v>2088</v>
      </c>
    </row>
    <row r="2087" spans="1:5">
      <c r="A2087">
        <f>HYPERLINK("http://www.twitter.com/realDonaldTrump/status/747098691492786176", "747098691492786176")</f>
        <v>0</v>
      </c>
      <c r="B2087" s="2">
        <v>42547.671099537</v>
      </c>
      <c r="C2087">
        <v>20559</v>
      </c>
      <c r="D2087">
        <v>7081</v>
      </c>
      <c r="E2087" t="s">
        <v>2089</v>
      </c>
    </row>
    <row r="2088" spans="1:5">
      <c r="A2088">
        <f>HYPERLINK("http://www.twitter.com/realDonaldTrump/status/747030708678430720", "747030708678430720")</f>
        <v>0</v>
      </c>
      <c r="B2088" s="2">
        <v>42547.4834953704</v>
      </c>
      <c r="C2088">
        <v>18070</v>
      </c>
      <c r="D2088">
        <v>6256</v>
      </c>
      <c r="E2088" t="s">
        <v>2090</v>
      </c>
    </row>
    <row r="2089" spans="1:5">
      <c r="A2089">
        <f>HYPERLINK("http://www.twitter.com/realDonaldTrump/status/747029963702996992", "747029963702996992")</f>
        <v>0</v>
      </c>
      <c r="B2089" s="2">
        <v>42547.4814467593</v>
      </c>
      <c r="C2089">
        <v>21426</v>
      </c>
      <c r="D2089">
        <v>7459</v>
      </c>
      <c r="E2089" t="s">
        <v>2091</v>
      </c>
    </row>
    <row r="2090" spans="1:5">
      <c r="A2090">
        <f>HYPERLINK("http://www.twitter.com/realDonaldTrump/status/747027629652443136", "747027629652443136")</f>
        <v>0</v>
      </c>
      <c r="B2090" s="2">
        <v>42547.475</v>
      </c>
      <c r="C2090">
        <v>18732</v>
      </c>
      <c r="D2090">
        <v>5489</v>
      </c>
      <c r="E2090" t="s">
        <v>2092</v>
      </c>
    </row>
    <row r="2091" spans="1:5">
      <c r="A2091">
        <f>HYPERLINK("http://www.twitter.com/realDonaldTrump/status/746908869134262272", "746908869134262272")</f>
        <v>0</v>
      </c>
      <c r="B2091" s="2">
        <v>42547.1472800926</v>
      </c>
      <c r="C2091">
        <v>21259</v>
      </c>
      <c r="D2091">
        <v>4660</v>
      </c>
      <c r="E2091" t="s">
        <v>2093</v>
      </c>
    </row>
    <row r="2092" spans="1:5">
      <c r="A2092">
        <f>HYPERLINK("http://www.twitter.com/realDonaldTrump/status/746895785338544128", "746895785338544128")</f>
        <v>0</v>
      </c>
      <c r="B2092" s="2">
        <v>42547.1111805556</v>
      </c>
      <c r="C2092">
        <v>23296</v>
      </c>
      <c r="D2092">
        <v>8104</v>
      </c>
      <c r="E2092" t="s">
        <v>2094</v>
      </c>
    </row>
    <row r="2093" spans="1:5">
      <c r="A2093">
        <f>HYPERLINK("http://www.twitter.com/realDonaldTrump/status/746895602798178304", "746895602798178304")</f>
        <v>0</v>
      </c>
      <c r="B2093" s="2">
        <v>42547.1106828704</v>
      </c>
      <c r="C2093">
        <v>21965</v>
      </c>
      <c r="D2093">
        <v>6654</v>
      </c>
      <c r="E2093" t="s">
        <v>2095</v>
      </c>
    </row>
    <row r="2094" spans="1:5">
      <c r="A2094">
        <f>HYPERLINK("http://www.twitter.com/realDonaldTrump/status/746895252884164608", "746895252884164608")</f>
        <v>0</v>
      </c>
      <c r="B2094" s="2">
        <v>42547.1097106481</v>
      </c>
      <c r="C2094">
        <v>23512</v>
      </c>
      <c r="D2094">
        <v>8246</v>
      </c>
      <c r="E2094" t="s">
        <v>2096</v>
      </c>
    </row>
    <row r="2095" spans="1:5">
      <c r="A2095">
        <f>HYPERLINK("http://www.twitter.com/realDonaldTrump/status/746895065591783424", "746895065591783424")</f>
        <v>0</v>
      </c>
      <c r="B2095" s="2">
        <v>42547.1091898148</v>
      </c>
      <c r="C2095">
        <v>34128</v>
      </c>
      <c r="D2095">
        <v>11594</v>
      </c>
      <c r="E2095" t="s">
        <v>2097</v>
      </c>
    </row>
    <row r="2096" spans="1:5">
      <c r="A2096">
        <f>HYPERLINK("http://www.twitter.com/realDonaldTrump/status/746734772928528384", "746734772928528384")</f>
        <v>0</v>
      </c>
      <c r="B2096" s="2">
        <v>42546.666875</v>
      </c>
      <c r="C2096">
        <v>14470</v>
      </c>
      <c r="D2096">
        <v>3908</v>
      </c>
      <c r="E2096" t="s">
        <v>2098</v>
      </c>
    </row>
    <row r="2097" spans="1:5">
      <c r="A2097">
        <f>HYPERLINK("http://www.twitter.com/realDonaldTrump/status/746721493061632000", "746721493061632000")</f>
        <v>0</v>
      </c>
      <c r="B2097" s="2">
        <v>42546.6302314815</v>
      </c>
      <c r="C2097">
        <v>9640</v>
      </c>
      <c r="D2097">
        <v>2184</v>
      </c>
      <c r="E2097" t="s">
        <v>2099</v>
      </c>
    </row>
    <row r="2098" spans="1:5">
      <c r="A2098">
        <f>HYPERLINK("http://www.twitter.com/realDonaldTrump/status/746718385828859904", "746718385828859904")</f>
        <v>0</v>
      </c>
      <c r="B2098" s="2">
        <v>42546.6216550926</v>
      </c>
      <c r="C2098">
        <v>8215</v>
      </c>
      <c r="D2098">
        <v>1962</v>
      </c>
      <c r="E2098" t="s">
        <v>2100</v>
      </c>
    </row>
    <row r="2099" spans="1:5">
      <c r="A2099">
        <f>HYPERLINK("http://www.twitter.com/realDonaldTrump/status/746674420605980672", "746674420605980672")</f>
        <v>0</v>
      </c>
      <c r="B2099" s="2">
        <v>42546.5003356481</v>
      </c>
      <c r="C2099">
        <v>26141</v>
      </c>
      <c r="D2099">
        <v>8433</v>
      </c>
      <c r="E2099" t="s">
        <v>2101</v>
      </c>
    </row>
    <row r="2100" spans="1:5">
      <c r="A2100">
        <f>HYPERLINK("http://www.twitter.com/realDonaldTrump/status/746560976921706500", "746560976921706500")</f>
        <v>0</v>
      </c>
      <c r="B2100" s="2">
        <v>42546.1872800926</v>
      </c>
      <c r="C2100">
        <v>27076</v>
      </c>
      <c r="D2100">
        <v>8974</v>
      </c>
      <c r="E2100" t="s">
        <v>2102</v>
      </c>
    </row>
    <row r="2101" spans="1:5">
      <c r="A2101">
        <f>HYPERLINK("http://www.twitter.com/realDonaldTrump/status/746470769862017024", "746470769862017024")</f>
        <v>0</v>
      </c>
      <c r="B2101" s="2">
        <v>42545.9383564815</v>
      </c>
      <c r="C2101">
        <v>10891</v>
      </c>
      <c r="D2101">
        <v>2733</v>
      </c>
      <c r="E2101" t="s">
        <v>2103</v>
      </c>
    </row>
    <row r="2102" spans="1:5">
      <c r="A2102">
        <f>HYPERLINK("http://www.twitter.com/realDonaldTrump/status/746465982026289152", "746465982026289152")</f>
        <v>0</v>
      </c>
      <c r="B2102" s="2">
        <v>42545.925150463</v>
      </c>
      <c r="C2102">
        <v>17835</v>
      </c>
      <c r="D2102">
        <v>5972</v>
      </c>
      <c r="E2102" t="s">
        <v>2104</v>
      </c>
    </row>
    <row r="2103" spans="1:5">
      <c r="A2103">
        <f>HYPERLINK("http://www.twitter.com/realDonaldTrump/status/746458701565988864", "746458701565988864")</f>
        <v>0</v>
      </c>
      <c r="B2103" s="2">
        <v>42545.9050578704</v>
      </c>
      <c r="C2103">
        <v>28327</v>
      </c>
      <c r="D2103">
        <v>9966</v>
      </c>
      <c r="E2103" t="s">
        <v>2105</v>
      </c>
    </row>
    <row r="2104" spans="1:5">
      <c r="A2104">
        <f>HYPERLINK("http://www.twitter.com/realDonaldTrump/status/746456564337344512", "746456564337344512")</f>
        <v>0</v>
      </c>
      <c r="B2104" s="2">
        <v>42545.8991666667</v>
      </c>
      <c r="C2104">
        <v>16212</v>
      </c>
      <c r="D2104">
        <v>4058</v>
      </c>
      <c r="E2104" t="s">
        <v>2106</v>
      </c>
    </row>
    <row r="2105" spans="1:5">
      <c r="A2105">
        <f>HYPERLINK("http://www.twitter.com/realDonaldTrump/status/746453765935366144", "746453765935366144")</f>
        <v>0</v>
      </c>
      <c r="B2105" s="2">
        <v>42545.8914351852</v>
      </c>
      <c r="C2105">
        <v>29369</v>
      </c>
      <c r="D2105">
        <v>10214</v>
      </c>
      <c r="E2105" t="s">
        <v>2107</v>
      </c>
    </row>
    <row r="2106" spans="1:5">
      <c r="A2106">
        <f>HYPERLINK("http://www.twitter.com/realDonaldTrump/status/746415333741756418", "746415333741756418")</f>
        <v>0</v>
      </c>
      <c r="B2106" s="2">
        <v>42545.7853819444</v>
      </c>
      <c r="C2106">
        <v>14405</v>
      </c>
      <c r="D2106">
        <v>5332</v>
      </c>
      <c r="E2106" t="s">
        <v>2108</v>
      </c>
    </row>
    <row r="2107" spans="1:5">
      <c r="A2107">
        <f>HYPERLINK("http://www.twitter.com/realDonaldTrump/status/746414797416243200", "746414797416243200")</f>
        <v>0</v>
      </c>
      <c r="B2107" s="2">
        <v>42545.783912037</v>
      </c>
      <c r="C2107">
        <v>9562</v>
      </c>
      <c r="D2107">
        <v>4012</v>
      </c>
      <c r="E2107" t="s">
        <v>2109</v>
      </c>
    </row>
    <row r="2108" spans="1:5">
      <c r="A2108">
        <f>HYPERLINK("http://www.twitter.com/realDonaldTrump/status/746289768707698688", "746289768707698688")</f>
        <v>0</v>
      </c>
      <c r="B2108" s="2">
        <v>42545.4388888889</v>
      </c>
      <c r="C2108">
        <v>39315</v>
      </c>
      <c r="D2108">
        <v>15463</v>
      </c>
      <c r="E2108" t="s">
        <v>2110</v>
      </c>
    </row>
    <row r="2109" spans="1:5">
      <c r="A2109">
        <f>HYPERLINK("http://www.twitter.com/realDonaldTrump/status/746289394231828480", "746289394231828480")</f>
        <v>0</v>
      </c>
      <c r="B2109" s="2">
        <v>42545.4378587963</v>
      </c>
      <c r="C2109">
        <v>30591</v>
      </c>
      <c r="D2109">
        <v>12941</v>
      </c>
      <c r="E2109" t="s">
        <v>2111</v>
      </c>
    </row>
    <row r="2110" spans="1:5">
      <c r="A2110">
        <f>HYPERLINK("http://www.twitter.com/realDonaldTrump/status/746273889160957952", "746273889160957952")</f>
        <v>0</v>
      </c>
      <c r="B2110" s="2">
        <v>42545.3950694444</v>
      </c>
      <c r="C2110">
        <v>17035</v>
      </c>
      <c r="D2110">
        <v>4523</v>
      </c>
      <c r="E2110" t="s">
        <v>2112</v>
      </c>
    </row>
    <row r="2111" spans="1:5">
      <c r="A2111">
        <f>HYPERLINK("http://www.twitter.com/realDonaldTrump/status/746273866322829312", "746273866322829312")</f>
        <v>0</v>
      </c>
      <c r="B2111" s="2">
        <v>42545.3950115741</v>
      </c>
      <c r="C2111">
        <v>10243</v>
      </c>
      <c r="D2111">
        <v>4143</v>
      </c>
      <c r="E2111" t="s">
        <v>2113</v>
      </c>
    </row>
    <row r="2112" spans="1:5">
      <c r="A2112">
        <f>HYPERLINK("http://www.twitter.com/realDonaldTrump/status/746272130992644096", "746272130992644096")</f>
        <v>0</v>
      </c>
      <c r="B2112" s="2">
        <v>42545.3902199074</v>
      </c>
      <c r="C2112">
        <v>47814</v>
      </c>
      <c r="D2112">
        <v>17478</v>
      </c>
      <c r="E2112" t="s">
        <v>2114</v>
      </c>
    </row>
    <row r="2113" spans="1:5">
      <c r="A2113">
        <f>HYPERLINK("http://www.twitter.com/realDonaldTrump/status/746145338608713728", "746145338608713728")</f>
        <v>0</v>
      </c>
      <c r="B2113" s="2">
        <v>42545.0403472222</v>
      </c>
      <c r="C2113">
        <v>23721</v>
      </c>
      <c r="D2113">
        <v>5151</v>
      </c>
      <c r="E2113" t="s">
        <v>2115</v>
      </c>
    </row>
    <row r="2114" spans="1:5">
      <c r="A2114">
        <f>HYPERLINK("http://www.twitter.com/realDonaldTrump/status/746144027616120833", "746144027616120833")</f>
        <v>0</v>
      </c>
      <c r="B2114" s="2">
        <v>42545.036724537</v>
      </c>
      <c r="C2114">
        <v>18142</v>
      </c>
      <c r="D2114">
        <v>3994</v>
      </c>
      <c r="E2114" t="s">
        <v>2116</v>
      </c>
    </row>
    <row r="2115" spans="1:5">
      <c r="A2115">
        <f>HYPERLINK("http://www.twitter.com/realDonaldTrump/status/746094507201077248", "746094507201077248")</f>
        <v>0</v>
      </c>
      <c r="B2115" s="2">
        <v>42544.9000694444</v>
      </c>
      <c r="C2115">
        <v>14255</v>
      </c>
      <c r="D2115">
        <v>6712</v>
      </c>
      <c r="E2115" t="s">
        <v>2117</v>
      </c>
    </row>
    <row r="2116" spans="1:5">
      <c r="A2116">
        <f>HYPERLINK("http://www.twitter.com/realDonaldTrump/status/746072493950107650", "746072493950107650")</f>
        <v>0</v>
      </c>
      <c r="B2116" s="2">
        <v>42544.8393287037</v>
      </c>
      <c r="C2116">
        <v>10645</v>
      </c>
      <c r="D2116">
        <v>4610</v>
      </c>
      <c r="E2116" t="s">
        <v>2118</v>
      </c>
    </row>
    <row r="2117" spans="1:5">
      <c r="A2117">
        <f>HYPERLINK("http://www.twitter.com/realDonaldTrump/status/746064216373731328", "746064216373731328")</f>
        <v>0</v>
      </c>
      <c r="B2117" s="2">
        <v>42544.8164930556</v>
      </c>
      <c r="C2117">
        <v>14312</v>
      </c>
      <c r="D2117">
        <v>6709</v>
      </c>
      <c r="E2117" t="s">
        <v>2119</v>
      </c>
    </row>
    <row r="2118" spans="1:5">
      <c r="A2118">
        <f>HYPERLINK("http://www.twitter.com/realDonaldTrump/status/746063926597672960", "746063926597672960")</f>
        <v>0</v>
      </c>
      <c r="B2118" s="2">
        <v>42544.8156828704</v>
      </c>
      <c r="C2118">
        <v>12823</v>
      </c>
      <c r="D2118">
        <v>6109</v>
      </c>
      <c r="E2118" t="s">
        <v>2120</v>
      </c>
    </row>
    <row r="2119" spans="1:5">
      <c r="A2119">
        <f>HYPERLINK("http://www.twitter.com/realDonaldTrump/status/746059859951509504", "746059859951509504")</f>
        <v>0</v>
      </c>
      <c r="B2119" s="2">
        <v>42544.8044675926</v>
      </c>
      <c r="C2119">
        <v>0</v>
      </c>
      <c r="D2119">
        <v>5408</v>
      </c>
      <c r="E2119" t="s">
        <v>2121</v>
      </c>
    </row>
    <row r="2120" spans="1:5">
      <c r="A2120">
        <f>HYPERLINK("http://www.twitter.com/realDonaldTrump/status/746057926800977920", "746057926800977920")</f>
        <v>0</v>
      </c>
      <c r="B2120" s="2">
        <v>42544.7991319444</v>
      </c>
      <c r="C2120">
        <v>15693</v>
      </c>
      <c r="D2120">
        <v>5807</v>
      </c>
      <c r="E2120" t="s">
        <v>2122</v>
      </c>
    </row>
    <row r="2121" spans="1:5">
      <c r="A2121">
        <f>HYPERLINK("http://www.twitter.com/realDonaldTrump/status/746052286640689157", "746052286640689157")</f>
        <v>0</v>
      </c>
      <c r="B2121" s="2">
        <v>42544.7835648148</v>
      </c>
      <c r="C2121">
        <v>18250</v>
      </c>
      <c r="D2121">
        <v>6617</v>
      </c>
      <c r="E2121" t="s">
        <v>2123</v>
      </c>
    </row>
    <row r="2122" spans="1:5">
      <c r="A2122">
        <f>HYPERLINK("http://www.twitter.com/realDonaldTrump/status/746047705709961216", "746047705709961216")</f>
        <v>0</v>
      </c>
      <c r="B2122" s="2">
        <v>42544.7709259259</v>
      </c>
      <c r="C2122">
        <v>18573</v>
      </c>
      <c r="D2122">
        <v>7202</v>
      </c>
      <c r="E2122" t="s">
        <v>2124</v>
      </c>
    </row>
    <row r="2123" spans="1:5">
      <c r="A2123">
        <f>HYPERLINK("http://www.twitter.com/realDonaldTrump/status/746044729343741956", "746044729343741956")</f>
        <v>0</v>
      </c>
      <c r="B2123" s="2">
        <v>42544.7627083333</v>
      </c>
      <c r="C2123">
        <v>19901</v>
      </c>
      <c r="D2123">
        <v>6548</v>
      </c>
      <c r="E2123" t="s">
        <v>2125</v>
      </c>
    </row>
    <row r="2124" spans="1:5">
      <c r="A2124">
        <f>HYPERLINK("http://www.twitter.com/realDonaldTrump/status/746042076211593216", "746042076211593216")</f>
        <v>0</v>
      </c>
      <c r="B2124" s="2">
        <v>42544.7553935185</v>
      </c>
      <c r="C2124">
        <v>12601</v>
      </c>
      <c r="D2124">
        <v>4906</v>
      </c>
      <c r="E2124" t="s">
        <v>2126</v>
      </c>
    </row>
    <row r="2125" spans="1:5">
      <c r="A2125">
        <f>HYPERLINK("http://www.twitter.com/realDonaldTrump/status/746035913814310912", "746035913814310912")</f>
        <v>0</v>
      </c>
      <c r="B2125" s="2">
        <v>42544.7383912037</v>
      </c>
      <c r="C2125">
        <v>0</v>
      </c>
      <c r="D2125">
        <v>3824</v>
      </c>
      <c r="E2125" t="s">
        <v>2127</v>
      </c>
    </row>
    <row r="2126" spans="1:5">
      <c r="A2126">
        <f>HYPERLINK("http://www.twitter.com/realDonaldTrump/status/746026900502487040", "746026900502487040")</f>
        <v>0</v>
      </c>
      <c r="B2126" s="2">
        <v>42544.7135185185</v>
      </c>
      <c r="C2126">
        <v>11981</v>
      </c>
      <c r="D2126">
        <v>5164</v>
      </c>
      <c r="E2126" t="s">
        <v>2128</v>
      </c>
    </row>
    <row r="2127" spans="1:5">
      <c r="A2127">
        <f>HYPERLINK("http://www.twitter.com/realDonaldTrump/status/745969778267926532", "745969778267926532")</f>
        <v>0</v>
      </c>
      <c r="B2127" s="2">
        <v>42544.5558912037</v>
      </c>
      <c r="C2127">
        <v>24740</v>
      </c>
      <c r="D2127">
        <v>9116</v>
      </c>
      <c r="E2127" t="s">
        <v>2129</v>
      </c>
    </row>
    <row r="2128" spans="1:5">
      <c r="A2128">
        <f>HYPERLINK("http://www.twitter.com/realDonaldTrump/status/745969049943875585", "745969049943875585")</f>
        <v>0</v>
      </c>
      <c r="B2128" s="2">
        <v>42544.5538773148</v>
      </c>
      <c r="C2128">
        <v>25425</v>
      </c>
      <c r="D2128">
        <v>9687</v>
      </c>
      <c r="E2128" t="s">
        <v>2130</v>
      </c>
    </row>
    <row r="2129" spans="1:5">
      <c r="A2129">
        <f>HYPERLINK("http://www.twitter.com/realDonaldTrump/status/745967990236143616", "745967990236143616")</f>
        <v>0</v>
      </c>
      <c r="B2129" s="2">
        <v>42544.5509490741</v>
      </c>
      <c r="C2129">
        <v>19744</v>
      </c>
      <c r="D2129">
        <v>5854</v>
      </c>
      <c r="E2129" t="s">
        <v>2131</v>
      </c>
    </row>
    <row r="2130" spans="1:5">
      <c r="A2130">
        <f>HYPERLINK("http://www.twitter.com/realDonaldTrump/status/745821138773774341", "745821138773774341")</f>
        <v>0</v>
      </c>
      <c r="B2130" s="2">
        <v>42544.1457175926</v>
      </c>
      <c r="C2130">
        <v>11588</v>
      </c>
      <c r="D2130">
        <v>2885</v>
      </c>
      <c r="E2130" t="s">
        <v>2132</v>
      </c>
    </row>
    <row r="2131" spans="1:5">
      <c r="A2131">
        <f>HYPERLINK("http://www.twitter.com/realDonaldTrump/status/745805112732430337", "745805112732430337")</f>
        <v>0</v>
      </c>
      <c r="B2131" s="2">
        <v>42544.1014930556</v>
      </c>
      <c r="C2131">
        <v>9094</v>
      </c>
      <c r="D2131">
        <v>3118</v>
      </c>
      <c r="E2131" t="s">
        <v>2133</v>
      </c>
    </row>
    <row r="2132" spans="1:5">
      <c r="A2132">
        <f>HYPERLINK("http://www.twitter.com/realDonaldTrump/status/745804574699692032", "745804574699692032")</f>
        <v>0</v>
      </c>
      <c r="B2132" s="2">
        <v>42544.1000115741</v>
      </c>
      <c r="C2132">
        <v>12154</v>
      </c>
      <c r="D2132">
        <v>3354</v>
      </c>
      <c r="E2132" t="s">
        <v>2134</v>
      </c>
    </row>
    <row r="2133" spans="1:5">
      <c r="A2133">
        <f>HYPERLINK("http://www.twitter.com/realDonaldTrump/status/745733029289615361", "745733029289615361")</f>
        <v>0</v>
      </c>
      <c r="B2133" s="2">
        <v>42543.9025810185</v>
      </c>
      <c r="C2133">
        <v>14868</v>
      </c>
      <c r="D2133">
        <v>6318</v>
      </c>
      <c r="E2133" t="s">
        <v>2135</v>
      </c>
    </row>
    <row r="2134" spans="1:5">
      <c r="A2134">
        <f>HYPERLINK("http://www.twitter.com/realDonaldTrump/status/745693121095303168", "745693121095303168")</f>
        <v>0</v>
      </c>
      <c r="B2134" s="2">
        <v>42543.7924652778</v>
      </c>
      <c r="C2134">
        <v>27341</v>
      </c>
      <c r="D2134">
        <v>12645</v>
      </c>
      <c r="E2134" t="s">
        <v>2136</v>
      </c>
    </row>
    <row r="2135" spans="1:5">
      <c r="A2135">
        <f>HYPERLINK("http://www.twitter.com/realDonaldTrump/status/745693029089034240", "745693029089034240")</f>
        <v>0</v>
      </c>
      <c r="B2135" s="2">
        <v>42543.7922106481</v>
      </c>
      <c r="C2135">
        <v>32711</v>
      </c>
      <c r="D2135">
        <v>13580</v>
      </c>
      <c r="E2135" t="s">
        <v>2137</v>
      </c>
    </row>
    <row r="2136" spans="1:5">
      <c r="A2136">
        <f>HYPERLINK("http://www.twitter.com/realDonaldTrump/status/745463436188934145", "745463436188934145")</f>
        <v>0</v>
      </c>
      <c r="B2136" s="2">
        <v>42543.1586458333</v>
      </c>
      <c r="C2136">
        <v>12235</v>
      </c>
      <c r="D2136">
        <v>3454</v>
      </c>
      <c r="E2136" t="s">
        <v>2138</v>
      </c>
    </row>
    <row r="2137" spans="1:5">
      <c r="A2137">
        <f>HYPERLINK("http://www.twitter.com/realDonaldTrump/status/745455382882033664", "745455382882033664")</f>
        <v>0</v>
      </c>
      <c r="B2137" s="2">
        <v>42543.1364236111</v>
      </c>
      <c r="C2137">
        <v>27990</v>
      </c>
      <c r="D2137">
        <v>9673</v>
      </c>
      <c r="E2137" t="s">
        <v>2139</v>
      </c>
    </row>
    <row r="2138" spans="1:5">
      <c r="A2138">
        <f>HYPERLINK("http://www.twitter.com/realDonaldTrump/status/745356618125152256", "745356618125152256")</f>
        <v>0</v>
      </c>
      <c r="B2138" s="2">
        <v>42542.8638888889</v>
      </c>
      <c r="C2138">
        <v>10894</v>
      </c>
      <c r="D2138">
        <v>3094</v>
      </c>
      <c r="E2138" t="s">
        <v>2140</v>
      </c>
    </row>
    <row r="2139" spans="1:5">
      <c r="A2139">
        <f>HYPERLINK("http://www.twitter.com/realDonaldTrump/status/745305119256875008", "745305119256875008")</f>
        <v>0</v>
      </c>
      <c r="B2139" s="2">
        <v>42542.7217824074</v>
      </c>
      <c r="C2139">
        <v>32429</v>
      </c>
      <c r="D2139">
        <v>13491</v>
      </c>
      <c r="E2139" t="s">
        <v>2141</v>
      </c>
    </row>
    <row r="2140" spans="1:5">
      <c r="A2140">
        <f>HYPERLINK("http://www.twitter.com/realDonaldTrump/status/745304731346702336", "745304731346702336")</f>
        <v>0</v>
      </c>
      <c r="B2140" s="2">
        <v>42542.7207060185</v>
      </c>
      <c r="C2140">
        <v>25142</v>
      </c>
      <c r="D2140">
        <v>11584</v>
      </c>
      <c r="E2140" t="s">
        <v>2142</v>
      </c>
    </row>
    <row r="2141" spans="1:5">
      <c r="A2141">
        <f>HYPERLINK("http://www.twitter.com/realDonaldTrump/status/745304333483393024", "745304333483393024")</f>
        <v>0</v>
      </c>
      <c r="B2141" s="2">
        <v>42542.7196064815</v>
      </c>
      <c r="C2141">
        <v>28596</v>
      </c>
      <c r="D2141">
        <v>14019</v>
      </c>
      <c r="E2141" t="s">
        <v>2143</v>
      </c>
    </row>
    <row r="2142" spans="1:5">
      <c r="A2142">
        <f>HYPERLINK("http://www.twitter.com/realDonaldTrump/status/745299161130635264", "745299161130635264")</f>
        <v>0</v>
      </c>
      <c r="B2142" s="2">
        <v>42542.7053356481</v>
      </c>
      <c r="C2142">
        <v>19621</v>
      </c>
      <c r="D2142">
        <v>6198</v>
      </c>
      <c r="E2142" t="s">
        <v>2144</v>
      </c>
    </row>
    <row r="2143" spans="1:5">
      <c r="A2143">
        <f>HYPERLINK("http://www.twitter.com/realDonaldTrump/status/745298514096308225", "745298514096308225")</f>
        <v>0</v>
      </c>
      <c r="B2143" s="2">
        <v>42542.7035532407</v>
      </c>
      <c r="C2143">
        <v>14794</v>
      </c>
      <c r="D2143">
        <v>6411</v>
      </c>
      <c r="E2143" t="s">
        <v>2145</v>
      </c>
    </row>
    <row r="2144" spans="1:5">
      <c r="A2144">
        <f>HYPERLINK("http://www.twitter.com/realDonaldTrump/status/745296338758270976", "745296338758270976")</f>
        <v>0</v>
      </c>
      <c r="B2144" s="2">
        <v>42542.6975462963</v>
      </c>
      <c r="C2144">
        <v>22484</v>
      </c>
      <c r="D2144">
        <v>8830</v>
      </c>
      <c r="E2144" t="s">
        <v>2146</v>
      </c>
    </row>
    <row r="2145" spans="1:5">
      <c r="A2145">
        <f>HYPERLINK("http://www.twitter.com/realDonaldTrump/status/745295914076672001", "745295914076672001")</f>
        <v>0</v>
      </c>
      <c r="B2145" s="2">
        <v>42542.6963773148</v>
      </c>
      <c r="C2145">
        <v>39416</v>
      </c>
      <c r="D2145">
        <v>18799</v>
      </c>
      <c r="E2145" t="s">
        <v>2147</v>
      </c>
    </row>
    <row r="2146" spans="1:5">
      <c r="A2146">
        <f>HYPERLINK("http://www.twitter.com/realDonaldTrump/status/745294739092684800", "745294739092684800")</f>
        <v>0</v>
      </c>
      <c r="B2146" s="2">
        <v>42542.6931365741</v>
      </c>
      <c r="C2146">
        <v>17675</v>
      </c>
      <c r="D2146">
        <v>6962</v>
      </c>
      <c r="E2146" t="s">
        <v>2148</v>
      </c>
    </row>
    <row r="2147" spans="1:5">
      <c r="A2147">
        <f>HYPERLINK("http://www.twitter.com/realDonaldTrump/status/745294375584956416", "745294375584956416")</f>
        <v>0</v>
      </c>
      <c r="B2147" s="2">
        <v>42542.6921296296</v>
      </c>
      <c r="C2147">
        <v>39170</v>
      </c>
      <c r="D2147">
        <v>16872</v>
      </c>
      <c r="E2147" t="s">
        <v>2149</v>
      </c>
    </row>
    <row r="2148" spans="1:5">
      <c r="A2148">
        <f>HYPERLINK("http://www.twitter.com/realDonaldTrump/status/745260520282951681", "745260520282951681")</f>
        <v>0</v>
      </c>
      <c r="B2148" s="2">
        <v>42542.5987037037</v>
      </c>
      <c r="C2148">
        <v>27115</v>
      </c>
      <c r="D2148">
        <v>9056</v>
      </c>
      <c r="E2148" t="s">
        <v>2150</v>
      </c>
    </row>
    <row r="2149" spans="1:5">
      <c r="A2149">
        <f>HYPERLINK("http://www.twitter.com/realDonaldTrump/status/745204320593940480", "745204320593940480")</f>
        <v>0</v>
      </c>
      <c r="B2149" s="2">
        <v>42542.4436226852</v>
      </c>
      <c r="C2149">
        <v>24759</v>
      </c>
      <c r="D2149">
        <v>8237</v>
      </c>
      <c r="E2149" t="s">
        <v>2151</v>
      </c>
    </row>
    <row r="2150" spans="1:5">
      <c r="A2150">
        <f>HYPERLINK("http://www.twitter.com/realDonaldTrump/status/744838252369043456", "744838252369043456")</f>
        <v>0</v>
      </c>
      <c r="B2150" s="2">
        <v>42541.4334722222</v>
      </c>
      <c r="C2150">
        <v>29585</v>
      </c>
      <c r="D2150">
        <v>7681</v>
      </c>
      <c r="E2150" t="s">
        <v>2152</v>
      </c>
    </row>
    <row r="2151" spans="1:5">
      <c r="A2151">
        <f>HYPERLINK("http://www.twitter.com/realDonaldTrump/status/744701872456536064", "744701872456536064")</f>
        <v>0</v>
      </c>
      <c r="B2151" s="2">
        <v>42541.0571296296</v>
      </c>
      <c r="C2151">
        <v>20917</v>
      </c>
      <c r="D2151">
        <v>5533</v>
      </c>
      <c r="E2151" t="s">
        <v>2153</v>
      </c>
    </row>
    <row r="2152" spans="1:5">
      <c r="A2152">
        <f>HYPERLINK("http://www.twitter.com/realDonaldTrump/status/744519497764184064", "744519497764184064")</f>
        <v>0</v>
      </c>
      <c r="B2152" s="2">
        <v>42540.5538773148</v>
      </c>
      <c r="C2152">
        <v>28676</v>
      </c>
      <c r="D2152">
        <v>10469</v>
      </c>
      <c r="E2152" t="s">
        <v>2154</v>
      </c>
    </row>
    <row r="2153" spans="1:5">
      <c r="A2153">
        <f>HYPERLINK("http://www.twitter.com/realDonaldTrump/status/744364393962569728", "744364393962569728")</f>
        <v>0</v>
      </c>
      <c r="B2153" s="2">
        <v>42540.1258680556</v>
      </c>
      <c r="C2153">
        <v>26587</v>
      </c>
      <c r="D2153">
        <v>10296</v>
      </c>
      <c r="E2153" t="s">
        <v>2155</v>
      </c>
    </row>
    <row r="2154" spans="1:5">
      <c r="A2154">
        <f>HYPERLINK("http://www.twitter.com/realDonaldTrump/status/744363535635996672", "744363535635996672")</f>
        <v>0</v>
      </c>
      <c r="B2154" s="2">
        <v>42540.1235069444</v>
      </c>
      <c r="C2154">
        <v>25222</v>
      </c>
      <c r="D2154">
        <v>7551</v>
      </c>
      <c r="E2154" t="s">
        <v>2156</v>
      </c>
    </row>
    <row r="2155" spans="1:5">
      <c r="A2155">
        <f>HYPERLINK("http://www.twitter.com/realDonaldTrump/status/744355251365511169", "744355251365511169")</f>
        <v>0</v>
      </c>
      <c r="B2155" s="2">
        <v>42540.1006481481</v>
      </c>
      <c r="C2155">
        <v>13853</v>
      </c>
      <c r="D2155">
        <v>4832</v>
      </c>
      <c r="E2155" t="s">
        <v>2157</v>
      </c>
    </row>
    <row r="2156" spans="1:5">
      <c r="A2156">
        <f>HYPERLINK("http://www.twitter.com/realDonaldTrump/status/744341058109247488", "744341058109247488")</f>
        <v>0</v>
      </c>
      <c r="B2156" s="2">
        <v>42540.0614814815</v>
      </c>
      <c r="C2156">
        <v>12641</v>
      </c>
      <c r="D2156">
        <v>3592</v>
      </c>
      <c r="E2156" t="s">
        <v>2158</v>
      </c>
    </row>
    <row r="2157" spans="1:5">
      <c r="A2157">
        <f>HYPERLINK("http://www.twitter.com/realDonaldTrump/status/744336626411700227", "744336626411700227")</f>
        <v>0</v>
      </c>
      <c r="B2157" s="2">
        <v>42540.0492476852</v>
      </c>
      <c r="C2157">
        <v>15826</v>
      </c>
      <c r="D2157">
        <v>4972</v>
      </c>
      <c r="E2157" t="s">
        <v>2159</v>
      </c>
    </row>
    <row r="2158" spans="1:5">
      <c r="A2158">
        <f>HYPERLINK("http://www.twitter.com/realDonaldTrump/status/744260469431513088", "744260469431513088")</f>
        <v>0</v>
      </c>
      <c r="B2158" s="2">
        <v>42539.8390972222</v>
      </c>
      <c r="C2158">
        <v>18944</v>
      </c>
      <c r="D2158">
        <v>6987</v>
      </c>
      <c r="E2158" t="s">
        <v>2160</v>
      </c>
    </row>
    <row r="2159" spans="1:5">
      <c r="A2159">
        <f>HYPERLINK("http://www.twitter.com/realDonaldTrump/status/744253170218524672", "744253170218524672")</f>
        <v>0</v>
      </c>
      <c r="B2159" s="2">
        <v>42539.8189467593</v>
      </c>
      <c r="C2159">
        <v>11555</v>
      </c>
      <c r="D2159">
        <v>3507</v>
      </c>
      <c r="E2159" t="s">
        <v>2161</v>
      </c>
    </row>
    <row r="2160" spans="1:5">
      <c r="A2160">
        <f>HYPERLINK("http://www.twitter.com/realDonaldTrump/status/744225952465489920", "744225952465489920")</f>
        <v>0</v>
      </c>
      <c r="B2160" s="2">
        <v>42539.7438425926</v>
      </c>
      <c r="C2160">
        <v>12586</v>
      </c>
      <c r="D2160">
        <v>2551</v>
      </c>
      <c r="E2160" t="s">
        <v>2162</v>
      </c>
    </row>
    <row r="2161" spans="1:5">
      <c r="A2161">
        <f>HYPERLINK("http://www.twitter.com/realDonaldTrump/status/744218749822083072", "744218749822083072")</f>
        <v>0</v>
      </c>
      <c r="B2161" s="2">
        <v>42539.7239699074</v>
      </c>
      <c r="C2161">
        <v>9563</v>
      </c>
      <c r="D2161">
        <v>2749</v>
      </c>
      <c r="E2161" t="s">
        <v>2163</v>
      </c>
    </row>
    <row r="2162" spans="1:5">
      <c r="A2162">
        <f>HYPERLINK("http://www.twitter.com/realDonaldTrump/status/743997751734657024", "743997751734657024")</f>
        <v>0</v>
      </c>
      <c r="B2162" s="2">
        <v>42539.1141319444</v>
      </c>
      <c r="C2162">
        <v>12391</v>
      </c>
      <c r="D2162">
        <v>3363</v>
      </c>
      <c r="E2162" t="s">
        <v>2164</v>
      </c>
    </row>
    <row r="2163" spans="1:5">
      <c r="A2163">
        <f>HYPERLINK("http://www.twitter.com/realDonaldTrump/status/743955609851068417", "743955609851068417")</f>
        <v>0</v>
      </c>
      <c r="B2163" s="2">
        <v>42538.9978472222</v>
      </c>
      <c r="C2163">
        <v>10319</v>
      </c>
      <c r="D2163">
        <v>3142</v>
      </c>
      <c r="E2163" t="s">
        <v>2165</v>
      </c>
    </row>
    <row r="2164" spans="1:5">
      <c r="A2164">
        <f>HYPERLINK("http://www.twitter.com/realDonaldTrump/status/743955253226135552", "743955253226135552")</f>
        <v>0</v>
      </c>
      <c r="B2164" s="2">
        <v>42538.9968634259</v>
      </c>
      <c r="C2164">
        <v>10145</v>
      </c>
      <c r="D2164">
        <v>3328</v>
      </c>
      <c r="E2164" t="s">
        <v>2166</v>
      </c>
    </row>
    <row r="2165" spans="1:5">
      <c r="A2165">
        <f>HYPERLINK("http://www.twitter.com/realDonaldTrump/status/743954307351908354", "743954307351908354")</f>
        <v>0</v>
      </c>
      <c r="B2165" s="2">
        <v>42538.9942476852</v>
      </c>
      <c r="C2165">
        <v>9154</v>
      </c>
      <c r="D2165">
        <v>2629</v>
      </c>
      <c r="E2165" t="s">
        <v>2167</v>
      </c>
    </row>
    <row r="2166" spans="1:5">
      <c r="A2166">
        <f>HYPERLINK("http://www.twitter.com/realDonaldTrump/status/743947386720923648", "743947386720923648")</f>
        <v>0</v>
      </c>
      <c r="B2166" s="2">
        <v>42538.975150463</v>
      </c>
      <c r="C2166">
        <v>9201</v>
      </c>
      <c r="D2166">
        <v>2646</v>
      </c>
      <c r="E2166" t="s">
        <v>2168</v>
      </c>
    </row>
    <row r="2167" spans="1:5">
      <c r="A2167">
        <f>HYPERLINK("http://www.twitter.com/realDonaldTrump/status/743914866063212544", "743914866063212544")</f>
        <v>0</v>
      </c>
      <c r="B2167" s="2">
        <v>42538.8854050926</v>
      </c>
      <c r="C2167">
        <v>11810</v>
      </c>
      <c r="D2167">
        <v>3693</v>
      </c>
      <c r="E2167" t="s">
        <v>2169</v>
      </c>
    </row>
    <row r="2168" spans="1:5">
      <c r="A2168">
        <f>HYPERLINK("http://www.twitter.com/realDonaldTrump/status/743852552257626112", "743852552257626112")</f>
        <v>0</v>
      </c>
      <c r="B2168" s="2">
        <v>42538.7134606481</v>
      </c>
      <c r="C2168">
        <v>13619</v>
      </c>
      <c r="D2168">
        <v>4395</v>
      </c>
      <c r="E2168" t="s">
        <v>2170</v>
      </c>
    </row>
    <row r="2169" spans="1:5">
      <c r="A2169">
        <f>HYPERLINK("http://www.twitter.com/realDonaldTrump/status/743827444960899073", "743827444960899073")</f>
        <v>0</v>
      </c>
      <c r="B2169" s="2">
        <v>42538.6441782407</v>
      </c>
      <c r="C2169">
        <v>0</v>
      </c>
      <c r="D2169">
        <v>4415</v>
      </c>
      <c r="E2169" t="s">
        <v>2171</v>
      </c>
    </row>
    <row r="2170" spans="1:5">
      <c r="A2170">
        <f>HYPERLINK("http://www.twitter.com/realDonaldTrump/status/743766155093934080", "743766155093934080")</f>
        <v>0</v>
      </c>
      <c r="B2170" s="2">
        <v>42538.4750462963</v>
      </c>
      <c r="C2170">
        <v>37906</v>
      </c>
      <c r="D2170">
        <v>15614</v>
      </c>
      <c r="E2170" t="s">
        <v>2172</v>
      </c>
    </row>
    <row r="2171" spans="1:5">
      <c r="A2171">
        <f>HYPERLINK("http://www.twitter.com/realDonaldTrump/status/743765281898536960", "743765281898536960")</f>
        <v>0</v>
      </c>
      <c r="B2171" s="2">
        <v>42538.4726388889</v>
      </c>
      <c r="C2171">
        <v>22507</v>
      </c>
      <c r="D2171">
        <v>7157</v>
      </c>
      <c r="E2171" t="s">
        <v>2173</v>
      </c>
    </row>
    <row r="2172" spans="1:5">
      <c r="A2172">
        <f>HYPERLINK("http://www.twitter.com/realDonaldTrump/status/743761349910487043", "743761349910487043")</f>
        <v>0</v>
      </c>
      <c r="B2172" s="2">
        <v>42538.4617824074</v>
      </c>
      <c r="C2172">
        <v>19095</v>
      </c>
      <c r="D2172">
        <v>4698</v>
      </c>
      <c r="E2172" t="s">
        <v>2174</v>
      </c>
    </row>
    <row r="2173" spans="1:5">
      <c r="A2173">
        <f>HYPERLINK("http://www.twitter.com/realDonaldTrump/status/743747439954264065", "743747439954264065")</f>
        <v>0</v>
      </c>
      <c r="B2173" s="2">
        <v>42538.4234027778</v>
      </c>
      <c r="C2173">
        <v>14207</v>
      </c>
      <c r="D2173">
        <v>4306</v>
      </c>
      <c r="E2173" t="s">
        <v>2175</v>
      </c>
    </row>
    <row r="2174" spans="1:5">
      <c r="A2174">
        <f>HYPERLINK("http://www.twitter.com/realDonaldTrump/status/743628318402961408", "743628318402961408")</f>
        <v>0</v>
      </c>
      <c r="B2174" s="2">
        <v>42538.0946875</v>
      </c>
      <c r="C2174">
        <v>14678</v>
      </c>
      <c r="D2174">
        <v>4181</v>
      </c>
      <c r="E2174" t="s">
        <v>2176</v>
      </c>
    </row>
    <row r="2175" spans="1:5">
      <c r="A2175">
        <f>HYPERLINK("http://www.twitter.com/realDonaldTrump/status/743543327467810817", "743543327467810817")</f>
        <v>0</v>
      </c>
      <c r="B2175" s="2">
        <v>42537.860162037</v>
      </c>
      <c r="C2175">
        <v>9575</v>
      </c>
      <c r="D2175">
        <v>3447</v>
      </c>
      <c r="E2175" t="s">
        <v>2177</v>
      </c>
    </row>
    <row r="2176" spans="1:5">
      <c r="A2176">
        <f>HYPERLINK("http://www.twitter.com/realDonaldTrump/status/743522630230228993", "743522630230228993")</f>
        <v>0</v>
      </c>
      <c r="B2176" s="2">
        <v>42537.8030439815</v>
      </c>
      <c r="C2176">
        <v>9930</v>
      </c>
      <c r="D2176">
        <v>3395</v>
      </c>
      <c r="E2176" t="s">
        <v>2178</v>
      </c>
    </row>
    <row r="2177" spans="1:5">
      <c r="A2177">
        <f>HYPERLINK("http://www.twitter.com/realDonaldTrump/status/743520455873683456", "743520455873683456")</f>
        <v>0</v>
      </c>
      <c r="B2177" s="2">
        <v>42537.7970486111</v>
      </c>
      <c r="C2177">
        <v>0</v>
      </c>
      <c r="D2177">
        <v>6271</v>
      </c>
      <c r="E2177" t="s">
        <v>2179</v>
      </c>
    </row>
    <row r="2178" spans="1:5">
      <c r="A2178">
        <f>HYPERLINK("http://www.twitter.com/realDonaldTrump/status/743488055240196096", "743488055240196096")</f>
        <v>0</v>
      </c>
      <c r="B2178" s="2">
        <v>42537.7076388889</v>
      </c>
      <c r="C2178">
        <v>13566</v>
      </c>
      <c r="D2178">
        <v>4715</v>
      </c>
      <c r="E2178" t="s">
        <v>2180</v>
      </c>
    </row>
    <row r="2179" spans="1:5">
      <c r="A2179">
        <f>HYPERLINK("http://www.twitter.com/realDonaldTrump/status/743486962670141440", "743486962670141440")</f>
        <v>0</v>
      </c>
      <c r="B2179" s="2">
        <v>42537.7046180556</v>
      </c>
      <c r="C2179">
        <v>12865</v>
      </c>
      <c r="D2179">
        <v>5012</v>
      </c>
      <c r="E2179" t="s">
        <v>2181</v>
      </c>
    </row>
    <row r="2180" spans="1:5">
      <c r="A2180">
        <f>HYPERLINK("http://www.twitter.com/realDonaldTrump/status/743485792585146368", "743485792585146368")</f>
        <v>0</v>
      </c>
      <c r="B2180" s="2">
        <v>42537.7013888889</v>
      </c>
      <c r="C2180">
        <v>9171</v>
      </c>
      <c r="D2180">
        <v>3623</v>
      </c>
      <c r="E2180" t="s">
        <v>2182</v>
      </c>
    </row>
    <row r="2181" spans="1:5">
      <c r="A2181">
        <f>HYPERLINK("http://www.twitter.com/realDonaldTrump/status/743271067238674432", "743271067238674432")</f>
        <v>0</v>
      </c>
      <c r="B2181" s="2">
        <v>42537.1088657407</v>
      </c>
      <c r="C2181">
        <v>14918</v>
      </c>
      <c r="D2181">
        <v>4732</v>
      </c>
      <c r="E2181" t="s">
        <v>2183</v>
      </c>
    </row>
    <row r="2182" spans="1:5">
      <c r="A2182">
        <f>HYPERLINK("http://www.twitter.com/realDonaldTrump/status/743215968869097473", "743215968869097473")</f>
        <v>0</v>
      </c>
      <c r="B2182" s="2">
        <v>42536.9568171296</v>
      </c>
      <c r="C2182">
        <v>0</v>
      </c>
      <c r="D2182">
        <v>5041</v>
      </c>
      <c r="E2182" t="s">
        <v>2184</v>
      </c>
    </row>
    <row r="2183" spans="1:5">
      <c r="A2183">
        <f>HYPERLINK("http://www.twitter.com/realDonaldTrump/status/743213971122044928", "743213971122044928")</f>
        <v>0</v>
      </c>
      <c r="B2183" s="2">
        <v>42536.9513078704</v>
      </c>
      <c r="C2183">
        <v>8982</v>
      </c>
      <c r="D2183">
        <v>2007</v>
      </c>
      <c r="E2183" t="s">
        <v>2185</v>
      </c>
    </row>
    <row r="2184" spans="1:5">
      <c r="A2184">
        <f>HYPERLINK("http://www.twitter.com/realDonaldTrump/status/743192668017205249", "743192668017205249")</f>
        <v>0</v>
      </c>
      <c r="B2184" s="2">
        <v>42536.8925231481</v>
      </c>
      <c r="C2184">
        <v>10583</v>
      </c>
      <c r="D2184">
        <v>3563</v>
      </c>
      <c r="E2184" t="s">
        <v>2186</v>
      </c>
    </row>
    <row r="2185" spans="1:5">
      <c r="A2185">
        <f>HYPERLINK("http://www.twitter.com/realDonaldTrump/status/743184492907610112", "743184492907610112")</f>
        <v>0</v>
      </c>
      <c r="B2185" s="2">
        <v>42536.8699652778</v>
      </c>
      <c r="C2185">
        <v>12375</v>
      </c>
      <c r="D2185">
        <v>4379</v>
      </c>
      <c r="E2185" t="s">
        <v>2187</v>
      </c>
    </row>
    <row r="2186" spans="1:5">
      <c r="A2186">
        <f>HYPERLINK("http://www.twitter.com/realDonaldTrump/status/743172421654568960", "743172421654568960")</f>
        <v>0</v>
      </c>
      <c r="B2186" s="2">
        <v>42536.8366550926</v>
      </c>
      <c r="C2186">
        <v>14136</v>
      </c>
      <c r="D2186">
        <v>3682</v>
      </c>
      <c r="E2186" t="s">
        <v>2188</v>
      </c>
    </row>
    <row r="2187" spans="1:5">
      <c r="A2187">
        <f>HYPERLINK("http://www.twitter.com/realDonaldTrump/status/743078235408195584", "743078235408195584")</f>
        <v>0</v>
      </c>
      <c r="B2187" s="2">
        <v>42536.5767476852</v>
      </c>
      <c r="C2187">
        <v>46895</v>
      </c>
      <c r="D2187">
        <v>13730</v>
      </c>
      <c r="E2187" t="s">
        <v>2189</v>
      </c>
    </row>
    <row r="2188" spans="1:5">
      <c r="A2188">
        <f>HYPERLINK("http://www.twitter.com/realDonaldTrump/status/743076652662431744", "743076652662431744")</f>
        <v>0</v>
      </c>
      <c r="B2188" s="2">
        <v>42536.5723842593</v>
      </c>
      <c r="C2188">
        <v>26895</v>
      </c>
      <c r="D2188">
        <v>8696</v>
      </c>
      <c r="E2188" t="s">
        <v>2190</v>
      </c>
    </row>
    <row r="2189" spans="1:5">
      <c r="A2189">
        <f>HYPERLINK("http://www.twitter.com/realDonaldTrump/status/743075154507489280", "743075154507489280")</f>
        <v>0</v>
      </c>
      <c r="B2189" s="2">
        <v>42536.5682523148</v>
      </c>
      <c r="C2189">
        <v>14159</v>
      </c>
      <c r="D2189">
        <v>7788</v>
      </c>
      <c r="E2189" t="s">
        <v>2191</v>
      </c>
    </row>
    <row r="2190" spans="1:5">
      <c r="A2190">
        <f>HYPERLINK("http://www.twitter.com/realDonaldTrump/status/742909628338601985", "742909628338601985")</f>
        <v>0</v>
      </c>
      <c r="B2190" s="2">
        <v>42536.1114814815</v>
      </c>
      <c r="C2190">
        <v>17777</v>
      </c>
      <c r="D2190">
        <v>4916</v>
      </c>
      <c r="E2190" t="s">
        <v>2192</v>
      </c>
    </row>
    <row r="2191" spans="1:5">
      <c r="A2191">
        <f>HYPERLINK("http://www.twitter.com/realDonaldTrump/status/742785878679007232", "742785878679007232")</f>
        <v>0</v>
      </c>
      <c r="B2191" s="2">
        <v>42535.77</v>
      </c>
      <c r="C2191">
        <v>9452</v>
      </c>
      <c r="D2191">
        <v>3259</v>
      </c>
      <c r="E2191" t="s">
        <v>2193</v>
      </c>
    </row>
    <row r="2192" spans="1:5">
      <c r="A2192">
        <f>HYPERLINK("http://www.twitter.com/realDonaldTrump/status/742781221260922883", "742781221260922883")</f>
        <v>0</v>
      </c>
      <c r="B2192" s="2">
        <v>42535.7571527778</v>
      </c>
      <c r="C2192">
        <v>0</v>
      </c>
      <c r="D2192">
        <v>10078</v>
      </c>
      <c r="E2192" t="s">
        <v>2194</v>
      </c>
    </row>
    <row r="2193" spans="1:5">
      <c r="A2193">
        <f>HYPERLINK("http://www.twitter.com/realDonaldTrump/status/742781133197299712", "742781133197299712")</f>
        <v>0</v>
      </c>
      <c r="B2193" s="2">
        <v>42535.7569097222</v>
      </c>
      <c r="C2193">
        <v>35298</v>
      </c>
      <c r="D2193">
        <v>10078</v>
      </c>
      <c r="E2193" t="s">
        <v>2195</v>
      </c>
    </row>
    <row r="2194" spans="1:5">
      <c r="A2194">
        <f>HYPERLINK("http://www.twitter.com/realDonaldTrump/status/742771576039460864", "742771576039460864")</f>
        <v>0</v>
      </c>
      <c r="B2194" s="2">
        <v>42535.7305324074</v>
      </c>
      <c r="C2194">
        <v>51432</v>
      </c>
      <c r="D2194">
        <v>18216</v>
      </c>
      <c r="E2194" t="s">
        <v>2196</v>
      </c>
    </row>
    <row r="2195" spans="1:5">
      <c r="A2195">
        <f>HYPERLINK("http://www.twitter.com/realDonaldTrump/status/742695148241313792", "742695148241313792")</f>
        <v>0</v>
      </c>
      <c r="B2195" s="2">
        <v>42535.5196296296</v>
      </c>
      <c r="C2195">
        <v>47343</v>
      </c>
      <c r="D2195">
        <v>20337</v>
      </c>
      <c r="E2195" t="s">
        <v>2197</v>
      </c>
    </row>
    <row r="2196" spans="1:5">
      <c r="A2196">
        <f>HYPERLINK("http://www.twitter.com/realDonaldTrump/status/742694780933656576", "742694780933656576")</f>
        <v>0</v>
      </c>
      <c r="B2196" s="2">
        <v>42535.5186226852</v>
      </c>
      <c r="C2196">
        <v>42786</v>
      </c>
      <c r="D2196">
        <v>14678</v>
      </c>
      <c r="E2196" t="s">
        <v>2198</v>
      </c>
    </row>
    <row r="2197" spans="1:5">
      <c r="A2197">
        <f>HYPERLINK("http://www.twitter.com/realDonaldTrump/status/742512112614944768", "742512112614944768")</f>
        <v>0</v>
      </c>
      <c r="B2197" s="2">
        <v>42535.0145486111</v>
      </c>
      <c r="C2197">
        <v>12227</v>
      </c>
      <c r="D2197">
        <v>4110</v>
      </c>
      <c r="E2197" t="s">
        <v>2199</v>
      </c>
    </row>
    <row r="2198" spans="1:5">
      <c r="A2198">
        <f>HYPERLINK("http://www.twitter.com/realDonaldTrump/status/742470476824477696", "742470476824477696")</f>
        <v>0</v>
      </c>
      <c r="B2198" s="2">
        <v>42534.8996527778</v>
      </c>
      <c r="C2198">
        <v>15285</v>
      </c>
      <c r="D2198">
        <v>6061</v>
      </c>
      <c r="E2198" t="s">
        <v>2200</v>
      </c>
    </row>
    <row r="2199" spans="1:5">
      <c r="A2199">
        <f>HYPERLINK("http://www.twitter.com/realDonaldTrump/status/742469778560929793", "742469778560929793")</f>
        <v>0</v>
      </c>
      <c r="B2199" s="2">
        <v>42534.8977314815</v>
      </c>
      <c r="C2199">
        <v>14687</v>
      </c>
      <c r="D2199">
        <v>6908</v>
      </c>
      <c r="E2199" t="s">
        <v>2201</v>
      </c>
    </row>
    <row r="2200" spans="1:5">
      <c r="A2200">
        <f>HYPERLINK("http://www.twitter.com/realDonaldTrump/status/742464647878561794", "742464647878561794")</f>
        <v>0</v>
      </c>
      <c r="B2200" s="2">
        <v>42534.8835763889</v>
      </c>
      <c r="C2200">
        <v>19772</v>
      </c>
      <c r="D2200">
        <v>9475</v>
      </c>
      <c r="E2200" t="s">
        <v>2202</v>
      </c>
    </row>
    <row r="2201" spans="1:5">
      <c r="A2201">
        <f>HYPERLINK("http://www.twitter.com/realDonaldTrump/status/742464168482201602", "742464168482201602")</f>
        <v>0</v>
      </c>
      <c r="B2201" s="2">
        <v>42534.8822453704</v>
      </c>
      <c r="C2201">
        <v>38179</v>
      </c>
      <c r="D2201">
        <v>12869</v>
      </c>
      <c r="E2201" t="s">
        <v>2203</v>
      </c>
    </row>
    <row r="2202" spans="1:5">
      <c r="A2202">
        <f>HYPERLINK("http://www.twitter.com/realDonaldTrump/status/742456254837215232", "742456254837215232")</f>
        <v>0</v>
      </c>
      <c r="B2202" s="2">
        <v>42534.8604050926</v>
      </c>
      <c r="C2202">
        <v>12990</v>
      </c>
      <c r="D2202">
        <v>4449</v>
      </c>
      <c r="E2202" t="s">
        <v>2204</v>
      </c>
    </row>
    <row r="2203" spans="1:5">
      <c r="A2203">
        <f>HYPERLINK("http://www.twitter.com/realDonaldTrump/status/742455297059475456", "742455297059475456")</f>
        <v>0</v>
      </c>
      <c r="B2203" s="2">
        <v>42534.8577662037</v>
      </c>
      <c r="C2203">
        <v>11554</v>
      </c>
      <c r="D2203">
        <v>3981</v>
      </c>
      <c r="E2203" t="s">
        <v>2205</v>
      </c>
    </row>
    <row r="2204" spans="1:5">
      <c r="A2204">
        <f>HYPERLINK("http://www.twitter.com/realDonaldTrump/status/742442391219646464", "742442391219646464")</f>
        <v>0</v>
      </c>
      <c r="B2204" s="2">
        <v>42534.8221527778</v>
      </c>
      <c r="C2204">
        <v>0</v>
      </c>
      <c r="D2204">
        <v>8311</v>
      </c>
      <c r="E2204" t="s">
        <v>2206</v>
      </c>
    </row>
    <row r="2205" spans="1:5">
      <c r="A2205">
        <f>HYPERLINK("http://www.twitter.com/realDonaldTrump/status/742437914731286530", "742437914731286530")</f>
        <v>0</v>
      </c>
      <c r="B2205" s="2">
        <v>42534.8098032407</v>
      </c>
      <c r="C2205">
        <v>17027</v>
      </c>
      <c r="D2205">
        <v>7644</v>
      </c>
      <c r="E2205" t="s">
        <v>2207</v>
      </c>
    </row>
    <row r="2206" spans="1:5">
      <c r="A2206">
        <f>HYPERLINK("http://www.twitter.com/realDonaldTrump/status/742418415047090176", "742418415047090176")</f>
        <v>0</v>
      </c>
      <c r="B2206" s="2">
        <v>42534.7559953704</v>
      </c>
      <c r="C2206">
        <v>21911</v>
      </c>
      <c r="D2206">
        <v>7248</v>
      </c>
      <c r="E2206" t="s">
        <v>2208</v>
      </c>
    </row>
    <row r="2207" spans="1:5">
      <c r="A2207">
        <f>HYPERLINK("http://www.twitter.com/realDonaldTrump/status/742373042140123137", "742373042140123137")</f>
        <v>0</v>
      </c>
      <c r="B2207" s="2">
        <v>42534.630787037</v>
      </c>
      <c r="C2207">
        <v>26401</v>
      </c>
      <c r="D2207">
        <v>7797</v>
      </c>
      <c r="E2207" t="s">
        <v>2209</v>
      </c>
    </row>
    <row r="2208" spans="1:5">
      <c r="A2208">
        <f>HYPERLINK("http://www.twitter.com/realDonaldTrump/status/742371820867878913", "742371820867878913")</f>
        <v>0</v>
      </c>
      <c r="B2208" s="2">
        <v>42534.6274189815</v>
      </c>
      <c r="C2208">
        <v>17000</v>
      </c>
      <c r="D2208">
        <v>4450</v>
      </c>
      <c r="E2208" t="s">
        <v>2210</v>
      </c>
    </row>
    <row r="2209" spans="1:5">
      <c r="A2209">
        <f>HYPERLINK("http://www.twitter.com/realDonaldTrump/status/742370798850199552", "742370798850199552")</f>
        <v>0</v>
      </c>
      <c r="B2209" s="2">
        <v>42534.6245949074</v>
      </c>
      <c r="C2209">
        <v>31934</v>
      </c>
      <c r="D2209">
        <v>9535</v>
      </c>
      <c r="E2209" t="s">
        <v>2211</v>
      </c>
    </row>
    <row r="2210" spans="1:5">
      <c r="A2210">
        <f>HYPERLINK("http://www.twitter.com/realDonaldTrump/status/742096033207844864", "742096033207844864")</f>
        <v>0</v>
      </c>
      <c r="B2210" s="2">
        <v>42533.8663888889</v>
      </c>
      <c r="C2210">
        <v>72076</v>
      </c>
      <c r="D2210">
        <v>27468</v>
      </c>
      <c r="E2210" t="s">
        <v>2212</v>
      </c>
    </row>
    <row r="2211" spans="1:5">
      <c r="A2211">
        <f>HYPERLINK("http://www.twitter.com/realDonaldTrump/status/742069634652835841", "742069634652835841")</f>
        <v>0</v>
      </c>
      <c r="B2211" s="2">
        <v>42533.7935416667</v>
      </c>
      <c r="C2211">
        <v>30679</v>
      </c>
      <c r="D2211">
        <v>9219</v>
      </c>
      <c r="E2211" t="s">
        <v>2213</v>
      </c>
    </row>
    <row r="2212" spans="1:5">
      <c r="A2212">
        <f>HYPERLINK("http://www.twitter.com/realDonaldTrump/status/742066996767031296", "742066996767031296")</f>
        <v>0</v>
      </c>
      <c r="B2212" s="2">
        <v>42533.7862615741</v>
      </c>
      <c r="C2212">
        <v>34369</v>
      </c>
      <c r="D2212">
        <v>16315</v>
      </c>
      <c r="E2212" t="s">
        <v>2214</v>
      </c>
    </row>
    <row r="2213" spans="1:5">
      <c r="A2213">
        <f>HYPERLINK("http://www.twitter.com/realDonaldTrump/status/742053354189299712", "742053354189299712")</f>
        <v>0</v>
      </c>
      <c r="B2213" s="2">
        <v>42533.7486111111</v>
      </c>
      <c r="C2213">
        <v>90491</v>
      </c>
      <c r="D2213">
        <v>37939</v>
      </c>
      <c r="E2213" t="s">
        <v>2215</v>
      </c>
    </row>
    <row r="2214" spans="1:5">
      <c r="A2214">
        <f>HYPERLINK("http://www.twitter.com/realDonaldTrump/status/742034549232766976", "742034549232766976")</f>
        <v>0</v>
      </c>
      <c r="B2214" s="2">
        <v>42533.696724537</v>
      </c>
      <c r="C2214">
        <v>72480</v>
      </c>
      <c r="D2214">
        <v>26771</v>
      </c>
      <c r="E2214" t="s">
        <v>2216</v>
      </c>
    </row>
    <row r="2215" spans="1:5">
      <c r="A2215">
        <f>HYPERLINK("http://www.twitter.com/realDonaldTrump/status/742019961946791939", "742019961946791939")</f>
        <v>0</v>
      </c>
      <c r="B2215" s="2">
        <v>42533.6564699074</v>
      </c>
      <c r="C2215">
        <v>78380</v>
      </c>
      <c r="D2215">
        <v>29338</v>
      </c>
      <c r="E2215" t="s">
        <v>2217</v>
      </c>
    </row>
    <row r="2216" spans="1:5">
      <c r="A2216">
        <f>HYPERLINK("http://www.twitter.com/realDonaldTrump/status/741988371174699009", "741988371174699009")</f>
        <v>0</v>
      </c>
      <c r="B2216" s="2">
        <v>42533.5692939815</v>
      </c>
      <c r="C2216">
        <v>27583</v>
      </c>
      <c r="D2216">
        <v>7473</v>
      </c>
      <c r="E2216" t="s">
        <v>2218</v>
      </c>
    </row>
    <row r="2217" spans="1:5">
      <c r="A2217">
        <f>HYPERLINK("http://www.twitter.com/realDonaldTrump/status/741965111968075776", "741965111968075776")</f>
        <v>0</v>
      </c>
      <c r="B2217" s="2">
        <v>42533.5051157407</v>
      </c>
      <c r="C2217">
        <v>26292</v>
      </c>
      <c r="D2217">
        <v>9241</v>
      </c>
      <c r="E2217" t="s">
        <v>2219</v>
      </c>
    </row>
    <row r="2218" spans="1:5">
      <c r="A2218">
        <f>HYPERLINK("http://www.twitter.com/realDonaldTrump/status/741774067368402945", "741774067368402945")</f>
        <v>0</v>
      </c>
      <c r="B2218" s="2">
        <v>42532.9779282407</v>
      </c>
      <c r="C2218">
        <v>36451</v>
      </c>
      <c r="D2218">
        <v>12015</v>
      </c>
      <c r="E2218" t="s">
        <v>2220</v>
      </c>
    </row>
    <row r="2219" spans="1:5">
      <c r="A2219">
        <f>HYPERLINK("http://www.twitter.com/realDonaldTrump/status/741760911044685824", "741760911044685824")</f>
        <v>0</v>
      </c>
      <c r="B2219" s="2">
        <v>42532.9416319444</v>
      </c>
      <c r="C2219">
        <v>23840</v>
      </c>
      <c r="D2219">
        <v>8991</v>
      </c>
      <c r="E2219" t="s">
        <v>2221</v>
      </c>
    </row>
    <row r="2220" spans="1:5">
      <c r="A2220">
        <f>HYPERLINK("http://www.twitter.com/realDonaldTrump/status/741760896775663616", "741760896775663616")</f>
        <v>0</v>
      </c>
      <c r="B2220" s="2">
        <v>42532.9415856482</v>
      </c>
      <c r="C2220">
        <v>8062</v>
      </c>
      <c r="D2220">
        <v>2542</v>
      </c>
      <c r="E2220" t="s">
        <v>2222</v>
      </c>
    </row>
    <row r="2221" spans="1:5">
      <c r="A2221">
        <f>HYPERLINK("http://www.twitter.com/realDonaldTrump/status/741754548004458496", "741754548004458496")</f>
        <v>0</v>
      </c>
      <c r="B2221" s="2">
        <v>42532.9240740741</v>
      </c>
      <c r="C2221">
        <v>14344</v>
      </c>
      <c r="D2221">
        <v>4061</v>
      </c>
      <c r="E2221" t="s">
        <v>2223</v>
      </c>
    </row>
    <row r="2222" spans="1:5">
      <c r="A2222">
        <f>HYPERLINK("http://www.twitter.com/realDonaldTrump/status/741744918205501441", "741744918205501441")</f>
        <v>0</v>
      </c>
      <c r="B2222" s="2">
        <v>42532.8975</v>
      </c>
      <c r="C2222">
        <v>18245</v>
      </c>
      <c r="D2222">
        <v>6275</v>
      </c>
      <c r="E2222" t="s">
        <v>2224</v>
      </c>
    </row>
    <row r="2223" spans="1:5">
      <c r="A2223">
        <f>HYPERLINK("http://www.twitter.com/realDonaldTrump/status/741744258655387648", "741744258655387648")</f>
        <v>0</v>
      </c>
      <c r="B2223" s="2">
        <v>42532.8956712963</v>
      </c>
      <c r="C2223">
        <v>11284</v>
      </c>
      <c r="D2223">
        <v>3407</v>
      </c>
      <c r="E2223" t="s">
        <v>2225</v>
      </c>
    </row>
    <row r="2224" spans="1:5">
      <c r="A2224">
        <f>HYPERLINK("http://www.twitter.com/realDonaldTrump/status/741696814194274304", "741696814194274304")</f>
        <v>0</v>
      </c>
      <c r="B2224" s="2">
        <v>42532.7647569444</v>
      </c>
      <c r="C2224">
        <v>17113</v>
      </c>
      <c r="D2224">
        <v>5138</v>
      </c>
      <c r="E2224" t="s">
        <v>2226</v>
      </c>
    </row>
    <row r="2225" spans="1:5">
      <c r="A2225">
        <f>HYPERLINK("http://www.twitter.com/realDonaldTrump/status/741645740884303872", "741645740884303872")</f>
        <v>0</v>
      </c>
      <c r="B2225" s="2">
        <v>42532.6238194444</v>
      </c>
      <c r="C2225">
        <v>20073</v>
      </c>
      <c r="D2225">
        <v>5219</v>
      </c>
      <c r="E2225" t="s">
        <v>2227</v>
      </c>
    </row>
    <row r="2226" spans="1:5">
      <c r="A2226">
        <f>HYPERLINK("http://www.twitter.com/realDonaldTrump/status/741600981251657728", "741600981251657728")</f>
        <v>0</v>
      </c>
      <c r="B2226" s="2">
        <v>42532.5003009259</v>
      </c>
      <c r="C2226">
        <v>28169</v>
      </c>
      <c r="D2226">
        <v>9527</v>
      </c>
      <c r="E2226" t="s">
        <v>2228</v>
      </c>
    </row>
    <row r="2227" spans="1:5">
      <c r="A2227">
        <f>HYPERLINK("http://www.twitter.com/realDonaldTrump/status/741590381503086592", "741590381503086592")</f>
        <v>0</v>
      </c>
      <c r="B2227" s="2">
        <v>42532.4710532407</v>
      </c>
      <c r="C2227">
        <v>33337</v>
      </c>
      <c r="D2227">
        <v>10713</v>
      </c>
      <c r="E2227" t="s">
        <v>2229</v>
      </c>
    </row>
    <row r="2228" spans="1:5">
      <c r="A2228">
        <f>HYPERLINK("http://www.twitter.com/realDonaldTrump/status/741487809576439811", "741487809576439811")</f>
        <v>0</v>
      </c>
      <c r="B2228" s="2">
        <v>42532.1880092593</v>
      </c>
      <c r="C2228">
        <v>14113</v>
      </c>
      <c r="D2228">
        <v>4206</v>
      </c>
      <c r="E2228" t="s">
        <v>2230</v>
      </c>
    </row>
    <row r="2229" spans="1:5">
      <c r="A2229">
        <f>HYPERLINK("http://www.twitter.com/realDonaldTrump/status/741380579313098752", "741380579313098752")</f>
        <v>0</v>
      </c>
      <c r="B2229" s="2">
        <v>42531.8921064815</v>
      </c>
      <c r="C2229">
        <v>14532</v>
      </c>
      <c r="D2229">
        <v>4233</v>
      </c>
      <c r="E2229" t="s">
        <v>2231</v>
      </c>
    </row>
    <row r="2230" spans="1:5">
      <c r="A2230">
        <f>HYPERLINK("http://www.twitter.com/realDonaldTrump/status/741369263525662721", "741369263525662721")</f>
        <v>0</v>
      </c>
      <c r="B2230" s="2">
        <v>42531.8608912037</v>
      </c>
      <c r="C2230">
        <v>8849</v>
      </c>
      <c r="D2230">
        <v>2372</v>
      </c>
      <c r="E2230" t="s">
        <v>2232</v>
      </c>
    </row>
    <row r="2231" spans="1:5">
      <c r="A2231">
        <f>HYPERLINK("http://www.twitter.com/realDonaldTrump/status/741351028273086464", "741351028273086464")</f>
        <v>0</v>
      </c>
      <c r="B2231" s="2">
        <v>42531.8105671296</v>
      </c>
      <c r="C2231">
        <v>21613</v>
      </c>
      <c r="D2231">
        <v>10910</v>
      </c>
      <c r="E2231" t="s">
        <v>2233</v>
      </c>
    </row>
    <row r="2232" spans="1:5">
      <c r="A2232">
        <f>HYPERLINK("http://www.twitter.com/realDonaldTrump/status/741311272818475008", "741311272818475008")</f>
        <v>0</v>
      </c>
      <c r="B2232" s="2">
        <v>42531.7008564815</v>
      </c>
      <c r="C2232">
        <v>44485</v>
      </c>
      <c r="D2232">
        <v>25594</v>
      </c>
      <c r="E2232" t="s">
        <v>2234</v>
      </c>
    </row>
    <row r="2233" spans="1:5">
      <c r="A2233">
        <f>HYPERLINK("http://www.twitter.com/realDonaldTrump/status/741301954324910080", "741301954324910080")</f>
        <v>0</v>
      </c>
      <c r="B2233" s="2">
        <v>42531.675150463</v>
      </c>
      <c r="C2233">
        <v>18568</v>
      </c>
      <c r="D2233">
        <v>9620</v>
      </c>
      <c r="E2233" t="s">
        <v>2235</v>
      </c>
    </row>
    <row r="2234" spans="1:5">
      <c r="A2234">
        <f>HYPERLINK("http://www.twitter.com/realDonaldTrump/status/741297855168716801", "741297855168716801")</f>
        <v>0</v>
      </c>
      <c r="B2234" s="2">
        <v>42531.6638310185</v>
      </c>
      <c r="C2234">
        <v>10849</v>
      </c>
      <c r="D2234">
        <v>2539</v>
      </c>
      <c r="E2234" t="s">
        <v>2236</v>
      </c>
    </row>
    <row r="2235" spans="1:5">
      <c r="A2235">
        <f>HYPERLINK("http://www.twitter.com/realDonaldTrump/status/741292912894431232", "741292912894431232")</f>
        <v>0</v>
      </c>
      <c r="B2235" s="2">
        <v>42531.6501967593</v>
      </c>
      <c r="C2235">
        <v>10302</v>
      </c>
      <c r="D2235">
        <v>3984</v>
      </c>
      <c r="E2235" t="s">
        <v>2237</v>
      </c>
    </row>
    <row r="2236" spans="1:5">
      <c r="A2236">
        <f>HYPERLINK("http://www.twitter.com/realDonaldTrump/status/741286391200505857", "741286391200505857")</f>
        <v>0</v>
      </c>
      <c r="B2236" s="2">
        <v>42531.6321990741</v>
      </c>
      <c r="C2236">
        <v>18874</v>
      </c>
      <c r="D2236">
        <v>5197</v>
      </c>
      <c r="E2236" t="s">
        <v>2238</v>
      </c>
    </row>
    <row r="2237" spans="1:5">
      <c r="A2237">
        <f>HYPERLINK("http://www.twitter.com/realDonaldTrump/status/741257031722622976", "741257031722622976")</f>
        <v>0</v>
      </c>
      <c r="B2237" s="2">
        <v>42531.5511805556</v>
      </c>
      <c r="C2237">
        <v>8667</v>
      </c>
      <c r="D2237">
        <v>3123</v>
      </c>
      <c r="E2237" t="s">
        <v>2239</v>
      </c>
    </row>
    <row r="2238" spans="1:5">
      <c r="A2238">
        <f>HYPERLINK("http://www.twitter.com/realDonaldTrump/status/741244493127618560", "741244493127618560")</f>
        <v>0</v>
      </c>
      <c r="B2238" s="2">
        <v>42531.5165856481</v>
      </c>
      <c r="C2238">
        <v>11131</v>
      </c>
      <c r="D2238">
        <v>3386</v>
      </c>
      <c r="E2238" t="s">
        <v>2240</v>
      </c>
    </row>
    <row r="2239" spans="1:5">
      <c r="A2239">
        <f>HYPERLINK("http://www.twitter.com/realDonaldTrump/status/741243519822626816", "741243519822626816")</f>
        <v>0</v>
      </c>
      <c r="B2239" s="2">
        <v>42531.513900463</v>
      </c>
      <c r="C2239">
        <v>28304</v>
      </c>
      <c r="D2239">
        <v>13739</v>
      </c>
      <c r="E2239" t="s">
        <v>2241</v>
      </c>
    </row>
    <row r="2240" spans="1:5">
      <c r="A2240">
        <f>HYPERLINK("http://www.twitter.com/realDonaldTrump/status/741240449906663424", "741240449906663424")</f>
        <v>0</v>
      </c>
      <c r="B2240" s="2">
        <v>42531.5054282407</v>
      </c>
      <c r="C2240">
        <v>28995</v>
      </c>
      <c r="D2240">
        <v>9376</v>
      </c>
      <c r="E2240" t="s">
        <v>2242</v>
      </c>
    </row>
    <row r="2241" spans="1:5">
      <c r="A2241">
        <f>HYPERLINK("http://www.twitter.com/realDonaldTrump/status/741095312601812992", "741095312601812992")</f>
        <v>0</v>
      </c>
      <c r="B2241" s="2">
        <v>42531.1049305556</v>
      </c>
      <c r="C2241">
        <v>19435</v>
      </c>
      <c r="D2241">
        <v>7095</v>
      </c>
      <c r="E2241" t="s">
        <v>2243</v>
      </c>
    </row>
    <row r="2242" spans="1:5">
      <c r="A2242">
        <f>HYPERLINK("http://www.twitter.com/realDonaldTrump/status/741094899664093184", "741094899664093184")</f>
        <v>0</v>
      </c>
      <c r="B2242" s="2">
        <v>42531.1037847222</v>
      </c>
      <c r="C2242">
        <v>8759</v>
      </c>
      <c r="D2242">
        <v>3302</v>
      </c>
      <c r="E2242" t="s">
        <v>2244</v>
      </c>
    </row>
    <row r="2243" spans="1:5">
      <c r="A2243">
        <f>HYPERLINK("http://www.twitter.com/realDonaldTrump/status/741015811960229893", "741015811960229893")</f>
        <v>0</v>
      </c>
      <c r="B2243" s="2">
        <v>42530.8855439815</v>
      </c>
      <c r="C2243">
        <v>21163</v>
      </c>
      <c r="D2243">
        <v>7117</v>
      </c>
      <c r="E2243" t="s">
        <v>2245</v>
      </c>
    </row>
    <row r="2244" spans="1:5">
      <c r="A2244">
        <f>HYPERLINK("http://www.twitter.com/realDonaldTrump/status/741007091947556864", "741007091947556864")</f>
        <v>0</v>
      </c>
      <c r="B2244" s="2">
        <v>42530.8614814815</v>
      </c>
      <c r="C2244">
        <v>294069</v>
      </c>
      <c r="D2244">
        <v>166186</v>
      </c>
      <c r="E2244" t="s">
        <v>2246</v>
      </c>
    </row>
    <row r="2245" spans="1:5">
      <c r="A2245">
        <f>HYPERLINK("http://www.twitter.com/realDonaldTrump/status/740988538464948224", "740988538464948224")</f>
        <v>0</v>
      </c>
      <c r="B2245" s="2">
        <v>42530.8102893519</v>
      </c>
      <c r="C2245">
        <v>15149</v>
      </c>
      <c r="D2245">
        <v>4885</v>
      </c>
      <c r="E2245" t="s">
        <v>2247</v>
      </c>
    </row>
    <row r="2246" spans="1:5">
      <c r="A2246">
        <f>HYPERLINK("http://www.twitter.com/realDonaldTrump/status/740972317191352320", "740972317191352320")</f>
        <v>0</v>
      </c>
      <c r="B2246" s="2">
        <v>42530.7655208333</v>
      </c>
      <c r="C2246">
        <v>83397</v>
      </c>
      <c r="D2246">
        <v>35963</v>
      </c>
      <c r="E2246" t="s">
        <v>2248</v>
      </c>
    </row>
    <row r="2247" spans="1:5">
      <c r="A2247">
        <f>HYPERLINK("http://www.twitter.com/realDonaldTrump/status/740883494117728256", "740883494117728256")</f>
        <v>0</v>
      </c>
      <c r="B2247" s="2">
        <v>42530.5204166667</v>
      </c>
      <c r="C2247">
        <v>33580</v>
      </c>
      <c r="D2247">
        <v>11990</v>
      </c>
      <c r="E2247" t="s">
        <v>2249</v>
      </c>
    </row>
    <row r="2248" spans="1:5">
      <c r="A2248">
        <f>HYPERLINK("http://www.twitter.com/realDonaldTrump/status/740879092141182976", "740879092141182976")</f>
        <v>0</v>
      </c>
      <c r="B2248" s="2">
        <v>42530.508275463</v>
      </c>
      <c r="C2248">
        <v>32868</v>
      </c>
      <c r="D2248">
        <v>9464</v>
      </c>
      <c r="E2248" t="s">
        <v>2250</v>
      </c>
    </row>
    <row r="2249" spans="1:5">
      <c r="A2249">
        <f>HYPERLINK("http://www.twitter.com/realDonaldTrump/status/740722436065353728", "740722436065353728")</f>
        <v>0</v>
      </c>
      <c r="B2249" s="2">
        <v>42530.0759837963</v>
      </c>
      <c r="C2249">
        <v>10129</v>
      </c>
      <c r="D2249">
        <v>3002</v>
      </c>
      <c r="E2249" t="s">
        <v>2251</v>
      </c>
    </row>
    <row r="2250" spans="1:5">
      <c r="A2250">
        <f>HYPERLINK("http://www.twitter.com/realDonaldTrump/status/740721589709328385", "740721589709328385")</f>
        <v>0</v>
      </c>
      <c r="B2250" s="2">
        <v>42530.0736458333</v>
      </c>
      <c r="C2250">
        <v>24063</v>
      </c>
      <c r="D2250">
        <v>7227</v>
      </c>
      <c r="E2250" t="s">
        <v>2252</v>
      </c>
    </row>
    <row r="2251" spans="1:5">
      <c r="A2251">
        <f>HYPERLINK("http://www.twitter.com/realDonaldTrump/status/740710011136028672", "740710011136028672")</f>
        <v>0</v>
      </c>
      <c r="B2251" s="2">
        <v>42530.0417013889</v>
      </c>
      <c r="C2251">
        <v>12772</v>
      </c>
      <c r="D2251">
        <v>4034</v>
      </c>
      <c r="E2251" t="s">
        <v>2253</v>
      </c>
    </row>
    <row r="2252" spans="1:5">
      <c r="A2252">
        <f>HYPERLINK("http://www.twitter.com/realDonaldTrump/status/740709235927977989", "740709235927977989")</f>
        <v>0</v>
      </c>
      <c r="B2252" s="2">
        <v>42530.0395601852</v>
      </c>
      <c r="C2252">
        <v>10992</v>
      </c>
      <c r="D2252">
        <v>2916</v>
      </c>
      <c r="E2252" t="s">
        <v>2254</v>
      </c>
    </row>
    <row r="2253" spans="1:5">
      <c r="A2253">
        <f>HYPERLINK("http://www.twitter.com/realDonaldTrump/status/740708673694076928", "740708673694076928")</f>
        <v>0</v>
      </c>
      <c r="B2253" s="2">
        <v>42530.0380092593</v>
      </c>
      <c r="C2253">
        <v>21279</v>
      </c>
      <c r="D2253">
        <v>5791</v>
      </c>
      <c r="E2253" t="s">
        <v>2255</v>
      </c>
    </row>
    <row r="2254" spans="1:5">
      <c r="A2254">
        <f>HYPERLINK("http://www.twitter.com/realDonaldTrump/status/740707325590274049", "740707325590274049")</f>
        <v>0</v>
      </c>
      <c r="B2254" s="2">
        <v>42530.0342824074</v>
      </c>
      <c r="C2254">
        <v>8013</v>
      </c>
      <c r="D2254">
        <v>1723</v>
      </c>
      <c r="E2254" t="s">
        <v>2256</v>
      </c>
    </row>
    <row r="2255" spans="1:5">
      <c r="A2255">
        <f>HYPERLINK("http://www.twitter.com/realDonaldTrump/status/740707234968113152", "740707234968113152")</f>
        <v>0</v>
      </c>
      <c r="B2255" s="2">
        <v>42530.0340393518</v>
      </c>
      <c r="C2255">
        <v>7407</v>
      </c>
      <c r="D2255">
        <v>1982</v>
      </c>
      <c r="E2255" t="s">
        <v>2257</v>
      </c>
    </row>
    <row r="2256" spans="1:5">
      <c r="A2256">
        <f>HYPERLINK("http://www.twitter.com/realDonaldTrump/status/740655290618642432", "740655290618642432")</f>
        <v>0</v>
      </c>
      <c r="B2256" s="2">
        <v>42529.8906944444</v>
      </c>
      <c r="C2256">
        <v>0</v>
      </c>
      <c r="D2256">
        <v>5031</v>
      </c>
      <c r="E2256" t="s">
        <v>2258</v>
      </c>
    </row>
    <row r="2257" spans="1:5">
      <c r="A2257">
        <f>HYPERLINK("http://www.twitter.com/realDonaldTrump/status/740641413335908352", "740641413335908352")</f>
        <v>0</v>
      </c>
      <c r="B2257" s="2">
        <v>42529.8524074074</v>
      </c>
      <c r="C2257">
        <v>18434</v>
      </c>
      <c r="D2257">
        <v>7489</v>
      </c>
      <c r="E2257" t="s">
        <v>2259</v>
      </c>
    </row>
    <row r="2258" spans="1:5">
      <c r="A2258">
        <f>HYPERLINK("http://www.twitter.com/realDonaldTrump/status/740524891108200448", "740524891108200448")</f>
        <v>0</v>
      </c>
      <c r="B2258" s="2">
        <v>42529.5308564815</v>
      </c>
      <c r="C2258">
        <v>10646</v>
      </c>
      <c r="D2258">
        <v>3823</v>
      </c>
      <c r="E2258" t="s">
        <v>2260</v>
      </c>
    </row>
    <row r="2259" spans="1:5">
      <c r="A2259">
        <f>HYPERLINK("http://www.twitter.com/realDonaldTrump/status/740517366551969792", "740517366551969792")</f>
        <v>0</v>
      </c>
      <c r="B2259" s="2">
        <v>42529.5100925926</v>
      </c>
      <c r="C2259">
        <v>12939</v>
      </c>
      <c r="D2259">
        <v>4555</v>
      </c>
      <c r="E2259" t="s">
        <v>2261</v>
      </c>
    </row>
    <row r="2260" spans="1:5">
      <c r="A2260">
        <f>HYPERLINK("http://www.twitter.com/realDonaldTrump/status/740517144115478528", "740517144115478528")</f>
        <v>0</v>
      </c>
      <c r="B2260" s="2">
        <v>42529.5094791667</v>
      </c>
      <c r="C2260">
        <v>7054</v>
      </c>
      <c r="D2260">
        <v>1577</v>
      </c>
      <c r="E2260" t="s">
        <v>2262</v>
      </c>
    </row>
    <row r="2261" spans="1:5">
      <c r="A2261">
        <f>HYPERLINK("http://www.twitter.com/realDonaldTrump/status/740516693030637568", "740516693030637568")</f>
        <v>0</v>
      </c>
      <c r="B2261" s="2">
        <v>42529.5082407407</v>
      </c>
      <c r="C2261">
        <v>6939</v>
      </c>
      <c r="D2261">
        <v>1683</v>
      </c>
      <c r="E2261" t="s">
        <v>2263</v>
      </c>
    </row>
    <row r="2262" spans="1:5">
      <c r="A2262">
        <f>HYPERLINK("http://www.twitter.com/realDonaldTrump/status/740516296291459072", "740516296291459072")</f>
        <v>0</v>
      </c>
      <c r="B2262" s="2">
        <v>42529.5071412037</v>
      </c>
      <c r="C2262">
        <v>9166</v>
      </c>
      <c r="D2262">
        <v>2731</v>
      </c>
      <c r="E2262" t="s">
        <v>2264</v>
      </c>
    </row>
    <row r="2263" spans="1:5">
      <c r="A2263">
        <f>HYPERLINK("http://www.twitter.com/realDonaldTrump/status/740515952454959104", "740515952454959104")</f>
        <v>0</v>
      </c>
      <c r="B2263" s="2">
        <v>42529.5061921296</v>
      </c>
      <c r="C2263">
        <v>10313</v>
      </c>
      <c r="D2263">
        <v>3147</v>
      </c>
      <c r="E2263" t="s">
        <v>2265</v>
      </c>
    </row>
    <row r="2264" spans="1:5">
      <c r="A2264">
        <f>HYPERLINK("http://www.twitter.com/realDonaldTrump/status/740513939574951936", "740513939574951936")</f>
        <v>0</v>
      </c>
      <c r="B2264" s="2">
        <v>42529.5006365741</v>
      </c>
      <c r="C2264">
        <v>10098</v>
      </c>
      <c r="D2264">
        <v>3337</v>
      </c>
      <c r="E2264" t="s">
        <v>2266</v>
      </c>
    </row>
    <row r="2265" spans="1:5">
      <c r="A2265">
        <f>HYPERLINK("http://www.twitter.com/realDonaldTrump/status/740511746503364608", "740511746503364608")</f>
        <v>0</v>
      </c>
      <c r="B2265" s="2">
        <v>42529.4945949074</v>
      </c>
      <c r="C2265">
        <v>18806</v>
      </c>
      <c r="D2265">
        <v>4918</v>
      </c>
      <c r="E2265" t="s">
        <v>2267</v>
      </c>
    </row>
    <row r="2266" spans="1:5">
      <c r="A2266">
        <f>HYPERLINK("http://www.twitter.com/realDonaldTrump/status/740510072678326273", "740510072678326273")</f>
        <v>0</v>
      </c>
      <c r="B2266" s="2">
        <v>42529.4899652778</v>
      </c>
      <c r="C2266">
        <v>7306</v>
      </c>
      <c r="D2266">
        <v>2965</v>
      </c>
      <c r="E2266" t="s">
        <v>2268</v>
      </c>
    </row>
    <row r="2267" spans="1:5">
      <c r="A2267">
        <f>HYPERLINK("http://www.twitter.com/realDonaldTrump/status/740509507814600704", "740509507814600704")</f>
        <v>0</v>
      </c>
      <c r="B2267" s="2">
        <v>42529.4884143519</v>
      </c>
      <c r="C2267">
        <v>13953</v>
      </c>
      <c r="D2267">
        <v>4481</v>
      </c>
      <c r="E2267" t="s">
        <v>2269</v>
      </c>
    </row>
    <row r="2268" spans="1:5">
      <c r="A2268">
        <f>HYPERLINK("http://www.twitter.com/realDonaldTrump/status/740392765662629888", "740392765662629888")</f>
        <v>0</v>
      </c>
      <c r="B2268" s="2">
        <v>42529.1662615741</v>
      </c>
      <c r="C2268">
        <v>12173</v>
      </c>
      <c r="D2268">
        <v>3891</v>
      </c>
      <c r="E2268" t="s">
        <v>2270</v>
      </c>
    </row>
    <row r="2269" spans="1:5">
      <c r="A2269">
        <f>HYPERLINK("http://www.twitter.com/realDonaldTrump/status/740387780719747072", "740387780719747072")</f>
        <v>0</v>
      </c>
      <c r="B2269" s="2">
        <v>42529.1525115741</v>
      </c>
      <c r="C2269">
        <v>9766</v>
      </c>
      <c r="D2269">
        <v>2959</v>
      </c>
      <c r="E2269" t="s">
        <v>2271</v>
      </c>
    </row>
    <row r="2270" spans="1:5">
      <c r="A2270">
        <f>HYPERLINK("http://www.twitter.com/realDonaldTrump/status/740385872089120768", "740385872089120768")</f>
        <v>0</v>
      </c>
      <c r="B2270" s="2">
        <v>42529.1472453704</v>
      </c>
      <c r="C2270">
        <v>10239</v>
      </c>
      <c r="D2270">
        <v>3039</v>
      </c>
      <c r="E2270" t="s">
        <v>2272</v>
      </c>
    </row>
    <row r="2271" spans="1:5">
      <c r="A2271">
        <f>HYPERLINK("http://www.twitter.com/realDonaldTrump/status/740383281603039232", "740383281603039232")</f>
        <v>0</v>
      </c>
      <c r="B2271" s="2">
        <v>42529.1400925926</v>
      </c>
      <c r="C2271">
        <v>11572</v>
      </c>
      <c r="D2271">
        <v>3602</v>
      </c>
      <c r="E2271" t="s">
        <v>2273</v>
      </c>
    </row>
    <row r="2272" spans="1:5">
      <c r="A2272">
        <f>HYPERLINK("http://www.twitter.com/realDonaldTrump/status/740380953722421249", "740380953722421249")</f>
        <v>0</v>
      </c>
      <c r="B2272" s="2">
        <v>42529.1336689815</v>
      </c>
      <c r="C2272">
        <v>10352</v>
      </c>
      <c r="D2272">
        <v>3083</v>
      </c>
      <c r="E2272" t="s">
        <v>2274</v>
      </c>
    </row>
    <row r="2273" spans="1:5">
      <c r="A2273">
        <f>HYPERLINK("http://www.twitter.com/realDonaldTrump/status/740343009074634752", "740343009074634752")</f>
        <v>0</v>
      </c>
      <c r="B2273" s="2">
        <v>42529.0289583333</v>
      </c>
      <c r="C2273">
        <v>16753</v>
      </c>
      <c r="D2273">
        <v>4443</v>
      </c>
      <c r="E2273" t="s">
        <v>2275</v>
      </c>
    </row>
    <row r="2274" spans="1:5">
      <c r="A2274">
        <f>HYPERLINK("http://www.twitter.com/realDonaldTrump/status/740330660372619265", "740330660372619265")</f>
        <v>0</v>
      </c>
      <c r="B2274" s="2">
        <v>42528.9948842593</v>
      </c>
      <c r="C2274">
        <v>9099</v>
      </c>
      <c r="D2274">
        <v>2578</v>
      </c>
      <c r="E2274" t="s">
        <v>2276</v>
      </c>
    </row>
    <row r="2275" spans="1:5">
      <c r="A2275">
        <f>HYPERLINK("http://www.twitter.com/realDonaldTrump/status/740313748825505792", "740313748825505792")</f>
        <v>0</v>
      </c>
      <c r="B2275" s="2">
        <v>42528.9482175926</v>
      </c>
      <c r="C2275">
        <v>13817</v>
      </c>
      <c r="D2275">
        <v>5104</v>
      </c>
      <c r="E2275" t="s">
        <v>2277</v>
      </c>
    </row>
    <row r="2276" spans="1:5">
      <c r="A2276">
        <f>HYPERLINK("http://www.twitter.com/realDonaldTrump/status/740005642228862981", "740005642228862981")</f>
        <v>0</v>
      </c>
      <c r="B2276" s="2">
        <v>42528.0980092593</v>
      </c>
      <c r="C2276">
        <v>21646</v>
      </c>
      <c r="D2276">
        <v>7937</v>
      </c>
      <c r="E2276" t="s">
        <v>2278</v>
      </c>
    </row>
    <row r="2277" spans="1:5">
      <c r="A2277">
        <f>HYPERLINK("http://www.twitter.com/realDonaldTrump/status/739998110915678208", "739998110915678208")</f>
        <v>0</v>
      </c>
      <c r="B2277" s="2">
        <v>42528.0772222222</v>
      </c>
      <c r="C2277">
        <v>22080</v>
      </c>
      <c r="D2277">
        <v>8712</v>
      </c>
      <c r="E2277" t="s">
        <v>2279</v>
      </c>
    </row>
    <row r="2278" spans="1:5">
      <c r="A2278">
        <f>HYPERLINK("http://www.twitter.com/realDonaldTrump/status/739934090690998272", "739934090690998272")</f>
        <v>0</v>
      </c>
      <c r="B2278" s="2">
        <v>42527.9005671296</v>
      </c>
      <c r="C2278">
        <v>13129</v>
      </c>
      <c r="D2278">
        <v>5853</v>
      </c>
      <c r="E2278" t="s">
        <v>2280</v>
      </c>
    </row>
    <row r="2279" spans="1:5">
      <c r="A2279">
        <f>HYPERLINK("http://www.twitter.com/realDonaldTrump/status/739857921140527104", "739857921140527104")</f>
        <v>0</v>
      </c>
      <c r="B2279" s="2">
        <v>42527.6903703704</v>
      </c>
      <c r="C2279">
        <v>0</v>
      </c>
      <c r="D2279">
        <v>2271</v>
      </c>
      <c r="E2279" t="s">
        <v>2281</v>
      </c>
    </row>
    <row r="2280" spans="1:5">
      <c r="A2280">
        <f>HYPERLINK("http://www.twitter.com/realDonaldTrump/status/739857123329335298", "739857123329335298")</f>
        <v>0</v>
      </c>
      <c r="B2280" s="2">
        <v>42527.6881712963</v>
      </c>
      <c r="C2280">
        <v>11656</v>
      </c>
      <c r="D2280">
        <v>4574</v>
      </c>
      <c r="E2280" t="s">
        <v>2282</v>
      </c>
    </row>
    <row r="2281" spans="1:5">
      <c r="A2281">
        <f>HYPERLINK("http://www.twitter.com/realDonaldTrump/status/739826625546752000", "739826625546752000")</f>
        <v>0</v>
      </c>
      <c r="B2281" s="2">
        <v>42527.6040162037</v>
      </c>
      <c r="C2281">
        <v>36521</v>
      </c>
      <c r="D2281">
        <v>14824</v>
      </c>
      <c r="E2281" t="s">
        <v>2283</v>
      </c>
    </row>
    <row r="2282" spans="1:5">
      <c r="A2282">
        <f>HYPERLINK("http://www.twitter.com/realDonaldTrump/status/739816997345755136", "739816997345755136")</f>
        <v>0</v>
      </c>
      <c r="B2282" s="2">
        <v>42527.5774421296</v>
      </c>
      <c r="C2282">
        <v>20054</v>
      </c>
      <c r="D2282">
        <v>5128</v>
      </c>
      <c r="E2282" t="s">
        <v>2284</v>
      </c>
    </row>
    <row r="2283" spans="1:5">
      <c r="A2283">
        <f>HYPERLINK("http://www.twitter.com/realDonaldTrump/status/739814823689605120", "739814823689605120")</f>
        <v>0</v>
      </c>
      <c r="B2283" s="2">
        <v>42527.5714467593</v>
      </c>
      <c r="C2283">
        <v>12768</v>
      </c>
      <c r="D2283">
        <v>4567</v>
      </c>
      <c r="E2283" t="s">
        <v>2285</v>
      </c>
    </row>
    <row r="2284" spans="1:5">
      <c r="A2284">
        <f>HYPERLINK("http://www.twitter.com/realDonaldTrump/status/739810044150190080", "739810044150190080")</f>
        <v>0</v>
      </c>
      <c r="B2284" s="2">
        <v>42527.5582638889</v>
      </c>
      <c r="C2284">
        <v>14217</v>
      </c>
      <c r="D2284">
        <v>4742</v>
      </c>
      <c r="E2284" t="s">
        <v>2286</v>
      </c>
    </row>
    <row r="2285" spans="1:5">
      <c r="A2285">
        <f>HYPERLINK("http://www.twitter.com/realDonaldTrump/status/739807883521630208", "739807883521630208")</f>
        <v>0</v>
      </c>
      <c r="B2285" s="2">
        <v>42527.5523032407</v>
      </c>
      <c r="C2285">
        <v>20750</v>
      </c>
      <c r="D2285">
        <v>7212</v>
      </c>
      <c r="E2285" t="s">
        <v>2287</v>
      </c>
    </row>
    <row r="2286" spans="1:5">
      <c r="A2286">
        <f>HYPERLINK("http://www.twitter.com/realDonaldTrump/status/739803054476775424", "739803054476775424")</f>
        <v>0</v>
      </c>
      <c r="B2286" s="2">
        <v>42527.5389699074</v>
      </c>
      <c r="C2286">
        <v>17142</v>
      </c>
      <c r="D2286">
        <v>5319</v>
      </c>
      <c r="E2286" t="s">
        <v>2288</v>
      </c>
    </row>
    <row r="2287" spans="1:5">
      <c r="A2287">
        <f>HYPERLINK("http://www.twitter.com/realDonaldTrump/status/739779845572448256", "739779845572448256")</f>
        <v>0</v>
      </c>
      <c r="B2287" s="2">
        <v>42527.4749305556</v>
      </c>
      <c r="C2287">
        <v>11861</v>
      </c>
      <c r="D2287">
        <v>3810</v>
      </c>
      <c r="E2287" t="s">
        <v>2289</v>
      </c>
    </row>
    <row r="2288" spans="1:5">
      <c r="A2288">
        <f>HYPERLINK("http://www.twitter.com/realDonaldTrump/status/739581318699352066", "739581318699352066")</f>
        <v>0</v>
      </c>
      <c r="B2288" s="2">
        <v>42526.9270949074</v>
      </c>
      <c r="C2288">
        <v>29173</v>
      </c>
      <c r="D2288">
        <v>10935</v>
      </c>
      <c r="E2288" t="s">
        <v>2290</v>
      </c>
    </row>
    <row r="2289" spans="1:5">
      <c r="A2289">
        <f>HYPERLINK("http://www.twitter.com/realDonaldTrump/status/739576535561162752", "739576535561162752")</f>
        <v>0</v>
      </c>
      <c r="B2289" s="2">
        <v>42526.913900463</v>
      </c>
      <c r="C2289">
        <v>20684</v>
      </c>
      <c r="D2289">
        <v>6537</v>
      </c>
      <c r="E2289" t="s">
        <v>2291</v>
      </c>
    </row>
    <row r="2290" spans="1:5">
      <c r="A2290">
        <f>HYPERLINK("http://www.twitter.com/realDonaldTrump/status/739571700392722432", "739571700392722432")</f>
        <v>0</v>
      </c>
      <c r="B2290" s="2">
        <v>42526.9005555556</v>
      </c>
      <c r="C2290">
        <v>21682</v>
      </c>
      <c r="D2290">
        <v>8304</v>
      </c>
      <c r="E2290" t="s">
        <v>2292</v>
      </c>
    </row>
    <row r="2291" spans="1:5">
      <c r="A2291">
        <f>HYPERLINK("http://www.twitter.com/realDonaldTrump/status/739242726181462016", "739242726181462016")</f>
        <v>0</v>
      </c>
      <c r="B2291" s="2">
        <v>42525.9927662037</v>
      </c>
      <c r="C2291">
        <v>10028</v>
      </c>
      <c r="D2291">
        <v>3077</v>
      </c>
      <c r="E2291" t="s">
        <v>2293</v>
      </c>
    </row>
    <row r="2292" spans="1:5">
      <c r="A2292">
        <f>HYPERLINK("http://www.twitter.com/realDonaldTrump/status/739206145072594944", "739206145072594944")</f>
        <v>0</v>
      </c>
      <c r="B2292" s="2">
        <v>42525.8918171296</v>
      </c>
      <c r="C2292">
        <v>13485</v>
      </c>
      <c r="D2292">
        <v>6052</v>
      </c>
      <c r="E2292" t="s">
        <v>2294</v>
      </c>
    </row>
    <row r="2293" spans="1:5">
      <c r="A2293">
        <f>HYPERLINK("http://www.twitter.com/realDonaldTrump/status/739082885857173505", "739082885857173505")</f>
        <v>0</v>
      </c>
      <c r="B2293" s="2">
        <v>42525.5516898148</v>
      </c>
      <c r="C2293">
        <v>14627</v>
      </c>
      <c r="D2293">
        <v>5482</v>
      </c>
      <c r="E2293" t="s">
        <v>2295</v>
      </c>
    </row>
    <row r="2294" spans="1:5">
      <c r="A2294">
        <f>HYPERLINK("http://www.twitter.com/realDonaldTrump/status/739082059348619264", "739082059348619264")</f>
        <v>0</v>
      </c>
      <c r="B2294" s="2">
        <v>42525.5494097222</v>
      </c>
      <c r="C2294">
        <v>21730</v>
      </c>
      <c r="D2294">
        <v>7567</v>
      </c>
      <c r="E2294" t="s">
        <v>2296</v>
      </c>
    </row>
    <row r="2295" spans="1:5">
      <c r="A2295">
        <f>HYPERLINK("http://www.twitter.com/realDonaldTrump/status/739080401747120128", "739080401747120128")</f>
        <v>0</v>
      </c>
      <c r="B2295" s="2">
        <v>42525.5448263889</v>
      </c>
      <c r="C2295">
        <v>28254</v>
      </c>
      <c r="D2295">
        <v>12551</v>
      </c>
      <c r="E2295" t="s">
        <v>2297</v>
      </c>
    </row>
    <row r="2296" spans="1:5">
      <c r="A2296">
        <f>HYPERLINK("http://www.twitter.com/realDonaldTrump/status/739076562876829696", "739076562876829696")</f>
        <v>0</v>
      </c>
      <c r="B2296" s="2">
        <v>42525.5342361111</v>
      </c>
      <c r="C2296">
        <v>14087</v>
      </c>
      <c r="D2296">
        <v>4325</v>
      </c>
      <c r="E2296" t="s">
        <v>2298</v>
      </c>
    </row>
    <row r="2297" spans="1:5">
      <c r="A2297">
        <f>HYPERLINK("http://www.twitter.com/realDonaldTrump/status/739076181484576768", "739076181484576768")</f>
        <v>0</v>
      </c>
      <c r="B2297" s="2">
        <v>42525.5331828704</v>
      </c>
      <c r="C2297">
        <v>10325</v>
      </c>
      <c r="D2297">
        <v>6183</v>
      </c>
      <c r="E2297" t="s">
        <v>2299</v>
      </c>
    </row>
    <row r="2298" spans="1:5">
      <c r="A2298">
        <f>HYPERLINK("http://www.twitter.com/realDonaldTrump/status/738950669927886848", "738950669927886848")</f>
        <v>0</v>
      </c>
      <c r="B2298" s="2">
        <v>42525.1868402778</v>
      </c>
      <c r="C2298">
        <v>46184</v>
      </c>
      <c r="D2298">
        <v>19906</v>
      </c>
      <c r="E2298" t="s">
        <v>2300</v>
      </c>
    </row>
    <row r="2299" spans="1:5">
      <c r="A2299">
        <f>HYPERLINK("http://www.twitter.com/realDonaldTrump/status/738901792210194432", "738901792210194432")</f>
        <v>0</v>
      </c>
      <c r="B2299" s="2">
        <v>42525.0519675926</v>
      </c>
      <c r="C2299">
        <v>0</v>
      </c>
      <c r="D2299">
        <v>3261</v>
      </c>
      <c r="E2299" t="s">
        <v>2301</v>
      </c>
    </row>
    <row r="2300" spans="1:5">
      <c r="A2300">
        <f>HYPERLINK("http://www.twitter.com/realDonaldTrump/status/738858013419835392", "738858013419835392")</f>
        <v>0</v>
      </c>
      <c r="B2300" s="2">
        <v>42524.9311574074</v>
      </c>
      <c r="C2300">
        <v>16383</v>
      </c>
      <c r="D2300">
        <v>4950</v>
      </c>
      <c r="E2300" t="s">
        <v>2302</v>
      </c>
    </row>
    <row r="2301" spans="1:5">
      <c r="A2301">
        <f>HYPERLINK("http://www.twitter.com/realDonaldTrump/status/738809335841595392", "738809335841595392")</f>
        <v>0</v>
      </c>
      <c r="B2301" s="2">
        <v>42524.7968287037</v>
      </c>
      <c r="C2301">
        <v>22905</v>
      </c>
      <c r="D2301">
        <v>7551</v>
      </c>
      <c r="E2301" t="s">
        <v>2303</v>
      </c>
    </row>
    <row r="2302" spans="1:5">
      <c r="A2302">
        <f>HYPERLINK("http://www.twitter.com/realDonaldTrump/status/738808292550397953", "738808292550397953")</f>
        <v>0</v>
      </c>
      <c r="B2302" s="2">
        <v>42524.7939467593</v>
      </c>
      <c r="C2302">
        <v>10129</v>
      </c>
      <c r="D2302">
        <v>2644</v>
      </c>
      <c r="E2302" t="s">
        <v>2304</v>
      </c>
    </row>
    <row r="2303" spans="1:5">
      <c r="A2303">
        <f>HYPERLINK("http://www.twitter.com/realDonaldTrump/status/738762615334174720", "738762615334174720")</f>
        <v>0</v>
      </c>
      <c r="B2303" s="2">
        <v>42524.6679050926</v>
      </c>
      <c r="C2303">
        <v>17004</v>
      </c>
      <c r="D2303">
        <v>7916</v>
      </c>
      <c r="E2303" t="s">
        <v>2305</v>
      </c>
    </row>
    <row r="2304" spans="1:5">
      <c r="A2304">
        <f>HYPERLINK("http://www.twitter.com/realDonaldTrump/status/738720347239809024", "738720347239809024")</f>
        <v>0</v>
      </c>
      <c r="B2304" s="2">
        <v>42524.5512731482</v>
      </c>
      <c r="C2304">
        <v>17103</v>
      </c>
      <c r="D2304">
        <v>5385</v>
      </c>
      <c r="E2304" t="s">
        <v>2306</v>
      </c>
    </row>
    <row r="2305" spans="1:5">
      <c r="A2305">
        <f>HYPERLINK("http://www.twitter.com/realDonaldTrump/status/738718346045063168", "738718346045063168")</f>
        <v>0</v>
      </c>
      <c r="B2305" s="2">
        <v>42524.5457523148</v>
      </c>
      <c r="C2305">
        <v>11758</v>
      </c>
      <c r="D2305">
        <v>4001</v>
      </c>
      <c r="E2305" t="s">
        <v>2307</v>
      </c>
    </row>
    <row r="2306" spans="1:5">
      <c r="A2306">
        <f>HYPERLINK("http://www.twitter.com/realDonaldTrump/status/738712803775631361", "738712803775631361")</f>
        <v>0</v>
      </c>
      <c r="B2306" s="2">
        <v>42524.5304513889</v>
      </c>
      <c r="C2306">
        <v>15789</v>
      </c>
      <c r="D2306">
        <v>5242</v>
      </c>
      <c r="E2306" t="s">
        <v>2308</v>
      </c>
    </row>
    <row r="2307" spans="1:5">
      <c r="A2307">
        <f>HYPERLINK("http://www.twitter.com/realDonaldTrump/status/738711092252155904", "738711092252155904")</f>
        <v>0</v>
      </c>
      <c r="B2307" s="2">
        <v>42524.5257291667</v>
      </c>
      <c r="C2307">
        <v>11812</v>
      </c>
      <c r="D2307">
        <v>4633</v>
      </c>
      <c r="E2307" t="s">
        <v>2309</v>
      </c>
    </row>
    <row r="2308" spans="1:5">
      <c r="A2308">
        <f>HYPERLINK("http://www.twitter.com/realDonaldTrump/status/738602229100224513", "738602229100224513")</f>
        <v>0</v>
      </c>
      <c r="B2308" s="2">
        <v>42524.2253240741</v>
      </c>
      <c r="C2308">
        <v>5871</v>
      </c>
      <c r="D2308">
        <v>1782</v>
      </c>
      <c r="E2308" t="s">
        <v>2310</v>
      </c>
    </row>
    <row r="2309" spans="1:5">
      <c r="A2309">
        <f>HYPERLINK("http://www.twitter.com/realDonaldTrump/status/738601935771570180", "738601935771570180")</f>
        <v>0</v>
      </c>
      <c r="B2309" s="2">
        <v>42524.2245138889</v>
      </c>
      <c r="C2309">
        <v>11077</v>
      </c>
      <c r="D2309">
        <v>3083</v>
      </c>
      <c r="E2309" t="s">
        <v>2311</v>
      </c>
    </row>
    <row r="2310" spans="1:5">
      <c r="A2310">
        <f>HYPERLINK("http://www.twitter.com/realDonaldTrump/status/738600538976096256", "738600538976096256")</f>
        <v>0</v>
      </c>
      <c r="B2310" s="2">
        <v>42524.2206597222</v>
      </c>
      <c r="C2310">
        <v>8072</v>
      </c>
      <c r="D2310">
        <v>3107</v>
      </c>
      <c r="E2310" t="s">
        <v>2312</v>
      </c>
    </row>
    <row r="2311" spans="1:5">
      <c r="A2311">
        <f>HYPERLINK("http://www.twitter.com/realDonaldTrump/status/738599744759431168", "738599744759431168")</f>
        <v>0</v>
      </c>
      <c r="B2311" s="2">
        <v>42524.2184722222</v>
      </c>
      <c r="C2311">
        <v>12150</v>
      </c>
      <c r="D2311">
        <v>5713</v>
      </c>
      <c r="E2311" t="s">
        <v>2313</v>
      </c>
    </row>
    <row r="2312" spans="1:5">
      <c r="A2312">
        <f>HYPERLINK("http://www.twitter.com/realDonaldTrump/status/738598954468659200", "738598954468659200")</f>
        <v>0</v>
      </c>
      <c r="B2312" s="2">
        <v>42524.2162847222</v>
      </c>
      <c r="C2312">
        <v>8135</v>
      </c>
      <c r="D2312">
        <v>2447</v>
      </c>
      <c r="E2312" t="s">
        <v>2314</v>
      </c>
    </row>
    <row r="2313" spans="1:5">
      <c r="A2313">
        <f>HYPERLINK("http://www.twitter.com/realDonaldTrump/status/738576654176387072", "738576654176387072")</f>
        <v>0</v>
      </c>
      <c r="B2313" s="2">
        <v>42524.1547569444</v>
      </c>
      <c r="C2313">
        <v>9244</v>
      </c>
      <c r="D2313">
        <v>2433</v>
      </c>
      <c r="E2313" t="s">
        <v>2315</v>
      </c>
    </row>
    <row r="2314" spans="1:5">
      <c r="A2314">
        <f>HYPERLINK("http://www.twitter.com/realDonaldTrump/status/738576553508929536", "738576553508929536")</f>
        <v>0</v>
      </c>
      <c r="B2314" s="2">
        <v>42524.1544791667</v>
      </c>
      <c r="C2314">
        <v>7630</v>
      </c>
      <c r="D2314">
        <v>1995</v>
      </c>
      <c r="E2314" t="s">
        <v>2316</v>
      </c>
    </row>
    <row r="2315" spans="1:5">
      <c r="A2315">
        <f>HYPERLINK("http://www.twitter.com/realDonaldTrump/status/738576209726955524", "738576209726955524")</f>
        <v>0</v>
      </c>
      <c r="B2315" s="2">
        <v>42524.1535300926</v>
      </c>
      <c r="C2315">
        <v>7015</v>
      </c>
      <c r="D2315">
        <v>1799</v>
      </c>
      <c r="E2315" t="s">
        <v>2317</v>
      </c>
    </row>
    <row r="2316" spans="1:5">
      <c r="A2316">
        <f>HYPERLINK("http://www.twitter.com/realDonaldTrump/status/738575853261574144", "738575853261574144")</f>
        <v>0</v>
      </c>
      <c r="B2316" s="2">
        <v>42524.1525462963</v>
      </c>
      <c r="C2316">
        <v>8680</v>
      </c>
      <c r="D2316">
        <v>2197</v>
      </c>
      <c r="E2316" t="s">
        <v>2318</v>
      </c>
    </row>
    <row r="2317" spans="1:5">
      <c r="A2317">
        <f>HYPERLINK("http://www.twitter.com/realDonaldTrump/status/738575670771486721", "738575670771486721")</f>
        <v>0</v>
      </c>
      <c r="B2317" s="2">
        <v>42524.152037037</v>
      </c>
      <c r="C2317">
        <v>5858</v>
      </c>
      <c r="D2317">
        <v>1874</v>
      </c>
      <c r="E2317" t="s">
        <v>2319</v>
      </c>
    </row>
    <row r="2318" spans="1:5">
      <c r="A2318">
        <f>HYPERLINK("http://www.twitter.com/realDonaldTrump/status/738539023669465094", "738539023669465094")</f>
        <v>0</v>
      </c>
      <c r="B2318" s="2">
        <v>42524.0509143519</v>
      </c>
      <c r="C2318">
        <v>6374</v>
      </c>
      <c r="D2318">
        <v>1823</v>
      </c>
      <c r="E2318" t="s">
        <v>2320</v>
      </c>
    </row>
    <row r="2319" spans="1:5">
      <c r="A2319">
        <f>HYPERLINK("http://www.twitter.com/realDonaldTrump/status/738538744911822848", "738538744911822848")</f>
        <v>0</v>
      </c>
      <c r="B2319" s="2">
        <v>42524.0501388889</v>
      </c>
      <c r="C2319">
        <v>0</v>
      </c>
      <c r="D2319">
        <v>2736</v>
      </c>
      <c r="E2319" t="s">
        <v>2321</v>
      </c>
    </row>
    <row r="2320" spans="1:5">
      <c r="A2320">
        <f>HYPERLINK("http://www.twitter.com/realDonaldTrump/status/738496464448430080", "738496464448430080")</f>
        <v>0</v>
      </c>
      <c r="B2320" s="2">
        <v>42523.9334722222</v>
      </c>
      <c r="C2320">
        <v>9149</v>
      </c>
      <c r="D2320">
        <v>2601</v>
      </c>
      <c r="E2320" t="s">
        <v>2322</v>
      </c>
    </row>
    <row r="2321" spans="1:5">
      <c r="A2321">
        <f>HYPERLINK("http://www.twitter.com/realDonaldTrump/status/738495995583987712", "738495995583987712")</f>
        <v>0</v>
      </c>
      <c r="B2321" s="2">
        <v>42523.9321759259</v>
      </c>
      <c r="C2321">
        <v>8496</v>
      </c>
      <c r="D2321">
        <v>2476</v>
      </c>
      <c r="E2321" t="s">
        <v>2323</v>
      </c>
    </row>
    <row r="2322" spans="1:5">
      <c r="A2322">
        <f>HYPERLINK("http://www.twitter.com/realDonaldTrump/status/738495529005420544", "738495529005420544")</f>
        <v>0</v>
      </c>
      <c r="B2322" s="2">
        <v>42523.9308912037</v>
      </c>
      <c r="C2322">
        <v>13481</v>
      </c>
      <c r="D2322">
        <v>6786</v>
      </c>
      <c r="E2322" t="s">
        <v>2324</v>
      </c>
    </row>
    <row r="2323" spans="1:5">
      <c r="A2323">
        <f>HYPERLINK("http://www.twitter.com/realDonaldTrump/status/738495114532638720", "738495114532638720")</f>
        <v>0</v>
      </c>
      <c r="B2323" s="2">
        <v>42523.9297453704</v>
      </c>
      <c r="C2323">
        <v>8953</v>
      </c>
      <c r="D2323">
        <v>2756</v>
      </c>
      <c r="E2323" t="s">
        <v>2325</v>
      </c>
    </row>
    <row r="2324" spans="1:5">
      <c r="A2324">
        <f>HYPERLINK("http://www.twitter.com/realDonaldTrump/status/738494609597157376", "738494609597157376")</f>
        <v>0</v>
      </c>
      <c r="B2324" s="2">
        <v>42523.9283564815</v>
      </c>
      <c r="C2324">
        <v>13529</v>
      </c>
      <c r="D2324">
        <v>5422</v>
      </c>
      <c r="E2324" t="s">
        <v>2326</v>
      </c>
    </row>
    <row r="2325" spans="1:5">
      <c r="A2325">
        <f>HYPERLINK("http://www.twitter.com/realDonaldTrump/status/738478522813972480", "738478522813972480")</f>
        <v>0</v>
      </c>
      <c r="B2325" s="2">
        <v>42523.8839583333</v>
      </c>
      <c r="C2325">
        <v>22432</v>
      </c>
      <c r="D2325">
        <v>6830</v>
      </c>
      <c r="E2325" t="s">
        <v>2327</v>
      </c>
    </row>
    <row r="2326" spans="1:5">
      <c r="A2326">
        <f>HYPERLINK("http://www.twitter.com/realDonaldTrump/status/738449664752553984", "738449664752553984")</f>
        <v>0</v>
      </c>
      <c r="B2326" s="2">
        <v>42523.8043287037</v>
      </c>
      <c r="C2326">
        <v>23755</v>
      </c>
      <c r="D2326">
        <v>7744</v>
      </c>
      <c r="E2326" t="s">
        <v>2328</v>
      </c>
    </row>
    <row r="2327" spans="1:5">
      <c r="A2327">
        <f>HYPERLINK("http://www.twitter.com/realDonaldTrump/status/738448988517453824", "738448988517453824")</f>
        <v>0</v>
      </c>
      <c r="B2327" s="2">
        <v>42523.8024652778</v>
      </c>
      <c r="C2327">
        <v>20620</v>
      </c>
      <c r="D2327">
        <v>6792</v>
      </c>
      <c r="E2327" t="s">
        <v>2329</v>
      </c>
    </row>
    <row r="2328" spans="1:5">
      <c r="A2328">
        <f>HYPERLINK("http://www.twitter.com/realDonaldTrump/status/738416510092357632", "738416510092357632")</f>
        <v>0</v>
      </c>
      <c r="B2328" s="2">
        <v>42523.7128356481</v>
      </c>
      <c r="C2328">
        <v>15487</v>
      </c>
      <c r="D2328">
        <v>5204</v>
      </c>
      <c r="E2328" t="s">
        <v>2330</v>
      </c>
    </row>
    <row r="2329" spans="1:5">
      <c r="A2329">
        <f>HYPERLINK("http://www.twitter.com/realDonaldTrump/status/738415541203832832", "738415541203832832")</f>
        <v>0</v>
      </c>
      <c r="B2329" s="2">
        <v>42523.710162037</v>
      </c>
      <c r="C2329">
        <v>10065</v>
      </c>
      <c r="D2329">
        <v>2927</v>
      </c>
      <c r="E2329" t="s">
        <v>2331</v>
      </c>
    </row>
    <row r="2330" spans="1:5">
      <c r="A2330">
        <f>HYPERLINK("http://www.twitter.com/realDonaldTrump/status/738413456118841345", "738413456118841345")</f>
        <v>0</v>
      </c>
      <c r="B2330" s="2">
        <v>42523.7044097222</v>
      </c>
      <c r="C2330">
        <v>10942</v>
      </c>
      <c r="D2330">
        <v>2999</v>
      </c>
      <c r="E2330" t="s">
        <v>2332</v>
      </c>
    </row>
    <row r="2331" spans="1:5">
      <c r="A2331">
        <f>HYPERLINK("http://www.twitter.com/realDonaldTrump/status/738412068181676032", "738412068181676032")</f>
        <v>0</v>
      </c>
      <c r="B2331" s="2">
        <v>42523.7005787037</v>
      </c>
      <c r="C2331">
        <v>11777</v>
      </c>
      <c r="D2331">
        <v>3991</v>
      </c>
      <c r="E2331" t="s">
        <v>2333</v>
      </c>
    </row>
    <row r="2332" spans="1:5">
      <c r="A2332">
        <f>HYPERLINK("http://www.twitter.com/realDonaldTrump/status/738409191526662144", "738409191526662144")</f>
        <v>0</v>
      </c>
      <c r="B2332" s="2">
        <v>42523.6926388889</v>
      </c>
      <c r="C2332">
        <v>7066</v>
      </c>
      <c r="D2332">
        <v>2339</v>
      </c>
      <c r="E2332" t="s">
        <v>2334</v>
      </c>
    </row>
    <row r="2333" spans="1:5">
      <c r="A2333">
        <f>HYPERLINK("http://www.twitter.com/realDonaldTrump/status/738407796606013444", "738407796606013444")</f>
        <v>0</v>
      </c>
      <c r="B2333" s="2">
        <v>42523.6887962963</v>
      </c>
      <c r="C2333">
        <v>16462</v>
      </c>
      <c r="D2333">
        <v>5294</v>
      </c>
      <c r="E2333" t="s">
        <v>2335</v>
      </c>
    </row>
    <row r="2334" spans="1:5">
      <c r="A2334">
        <f>HYPERLINK("http://www.twitter.com/realDonaldTrump/status/738399082813620224", "738399082813620224")</f>
        <v>0</v>
      </c>
      <c r="B2334" s="2">
        <v>42523.6647453704</v>
      </c>
      <c r="C2334">
        <v>11520</v>
      </c>
      <c r="D2334">
        <v>3644</v>
      </c>
      <c r="E2334" t="s">
        <v>2336</v>
      </c>
    </row>
    <row r="2335" spans="1:5">
      <c r="A2335">
        <f>HYPERLINK("http://www.twitter.com/realDonaldTrump/status/738387288372051969", "738387288372051969")</f>
        <v>0</v>
      </c>
      <c r="B2335" s="2">
        <v>42523.6321990741</v>
      </c>
      <c r="C2335">
        <v>17440</v>
      </c>
      <c r="D2335">
        <v>5327</v>
      </c>
      <c r="E2335" t="s">
        <v>2337</v>
      </c>
    </row>
    <row r="2336" spans="1:5">
      <c r="A2336">
        <f>HYPERLINK("http://www.twitter.com/realDonaldTrump/status/738385522301624323", "738385522301624323")</f>
        <v>0</v>
      </c>
      <c r="B2336" s="2">
        <v>42523.6273263889</v>
      </c>
      <c r="C2336">
        <v>15858</v>
      </c>
      <c r="D2336">
        <v>5260</v>
      </c>
      <c r="E2336" t="s">
        <v>2338</v>
      </c>
    </row>
    <row r="2337" spans="1:5">
      <c r="A2337">
        <f>HYPERLINK("http://www.twitter.com/realDonaldTrump/status/738236891091238913", "738236891091238913")</f>
        <v>0</v>
      </c>
      <c r="B2337" s="2">
        <v>42523.2171875</v>
      </c>
      <c r="C2337">
        <v>9108</v>
      </c>
      <c r="D2337">
        <v>2529</v>
      </c>
      <c r="E2337" t="s">
        <v>2339</v>
      </c>
    </row>
    <row r="2338" spans="1:5">
      <c r="A2338">
        <f>HYPERLINK("http://www.twitter.com/realDonaldTrump/status/738236517949181952", "738236517949181952")</f>
        <v>0</v>
      </c>
      <c r="B2338" s="2">
        <v>42523.2161574074</v>
      </c>
      <c r="C2338">
        <v>6804</v>
      </c>
      <c r="D2338">
        <v>1924</v>
      </c>
      <c r="E2338" t="s">
        <v>2340</v>
      </c>
    </row>
    <row r="2339" spans="1:5">
      <c r="A2339">
        <f>HYPERLINK("http://www.twitter.com/realDonaldTrump/status/738233323344920576", "738233323344920576")</f>
        <v>0</v>
      </c>
      <c r="B2339" s="2">
        <v>42523.207337963</v>
      </c>
      <c r="C2339">
        <v>16293</v>
      </c>
      <c r="D2339">
        <v>5104</v>
      </c>
      <c r="E2339" t="s">
        <v>2341</v>
      </c>
    </row>
    <row r="2340" spans="1:5">
      <c r="A2340">
        <f>HYPERLINK("http://www.twitter.com/realDonaldTrump/status/738163472865759232", "738163472865759232")</f>
        <v>0</v>
      </c>
      <c r="B2340" s="2">
        <v>42523.0145949074</v>
      </c>
      <c r="C2340">
        <v>12962</v>
      </c>
      <c r="D2340">
        <v>3983</v>
      </c>
      <c r="E2340" t="s">
        <v>2342</v>
      </c>
    </row>
    <row r="2341" spans="1:5">
      <c r="A2341">
        <f>HYPERLINK("http://www.twitter.com/realDonaldTrump/status/738132164399636480", "738132164399636480")</f>
        <v>0</v>
      </c>
      <c r="B2341" s="2">
        <v>42522.9281944444</v>
      </c>
      <c r="C2341">
        <v>26902</v>
      </c>
      <c r="D2341">
        <v>9722</v>
      </c>
      <c r="E2341" t="s">
        <v>2343</v>
      </c>
    </row>
    <row r="2342" spans="1:5">
      <c r="A2342">
        <f>HYPERLINK("http://www.twitter.com/realDonaldTrump/status/738109521952833536", "738109521952833536")</f>
        <v>0</v>
      </c>
      <c r="B2342" s="2">
        <v>42522.8657175926</v>
      </c>
      <c r="C2342">
        <v>9232</v>
      </c>
      <c r="D2342">
        <v>3221</v>
      </c>
      <c r="E2342" t="s">
        <v>2344</v>
      </c>
    </row>
    <row r="2343" spans="1:5">
      <c r="A2343">
        <f>HYPERLINK("http://www.twitter.com/realDonaldTrump/status/737996614573260800", "737996614573260800")</f>
        <v>0</v>
      </c>
      <c r="B2343" s="2">
        <v>42522.5541435185</v>
      </c>
      <c r="C2343">
        <v>29407</v>
      </c>
      <c r="D2343">
        <v>9272</v>
      </c>
      <c r="E2343" t="s">
        <v>2345</v>
      </c>
    </row>
    <row r="2344" spans="1:5">
      <c r="A2344">
        <f>HYPERLINK("http://www.twitter.com/realDonaldTrump/status/737785345459113985", "737785345459113985")</f>
        <v>0</v>
      </c>
      <c r="B2344" s="2">
        <v>42521.9711574074</v>
      </c>
      <c r="C2344">
        <v>18255</v>
      </c>
      <c r="D2344">
        <v>4978</v>
      </c>
      <c r="E2344" t="s">
        <v>2346</v>
      </c>
    </row>
    <row r="2345" spans="1:5">
      <c r="A2345">
        <f>HYPERLINK("http://www.twitter.com/realDonaldTrump/status/737785114239864832", "737785114239864832")</f>
        <v>0</v>
      </c>
      <c r="B2345" s="2">
        <v>42521.9705208333</v>
      </c>
      <c r="C2345">
        <v>21328</v>
      </c>
      <c r="D2345">
        <v>7038</v>
      </c>
      <c r="E2345" t="s">
        <v>2347</v>
      </c>
    </row>
    <row r="2346" spans="1:5">
      <c r="A2346">
        <f>HYPERLINK("http://www.twitter.com/realDonaldTrump/status/737784398515441664", "737784398515441664")</f>
        <v>0</v>
      </c>
      <c r="B2346" s="2">
        <v>42521.9685416667</v>
      </c>
      <c r="C2346">
        <v>21011</v>
      </c>
      <c r="D2346">
        <v>6888</v>
      </c>
      <c r="E2346" t="s">
        <v>2348</v>
      </c>
    </row>
    <row r="2347" spans="1:5">
      <c r="A2347">
        <f>HYPERLINK("http://www.twitter.com/realDonaldTrump/status/737778668785766404", "737778668785766404")</f>
        <v>0</v>
      </c>
      <c r="B2347" s="2">
        <v>42521.9527314815</v>
      </c>
      <c r="C2347">
        <v>9123</v>
      </c>
      <c r="D2347">
        <v>2346</v>
      </c>
      <c r="E2347" t="s">
        <v>2349</v>
      </c>
    </row>
    <row r="2348" spans="1:5">
      <c r="A2348">
        <f>HYPERLINK("http://www.twitter.com/realDonaldTrump/status/737753549564694528", "737753549564694528")</f>
        <v>0</v>
      </c>
      <c r="B2348" s="2">
        <v>42521.8834143519</v>
      </c>
      <c r="C2348">
        <v>8847</v>
      </c>
      <c r="D2348">
        <v>3155</v>
      </c>
      <c r="E2348" t="s">
        <v>2350</v>
      </c>
    </row>
    <row r="2349" spans="1:5">
      <c r="A2349">
        <f>HYPERLINK("http://www.twitter.com/realDonaldTrump/status/737689416811073536", "737689416811073536")</f>
        <v>0</v>
      </c>
      <c r="B2349" s="2">
        <v>42521.7064467593</v>
      </c>
      <c r="C2349">
        <v>19552</v>
      </c>
      <c r="D2349">
        <v>5508</v>
      </c>
      <c r="E2349" t="s">
        <v>2351</v>
      </c>
    </row>
    <row r="2350" spans="1:5">
      <c r="A2350">
        <f>HYPERLINK("http://www.twitter.com/realDonaldTrump/status/737688582849171456", "737688582849171456")</f>
        <v>0</v>
      </c>
      <c r="B2350" s="2">
        <v>42521.7041435185</v>
      </c>
      <c r="C2350">
        <v>18257</v>
      </c>
      <c r="D2350">
        <v>5387</v>
      </c>
      <c r="E2350" t="s">
        <v>2352</v>
      </c>
    </row>
    <row r="2351" spans="1:5">
      <c r="A2351">
        <f>HYPERLINK("http://www.twitter.com/realDonaldTrump/status/737610159459991552", "737610159459991552")</f>
        <v>0</v>
      </c>
      <c r="B2351" s="2">
        <v>42521.4877314815</v>
      </c>
      <c r="C2351">
        <v>19722</v>
      </c>
      <c r="D2351">
        <v>5484</v>
      </c>
      <c r="E2351" t="s">
        <v>2353</v>
      </c>
    </row>
    <row r="2352" spans="1:5">
      <c r="A2352">
        <f>HYPERLINK("http://www.twitter.com/realDonaldTrump/status/737596690257969152", "737596690257969152")</f>
        <v>0</v>
      </c>
      <c r="B2352" s="2">
        <v>42521.4505671296</v>
      </c>
      <c r="C2352">
        <v>14767</v>
      </c>
      <c r="D2352">
        <v>3938</v>
      </c>
      <c r="E2352" t="s">
        <v>2354</v>
      </c>
    </row>
    <row r="2353" spans="1:5">
      <c r="A2353">
        <f>HYPERLINK("http://www.twitter.com/realDonaldTrump/status/737402123453878272", "737402123453878272")</f>
        <v>0</v>
      </c>
      <c r="B2353" s="2">
        <v>42520.9136689815</v>
      </c>
      <c r="C2353">
        <v>14638</v>
      </c>
      <c r="D2353">
        <v>4035</v>
      </c>
      <c r="E2353" t="s">
        <v>2355</v>
      </c>
    </row>
    <row r="2354" spans="1:5">
      <c r="A2354">
        <f>HYPERLINK("http://www.twitter.com/realDonaldTrump/status/737399475509985280", "737399475509985280")</f>
        <v>0</v>
      </c>
      <c r="B2354" s="2">
        <v>42520.9063541667</v>
      </c>
      <c r="C2354">
        <v>13293</v>
      </c>
      <c r="D2354">
        <v>3791</v>
      </c>
      <c r="E2354" t="s">
        <v>2356</v>
      </c>
    </row>
    <row r="2355" spans="1:5">
      <c r="A2355">
        <f>HYPERLINK("http://www.twitter.com/realDonaldTrump/status/737376803514286081", "737376803514286081")</f>
        <v>0</v>
      </c>
      <c r="B2355" s="2">
        <v>42520.8437962963</v>
      </c>
      <c r="C2355">
        <v>20985</v>
      </c>
      <c r="D2355">
        <v>5111</v>
      </c>
      <c r="E2355" t="s">
        <v>2357</v>
      </c>
    </row>
    <row r="2356" spans="1:5">
      <c r="A2356">
        <f>HYPERLINK("http://www.twitter.com/realDonaldTrump/status/737376356795875330", "737376356795875330")</f>
        <v>0</v>
      </c>
      <c r="B2356" s="2">
        <v>42520.8425578704</v>
      </c>
      <c r="C2356">
        <v>18388</v>
      </c>
      <c r="D2356">
        <v>4922</v>
      </c>
      <c r="E2356" t="s">
        <v>2358</v>
      </c>
    </row>
    <row r="2357" spans="1:5">
      <c r="A2357">
        <f>HYPERLINK("http://www.twitter.com/realDonaldTrump/status/737243856144629760", "737243856144629760")</f>
        <v>0</v>
      </c>
      <c r="B2357" s="2">
        <v>42520.4769328704</v>
      </c>
      <c r="C2357">
        <v>25236</v>
      </c>
      <c r="D2357">
        <v>9048</v>
      </c>
      <c r="E2357" t="s">
        <v>2359</v>
      </c>
    </row>
    <row r="2358" spans="1:5">
      <c r="A2358">
        <f>HYPERLINK("http://www.twitter.com/realDonaldTrump/status/737242308261842945", "737242308261842945")</f>
        <v>0</v>
      </c>
      <c r="B2358" s="2">
        <v>42520.472662037</v>
      </c>
      <c r="C2358">
        <v>8944</v>
      </c>
      <c r="D2358">
        <v>2666</v>
      </c>
      <c r="E2358" t="s">
        <v>2360</v>
      </c>
    </row>
    <row r="2359" spans="1:5">
      <c r="A2359">
        <f>HYPERLINK("http://www.twitter.com/realDonaldTrump/status/737242189055594496", "737242189055594496")</f>
        <v>0</v>
      </c>
      <c r="B2359" s="2">
        <v>42520.4723263889</v>
      </c>
      <c r="C2359">
        <v>6502</v>
      </c>
      <c r="D2359">
        <v>1556</v>
      </c>
      <c r="E2359" t="s">
        <v>2361</v>
      </c>
    </row>
    <row r="2360" spans="1:5">
      <c r="A2360">
        <f>HYPERLINK("http://www.twitter.com/realDonaldTrump/status/737242018687164416", "737242018687164416")</f>
        <v>0</v>
      </c>
      <c r="B2360" s="2">
        <v>42520.4718634259</v>
      </c>
      <c r="C2360">
        <v>15004</v>
      </c>
      <c r="D2360">
        <v>4119</v>
      </c>
      <c r="E2360" t="s">
        <v>2362</v>
      </c>
    </row>
    <row r="2361" spans="1:5">
      <c r="A2361">
        <f>HYPERLINK("http://www.twitter.com/realDonaldTrump/status/737241411465170944", "737241411465170944")</f>
        <v>0</v>
      </c>
      <c r="B2361" s="2">
        <v>42520.4701851852</v>
      </c>
      <c r="C2361">
        <v>6969</v>
      </c>
      <c r="D2361">
        <v>2101</v>
      </c>
      <c r="E2361" t="s">
        <v>2363</v>
      </c>
    </row>
    <row r="2362" spans="1:5">
      <c r="A2362">
        <f>HYPERLINK("http://www.twitter.com/realDonaldTrump/status/737239685295181824", "737239685295181824")</f>
        <v>0</v>
      </c>
      <c r="B2362" s="2">
        <v>42520.4654166667</v>
      </c>
      <c r="C2362">
        <v>9478</v>
      </c>
      <c r="D2362">
        <v>3439</v>
      </c>
      <c r="E2362" t="s">
        <v>2364</v>
      </c>
    </row>
    <row r="2363" spans="1:5">
      <c r="A2363">
        <f>HYPERLINK("http://www.twitter.com/realDonaldTrump/status/737238518775320576", "737238518775320576")</f>
        <v>0</v>
      </c>
      <c r="B2363" s="2">
        <v>42520.4621990741</v>
      </c>
      <c r="C2363">
        <v>20958</v>
      </c>
      <c r="D2363">
        <v>5500</v>
      </c>
      <c r="E2363" t="s">
        <v>2365</v>
      </c>
    </row>
    <row r="2364" spans="1:5">
      <c r="A2364">
        <f>HYPERLINK("http://www.twitter.com/realDonaldTrump/status/737237313034563585", "737237313034563585")</f>
        <v>0</v>
      </c>
      <c r="B2364" s="2">
        <v>42520.4588773148</v>
      </c>
      <c r="C2364">
        <v>14506</v>
      </c>
      <c r="D2364">
        <v>4163</v>
      </c>
      <c r="E2364" t="s">
        <v>2366</v>
      </c>
    </row>
    <row r="2365" spans="1:5">
      <c r="A2365">
        <f>HYPERLINK("http://www.twitter.com/realDonaldTrump/status/737232540436664320", "737232540436664320")</f>
        <v>0</v>
      </c>
      <c r="B2365" s="2">
        <v>42520.4457060185</v>
      </c>
      <c r="C2365">
        <v>17731</v>
      </c>
      <c r="D2365">
        <v>6363</v>
      </c>
      <c r="E2365" t="s">
        <v>2367</v>
      </c>
    </row>
    <row r="2366" spans="1:5">
      <c r="A2366">
        <f>HYPERLINK("http://www.twitter.com/realDonaldTrump/status/737056428452630528", "737056428452630528")</f>
        <v>0</v>
      </c>
      <c r="B2366" s="2">
        <v>42519.9597337963</v>
      </c>
      <c r="C2366">
        <v>15920</v>
      </c>
      <c r="D2366">
        <v>5915</v>
      </c>
      <c r="E2366" t="s">
        <v>2368</v>
      </c>
    </row>
    <row r="2367" spans="1:5">
      <c r="A2367">
        <f>HYPERLINK("http://www.twitter.com/realDonaldTrump/status/737055532960223233", "737055532960223233")</f>
        <v>0</v>
      </c>
      <c r="B2367" s="2">
        <v>42519.9572569444</v>
      </c>
      <c r="C2367">
        <v>20783</v>
      </c>
      <c r="D2367">
        <v>6067</v>
      </c>
      <c r="E2367" t="s">
        <v>2369</v>
      </c>
    </row>
    <row r="2368" spans="1:5">
      <c r="A2368">
        <f>HYPERLINK("http://www.twitter.com/realDonaldTrump/status/737054226833149952", "737054226833149952")</f>
        <v>0</v>
      </c>
      <c r="B2368" s="2">
        <v>42519.9536574074</v>
      </c>
      <c r="C2368">
        <v>16043</v>
      </c>
      <c r="D2368">
        <v>5031</v>
      </c>
      <c r="E2368" t="s">
        <v>2370</v>
      </c>
    </row>
    <row r="2369" spans="1:5">
      <c r="A2369">
        <f>HYPERLINK("http://www.twitter.com/realDonaldTrump/status/737036608915034112", "737036608915034112")</f>
        <v>0</v>
      </c>
      <c r="B2369" s="2">
        <v>42519.9050347222</v>
      </c>
      <c r="C2369">
        <v>19639</v>
      </c>
      <c r="D2369">
        <v>6030</v>
      </c>
      <c r="E2369" t="s">
        <v>2371</v>
      </c>
    </row>
    <row r="2370" spans="1:5">
      <c r="A2370">
        <f>HYPERLINK("http://www.twitter.com/realDonaldTrump/status/736961734167146496", "736961734167146496")</f>
        <v>0</v>
      </c>
      <c r="B2370" s="2">
        <v>42519.6984259259</v>
      </c>
      <c r="C2370">
        <v>17685</v>
      </c>
      <c r="D2370">
        <v>4725</v>
      </c>
      <c r="E2370" t="s">
        <v>2372</v>
      </c>
    </row>
    <row r="2371" spans="1:5">
      <c r="A2371">
        <f>HYPERLINK("http://www.twitter.com/realDonaldTrump/status/736875933999697920", "736875933999697920")</f>
        <v>0</v>
      </c>
      <c r="B2371" s="2">
        <v>42519.4616550926</v>
      </c>
      <c r="C2371">
        <v>39950</v>
      </c>
      <c r="D2371">
        <v>14782</v>
      </c>
      <c r="E2371" t="s">
        <v>2373</v>
      </c>
    </row>
    <row r="2372" spans="1:5">
      <c r="A2372">
        <f>HYPERLINK("http://www.twitter.com/realDonaldTrump/status/736672123012427776", "736672123012427776")</f>
        <v>0</v>
      </c>
      <c r="B2372" s="2">
        <v>42518.8992476852</v>
      </c>
      <c r="C2372">
        <v>27055</v>
      </c>
      <c r="D2372">
        <v>10781</v>
      </c>
      <c r="E2372" t="s">
        <v>2374</v>
      </c>
    </row>
    <row r="2373" spans="1:5">
      <c r="A2373">
        <f>HYPERLINK("http://www.twitter.com/realDonaldTrump/status/736671884247478272", "736671884247478272")</f>
        <v>0</v>
      </c>
      <c r="B2373" s="2">
        <v>42518.898587963</v>
      </c>
      <c r="C2373">
        <v>19665</v>
      </c>
      <c r="D2373">
        <v>7154</v>
      </c>
      <c r="E2373" t="s">
        <v>2375</v>
      </c>
    </row>
    <row r="2374" spans="1:5">
      <c r="A2374">
        <f>HYPERLINK("http://www.twitter.com/realDonaldTrump/status/736655485814857728", "736655485814857728")</f>
        <v>0</v>
      </c>
      <c r="B2374" s="2">
        <v>42518.8533333333</v>
      </c>
      <c r="C2374">
        <v>17054</v>
      </c>
      <c r="D2374">
        <v>5210</v>
      </c>
      <c r="E2374" t="s">
        <v>2376</v>
      </c>
    </row>
    <row r="2375" spans="1:5">
      <c r="A2375">
        <f>HYPERLINK("http://www.twitter.com/realDonaldTrump/status/736655448993107968", "736655448993107968")</f>
        <v>0</v>
      </c>
      <c r="B2375" s="2">
        <v>42518.8532407407</v>
      </c>
      <c r="C2375">
        <v>19635</v>
      </c>
      <c r="D2375">
        <v>5777</v>
      </c>
      <c r="E2375" t="s">
        <v>2377</v>
      </c>
    </row>
    <row r="2376" spans="1:5">
      <c r="A2376">
        <f>HYPERLINK("http://www.twitter.com/realDonaldTrump/status/736655375911530498", "736655375911530498")</f>
        <v>0</v>
      </c>
      <c r="B2376" s="2">
        <v>42518.8530324074</v>
      </c>
      <c r="C2376">
        <v>16340</v>
      </c>
      <c r="D2376">
        <v>5180</v>
      </c>
      <c r="E2376" t="s">
        <v>2378</v>
      </c>
    </row>
    <row r="2377" spans="1:5">
      <c r="A2377">
        <f>HYPERLINK("http://www.twitter.com/realDonaldTrump/status/736569533738156036", "736569533738156036")</f>
        <v>0</v>
      </c>
      <c r="B2377" s="2">
        <v>42518.6161574074</v>
      </c>
      <c r="C2377">
        <v>27176</v>
      </c>
      <c r="D2377">
        <v>7707</v>
      </c>
      <c r="E2377" t="s">
        <v>2379</v>
      </c>
    </row>
    <row r="2378" spans="1:5">
      <c r="A2378">
        <f>HYPERLINK("http://www.twitter.com/realDonaldTrump/status/736554410361409536", "736554410361409536")</f>
        <v>0</v>
      </c>
      <c r="B2378" s="2">
        <v>42518.5744212963</v>
      </c>
      <c r="C2378">
        <v>18635</v>
      </c>
      <c r="D2378">
        <v>6850</v>
      </c>
      <c r="E2378" t="s">
        <v>2380</v>
      </c>
    </row>
    <row r="2379" spans="1:5">
      <c r="A2379">
        <f>HYPERLINK("http://www.twitter.com/realDonaldTrump/status/736441853097218048", "736441853097218048")</f>
        <v>0</v>
      </c>
      <c r="B2379" s="2">
        <v>42518.2638194444</v>
      </c>
      <c r="C2379">
        <v>17491</v>
      </c>
      <c r="D2379">
        <v>4690</v>
      </c>
      <c r="E2379" t="s">
        <v>2381</v>
      </c>
    </row>
    <row r="2380" spans="1:5">
      <c r="A2380">
        <f>HYPERLINK("http://www.twitter.com/realDonaldTrump/status/736410143378792448", "736410143378792448")</f>
        <v>0</v>
      </c>
      <c r="B2380" s="2">
        <v>42518.1763194444</v>
      </c>
      <c r="C2380">
        <v>10468</v>
      </c>
      <c r="D2380">
        <v>5048</v>
      </c>
      <c r="E2380" t="s">
        <v>2382</v>
      </c>
    </row>
    <row r="2381" spans="1:5">
      <c r="A2381">
        <f>HYPERLINK("http://www.twitter.com/realDonaldTrump/status/736388616214220801", "736388616214220801")</f>
        <v>0</v>
      </c>
      <c r="B2381" s="2">
        <v>42518.1169212963</v>
      </c>
      <c r="C2381">
        <v>25622</v>
      </c>
      <c r="D2381">
        <v>7395</v>
      </c>
      <c r="E2381" t="s">
        <v>2383</v>
      </c>
    </row>
    <row r="2382" spans="1:5">
      <c r="A2382">
        <f>HYPERLINK("http://www.twitter.com/realDonaldTrump/status/736381305785581568", "736381305785581568")</f>
        <v>0</v>
      </c>
      <c r="B2382" s="2">
        <v>42518.0967476852</v>
      </c>
      <c r="C2382">
        <v>16775</v>
      </c>
      <c r="D2382">
        <v>4662</v>
      </c>
      <c r="E2382" t="s">
        <v>2384</v>
      </c>
    </row>
    <row r="2383" spans="1:5">
      <c r="A2383">
        <f>HYPERLINK("http://www.twitter.com/realDonaldTrump/status/736336185086222336", "736336185086222336")</f>
        <v>0</v>
      </c>
      <c r="B2383" s="2">
        <v>42517.9722337963</v>
      </c>
      <c r="C2383">
        <v>21509</v>
      </c>
      <c r="D2383">
        <v>7210</v>
      </c>
      <c r="E2383" t="s">
        <v>2385</v>
      </c>
    </row>
    <row r="2384" spans="1:5">
      <c r="A2384">
        <f>HYPERLINK("http://www.twitter.com/realDonaldTrump/status/736336010808688640", "736336010808688640")</f>
        <v>0</v>
      </c>
      <c r="B2384" s="2">
        <v>42517.9717592593</v>
      </c>
      <c r="C2384">
        <v>8303</v>
      </c>
      <c r="D2384">
        <v>1959</v>
      </c>
      <c r="E2384" t="s">
        <v>2386</v>
      </c>
    </row>
    <row r="2385" spans="1:5">
      <c r="A2385">
        <f>HYPERLINK("http://www.twitter.com/realDonaldTrump/status/736249593352966144", "736249593352966144")</f>
        <v>0</v>
      </c>
      <c r="B2385" s="2">
        <v>42517.733287037</v>
      </c>
      <c r="C2385">
        <v>10405</v>
      </c>
      <c r="D2385">
        <v>2969</v>
      </c>
      <c r="E2385" t="s">
        <v>2387</v>
      </c>
    </row>
    <row r="2386" spans="1:5">
      <c r="A2386">
        <f>HYPERLINK("http://www.twitter.com/realDonaldTrump/status/736197797314101248", "736197797314101248")</f>
        <v>0</v>
      </c>
      <c r="B2386" s="2">
        <v>42517.5903587963</v>
      </c>
      <c r="C2386">
        <v>12790</v>
      </c>
      <c r="D2386">
        <v>4911</v>
      </c>
      <c r="E2386" t="s">
        <v>2388</v>
      </c>
    </row>
    <row r="2387" spans="1:5">
      <c r="A2387">
        <f>HYPERLINK("http://www.twitter.com/realDonaldTrump/status/736016335197458434", "736016335197458434")</f>
        <v>0</v>
      </c>
      <c r="B2387" s="2">
        <v>42517.0896180556</v>
      </c>
      <c r="C2387">
        <v>21915</v>
      </c>
      <c r="D2387">
        <v>6314</v>
      </c>
      <c r="E2387" t="s">
        <v>2389</v>
      </c>
    </row>
    <row r="2388" spans="1:5">
      <c r="A2388">
        <f>HYPERLINK("http://www.twitter.com/realDonaldTrump/status/735968169001684992", "735968169001684992")</f>
        <v>0</v>
      </c>
      <c r="B2388" s="2">
        <v>42516.9567013889</v>
      </c>
      <c r="C2388">
        <v>25360</v>
      </c>
      <c r="D2388">
        <v>8792</v>
      </c>
      <c r="E2388" t="s">
        <v>2390</v>
      </c>
    </row>
    <row r="2389" spans="1:5">
      <c r="A2389">
        <f>HYPERLINK("http://www.twitter.com/realDonaldTrump/status/735959405565378560", "735959405565378560")</f>
        <v>0</v>
      </c>
      <c r="B2389" s="2">
        <v>42516.9325231481</v>
      </c>
      <c r="C2389">
        <v>13025</v>
      </c>
      <c r="D2389">
        <v>3015</v>
      </c>
      <c r="E2389" t="s">
        <v>2391</v>
      </c>
    </row>
    <row r="2390" spans="1:5">
      <c r="A2390">
        <f>HYPERLINK("http://www.twitter.com/realDonaldTrump/status/735946241322799105", "735946241322799105")</f>
        <v>0</v>
      </c>
      <c r="B2390" s="2">
        <v>42516.8961921296</v>
      </c>
      <c r="C2390">
        <v>13575</v>
      </c>
      <c r="D2390">
        <v>4344</v>
      </c>
      <c r="E2390" t="s">
        <v>2392</v>
      </c>
    </row>
    <row r="2391" spans="1:5">
      <c r="A2391">
        <f>HYPERLINK("http://www.twitter.com/realDonaldTrump/status/735945699834007552", "735945699834007552")</f>
        <v>0</v>
      </c>
      <c r="B2391" s="2">
        <v>42516.8946990741</v>
      </c>
      <c r="C2391">
        <v>11606</v>
      </c>
      <c r="D2391">
        <v>3959</v>
      </c>
      <c r="E2391" t="s">
        <v>2393</v>
      </c>
    </row>
    <row r="2392" spans="1:5">
      <c r="A2392">
        <f>HYPERLINK("http://www.twitter.com/realDonaldTrump/status/735942401165033477", "735942401165033477")</f>
        <v>0</v>
      </c>
      <c r="B2392" s="2">
        <v>42516.8856018518</v>
      </c>
      <c r="C2392">
        <v>28880</v>
      </c>
      <c r="D2392">
        <v>10409</v>
      </c>
      <c r="E2392" t="s">
        <v>2394</v>
      </c>
    </row>
    <row r="2393" spans="1:5">
      <c r="A2393">
        <f>HYPERLINK("http://www.twitter.com/realDonaldTrump/status/735908158330130432", "735908158330130432")</f>
        <v>0</v>
      </c>
      <c r="B2393" s="2">
        <v>42516.7911111111</v>
      </c>
      <c r="C2393">
        <v>8790</v>
      </c>
      <c r="D2393">
        <v>2137</v>
      </c>
      <c r="E2393" t="s">
        <v>2395</v>
      </c>
    </row>
    <row r="2394" spans="1:5">
      <c r="A2394">
        <f>HYPERLINK("http://www.twitter.com/realDonaldTrump/status/735871869581205504", "735871869581205504")</f>
        <v>0</v>
      </c>
      <c r="B2394" s="2">
        <v>42516.6909722222</v>
      </c>
      <c r="C2394">
        <v>9179</v>
      </c>
      <c r="D2394">
        <v>2196</v>
      </c>
      <c r="E2394" t="s">
        <v>2396</v>
      </c>
    </row>
    <row r="2395" spans="1:5">
      <c r="A2395">
        <f>HYPERLINK("http://www.twitter.com/realDonaldTrump/status/735822406514675712", "735822406514675712")</f>
        <v>0</v>
      </c>
      <c r="B2395" s="2">
        <v>42516.5544791667</v>
      </c>
      <c r="C2395">
        <v>22049</v>
      </c>
      <c r="D2395">
        <v>7738</v>
      </c>
      <c r="E2395" t="s">
        <v>2397</v>
      </c>
    </row>
    <row r="2396" spans="1:5">
      <c r="A2396">
        <f>HYPERLINK("http://www.twitter.com/realDonaldTrump/status/735611127531347969", "735611127531347969")</f>
        <v>0</v>
      </c>
      <c r="B2396" s="2">
        <v>42515.9714583333</v>
      </c>
      <c r="C2396">
        <v>19015</v>
      </c>
      <c r="D2396">
        <v>5519</v>
      </c>
      <c r="E2396" t="s">
        <v>2398</v>
      </c>
    </row>
    <row r="2397" spans="1:5">
      <c r="A2397">
        <f>HYPERLINK("http://www.twitter.com/realDonaldTrump/status/735541674793783297", "735541674793783297")</f>
        <v>0</v>
      </c>
      <c r="B2397" s="2">
        <v>42515.7798032407</v>
      </c>
      <c r="C2397">
        <v>25441</v>
      </c>
      <c r="D2397">
        <v>7931</v>
      </c>
      <c r="E2397" t="s">
        <v>2399</v>
      </c>
    </row>
    <row r="2398" spans="1:5">
      <c r="A2398">
        <f>HYPERLINK("http://www.twitter.com/realDonaldTrump/status/735465352436408320", "735465352436408320")</f>
        <v>0</v>
      </c>
      <c r="B2398" s="2">
        <v>42515.5691898148</v>
      </c>
      <c r="C2398">
        <v>34393</v>
      </c>
      <c r="D2398">
        <v>12532</v>
      </c>
      <c r="E2398" t="s">
        <v>2400</v>
      </c>
    </row>
    <row r="2399" spans="1:5">
      <c r="A2399">
        <f>HYPERLINK("http://www.twitter.com/realDonaldTrump/status/735459144287719425", "735459144287719425")</f>
        <v>0</v>
      </c>
      <c r="B2399" s="2">
        <v>42515.5520601852</v>
      </c>
      <c r="C2399">
        <v>23880</v>
      </c>
      <c r="D2399">
        <v>7658</v>
      </c>
      <c r="E2399" t="s">
        <v>2401</v>
      </c>
    </row>
    <row r="2400" spans="1:5">
      <c r="A2400">
        <f>HYPERLINK("http://www.twitter.com/realDonaldTrump/status/735448311914602496", "735448311914602496")</f>
        <v>0</v>
      </c>
      <c r="B2400" s="2">
        <v>42515.5221759259</v>
      </c>
      <c r="C2400">
        <v>15591</v>
      </c>
      <c r="D2400">
        <v>4838</v>
      </c>
      <c r="E2400" t="s">
        <v>2402</v>
      </c>
    </row>
    <row r="2401" spans="1:5">
      <c r="A2401">
        <f>HYPERLINK("http://www.twitter.com/realDonaldTrump/status/735444721716199424", "735444721716199424")</f>
        <v>0</v>
      </c>
      <c r="B2401" s="2">
        <v>42515.5122685185</v>
      </c>
      <c r="C2401">
        <v>7669</v>
      </c>
      <c r="D2401">
        <v>3984</v>
      </c>
      <c r="E2401" t="s">
        <v>2403</v>
      </c>
    </row>
    <row r="2402" spans="1:5">
      <c r="A2402">
        <f>HYPERLINK("http://www.twitter.com/realDonaldTrump/status/735346597303816192", "735346597303816192")</f>
        <v>0</v>
      </c>
      <c r="B2402" s="2">
        <v>42515.2414930556</v>
      </c>
      <c r="C2402">
        <v>10612</v>
      </c>
      <c r="D2402">
        <v>2783</v>
      </c>
      <c r="E2402" t="s">
        <v>2404</v>
      </c>
    </row>
    <row r="2403" spans="1:5">
      <c r="A2403">
        <f>HYPERLINK("http://www.twitter.com/realDonaldTrump/status/735345985455554560", "735345985455554560")</f>
        <v>0</v>
      </c>
      <c r="B2403" s="2">
        <v>42515.2398032407</v>
      </c>
      <c r="C2403">
        <v>7927</v>
      </c>
      <c r="D2403">
        <v>1956</v>
      </c>
      <c r="E2403" t="s">
        <v>2405</v>
      </c>
    </row>
    <row r="2404" spans="1:5">
      <c r="A2404">
        <f>HYPERLINK("http://www.twitter.com/realDonaldTrump/status/735345952756801536", "735345952756801536")</f>
        <v>0</v>
      </c>
      <c r="B2404" s="2">
        <v>42515.2397106482</v>
      </c>
      <c r="C2404">
        <v>7751</v>
      </c>
      <c r="D2404">
        <v>1800</v>
      </c>
      <c r="E2404" t="s">
        <v>2406</v>
      </c>
    </row>
    <row r="2405" spans="1:5">
      <c r="A2405">
        <f>HYPERLINK("http://www.twitter.com/realDonaldTrump/status/735345398437556225", "735345398437556225")</f>
        <v>0</v>
      </c>
      <c r="B2405" s="2">
        <v>42515.2381828704</v>
      </c>
      <c r="C2405">
        <v>6711</v>
      </c>
      <c r="D2405">
        <v>1664</v>
      </c>
      <c r="E2405" t="s">
        <v>2407</v>
      </c>
    </row>
    <row r="2406" spans="1:5">
      <c r="A2406">
        <f>HYPERLINK("http://www.twitter.com/realDonaldTrump/status/735345354992975873", "735345354992975873")</f>
        <v>0</v>
      </c>
      <c r="B2406" s="2">
        <v>42515.2380671296</v>
      </c>
      <c r="C2406">
        <v>9431</v>
      </c>
      <c r="D2406">
        <v>2647</v>
      </c>
      <c r="E2406" t="s">
        <v>2408</v>
      </c>
    </row>
    <row r="2407" spans="1:5">
      <c r="A2407">
        <f>HYPERLINK("http://www.twitter.com/realDonaldTrump/status/735345057587417089", "735345057587417089")</f>
        <v>0</v>
      </c>
      <c r="B2407" s="2">
        <v>42515.2372453704</v>
      </c>
      <c r="C2407">
        <v>5023</v>
      </c>
      <c r="D2407">
        <v>1148</v>
      </c>
      <c r="E2407" t="s">
        <v>2409</v>
      </c>
    </row>
    <row r="2408" spans="1:5">
      <c r="A2408">
        <f>HYPERLINK("http://www.twitter.com/realDonaldTrump/status/735345023563247617", "735345023563247617")</f>
        <v>0</v>
      </c>
      <c r="B2408" s="2">
        <v>42515.2371527778</v>
      </c>
      <c r="C2408">
        <v>6025</v>
      </c>
      <c r="D2408">
        <v>1409</v>
      </c>
      <c r="E2408" t="s">
        <v>2410</v>
      </c>
    </row>
    <row r="2409" spans="1:5">
      <c r="A2409">
        <f>HYPERLINK("http://www.twitter.com/realDonaldTrump/status/735344013499326465", "735344013499326465")</f>
        <v>0</v>
      </c>
      <c r="B2409" s="2">
        <v>42515.2343634259</v>
      </c>
      <c r="C2409">
        <v>4819</v>
      </c>
      <c r="D2409">
        <v>2100</v>
      </c>
      <c r="E2409" t="s">
        <v>2411</v>
      </c>
    </row>
    <row r="2410" spans="1:5">
      <c r="A2410">
        <f>HYPERLINK("http://www.twitter.com/realDonaldTrump/status/735337786757238785", "735337786757238785")</f>
        <v>0</v>
      </c>
      <c r="B2410" s="2">
        <v>42515.2171759259</v>
      </c>
      <c r="C2410">
        <v>11445</v>
      </c>
      <c r="D2410">
        <v>3117</v>
      </c>
      <c r="E2410" t="s">
        <v>2412</v>
      </c>
    </row>
    <row r="2411" spans="1:5">
      <c r="A2411">
        <f>HYPERLINK("http://www.twitter.com/realDonaldTrump/status/735311006826700800", "735311006826700800")</f>
        <v>0</v>
      </c>
      <c r="B2411" s="2">
        <v>42515.143287037</v>
      </c>
      <c r="C2411">
        <v>14644</v>
      </c>
      <c r="D2411">
        <v>4718</v>
      </c>
      <c r="E2411" t="s">
        <v>2413</v>
      </c>
    </row>
    <row r="2412" spans="1:5">
      <c r="A2412">
        <f>HYPERLINK("http://www.twitter.com/realDonaldTrump/status/735267499269226496", "735267499269226496")</f>
        <v>0</v>
      </c>
      <c r="B2412" s="2">
        <v>42515.0232291667</v>
      </c>
      <c r="C2412">
        <v>15642</v>
      </c>
      <c r="D2412">
        <v>4705</v>
      </c>
      <c r="E2412" t="s">
        <v>2414</v>
      </c>
    </row>
    <row r="2413" spans="1:5">
      <c r="A2413">
        <f>HYPERLINK("http://www.twitter.com/realDonaldTrump/status/735267332927279107", "735267332927279107")</f>
        <v>0</v>
      </c>
      <c r="B2413" s="2">
        <v>42515.0227662037</v>
      </c>
      <c r="C2413">
        <v>15194</v>
      </c>
      <c r="D2413">
        <v>4949</v>
      </c>
      <c r="E2413" t="s">
        <v>2415</v>
      </c>
    </row>
    <row r="2414" spans="1:5">
      <c r="A2414">
        <f>HYPERLINK("http://www.twitter.com/realDonaldTrump/status/735213812484345857", "735213812484345857")</f>
        <v>0</v>
      </c>
      <c r="B2414" s="2">
        <v>42514.8750810185</v>
      </c>
      <c r="C2414">
        <v>12115</v>
      </c>
      <c r="D2414">
        <v>5352</v>
      </c>
      <c r="E2414" t="s">
        <v>2416</v>
      </c>
    </row>
    <row r="2415" spans="1:5">
      <c r="A2415">
        <f>HYPERLINK("http://www.twitter.com/realDonaldTrump/status/735125552064024577", "735125552064024577")</f>
        <v>0</v>
      </c>
      <c r="B2415" s="2">
        <v>42514.6315277778</v>
      </c>
      <c r="C2415">
        <v>9323</v>
      </c>
      <c r="D2415">
        <v>3703</v>
      </c>
      <c r="E2415" t="s">
        <v>2417</v>
      </c>
    </row>
    <row r="2416" spans="1:5">
      <c r="A2416">
        <f>HYPERLINK("http://www.twitter.com/realDonaldTrump/status/735124106476195841", "735124106476195841")</f>
        <v>0</v>
      </c>
      <c r="B2416" s="2">
        <v>42514.6275347222</v>
      </c>
      <c r="C2416">
        <v>8508</v>
      </c>
      <c r="D2416">
        <v>3469</v>
      </c>
      <c r="E2416" t="s">
        <v>2418</v>
      </c>
    </row>
    <row r="2417" spans="1:5">
      <c r="A2417">
        <f>HYPERLINK("http://www.twitter.com/realDonaldTrump/status/735117032060899328", "735117032060899328")</f>
        <v>0</v>
      </c>
      <c r="B2417" s="2">
        <v>42514.6080092593</v>
      </c>
      <c r="C2417">
        <v>12682</v>
      </c>
      <c r="D2417">
        <v>6399</v>
      </c>
      <c r="E2417" t="s">
        <v>2419</v>
      </c>
    </row>
    <row r="2418" spans="1:5">
      <c r="A2418">
        <f>HYPERLINK("http://www.twitter.com/realDonaldTrump/status/735073508124983298", "735073508124983298")</f>
        <v>0</v>
      </c>
      <c r="B2418" s="2">
        <v>42514.4879050926</v>
      </c>
      <c r="C2418">
        <v>19695</v>
      </c>
      <c r="D2418">
        <v>6849</v>
      </c>
      <c r="E2418" t="s">
        <v>2420</v>
      </c>
    </row>
    <row r="2419" spans="1:5">
      <c r="A2419">
        <f>HYPERLINK("http://www.twitter.com/realDonaldTrump/status/735058192862969856", "735058192862969856")</f>
        <v>0</v>
      </c>
      <c r="B2419" s="2">
        <v>42514.4456481481</v>
      </c>
      <c r="C2419">
        <v>16774</v>
      </c>
      <c r="D2419">
        <v>5206</v>
      </c>
      <c r="E2419" t="s">
        <v>2421</v>
      </c>
    </row>
    <row r="2420" spans="1:5">
      <c r="A2420">
        <f>HYPERLINK("http://www.twitter.com/realDonaldTrump/status/734939680278519809", "734939680278519809")</f>
        <v>0</v>
      </c>
      <c r="B2420" s="2">
        <v>42514.1186111111</v>
      </c>
      <c r="C2420">
        <v>24133</v>
      </c>
      <c r="D2420">
        <v>7811</v>
      </c>
      <c r="E2420" t="s">
        <v>2422</v>
      </c>
    </row>
    <row r="2421" spans="1:5">
      <c r="A2421">
        <f>HYPERLINK("http://www.twitter.com/realDonaldTrump/status/734938503541325825", "734938503541325825")</f>
        <v>0</v>
      </c>
      <c r="B2421" s="2">
        <v>42514.1153703704</v>
      </c>
      <c r="C2421">
        <v>17138</v>
      </c>
      <c r="D2421">
        <v>5001</v>
      </c>
      <c r="E2421" t="s">
        <v>2423</v>
      </c>
    </row>
    <row r="2422" spans="1:5">
      <c r="A2422">
        <f>HYPERLINK("http://www.twitter.com/realDonaldTrump/status/734936659851128832", "734936659851128832")</f>
        <v>0</v>
      </c>
      <c r="B2422" s="2">
        <v>42514.1102777778</v>
      </c>
      <c r="C2422">
        <v>24618</v>
      </c>
      <c r="D2422">
        <v>6962</v>
      </c>
      <c r="E2422" t="s">
        <v>2424</v>
      </c>
    </row>
    <row r="2423" spans="1:5">
      <c r="A2423">
        <f>HYPERLINK("http://www.twitter.com/realDonaldTrump/status/734903156589645824", "734903156589645824")</f>
        <v>0</v>
      </c>
      <c r="B2423" s="2">
        <v>42514.0178356481</v>
      </c>
      <c r="C2423">
        <v>8087</v>
      </c>
      <c r="D2423">
        <v>3032</v>
      </c>
      <c r="E2423" t="s">
        <v>2425</v>
      </c>
    </row>
    <row r="2424" spans="1:5">
      <c r="A2424">
        <f>HYPERLINK("http://www.twitter.com/realDonaldTrump/status/734892328637325312", "734892328637325312")</f>
        <v>0</v>
      </c>
      <c r="B2424" s="2">
        <v>42513.9879513889</v>
      </c>
      <c r="C2424">
        <v>8813</v>
      </c>
      <c r="D2424">
        <v>2069</v>
      </c>
      <c r="E2424" t="s">
        <v>2426</v>
      </c>
    </row>
    <row r="2425" spans="1:5">
      <c r="A2425">
        <f>HYPERLINK("http://www.twitter.com/realDonaldTrump/status/734794856564936705", "734794856564936705")</f>
        <v>0</v>
      </c>
      <c r="B2425" s="2">
        <v>42513.7189814815</v>
      </c>
      <c r="C2425">
        <v>21569</v>
      </c>
      <c r="D2425">
        <v>7399</v>
      </c>
      <c r="E2425" t="s">
        <v>2427</v>
      </c>
    </row>
    <row r="2426" spans="1:5">
      <c r="A2426">
        <f>HYPERLINK("http://www.twitter.com/realDonaldTrump/status/734768900282454016", "734768900282454016")</f>
        <v>0</v>
      </c>
      <c r="B2426" s="2">
        <v>42513.647349537</v>
      </c>
      <c r="C2426">
        <v>10533</v>
      </c>
      <c r="D2426">
        <v>4343</v>
      </c>
      <c r="E2426" t="s">
        <v>2428</v>
      </c>
    </row>
    <row r="2427" spans="1:5">
      <c r="A2427">
        <f>HYPERLINK("http://www.twitter.com/realDonaldTrump/status/734742416494845952", "734742416494845952")</f>
        <v>0</v>
      </c>
      <c r="B2427" s="2">
        <v>42513.5742708333</v>
      </c>
      <c r="C2427">
        <v>21851</v>
      </c>
      <c r="D2427">
        <v>8128</v>
      </c>
      <c r="E2427" t="s">
        <v>2429</v>
      </c>
    </row>
    <row r="2428" spans="1:5">
      <c r="A2428">
        <f>HYPERLINK("http://www.twitter.com/realDonaldTrump/status/734517899960934400", "734517899960934400")</f>
        <v>0</v>
      </c>
      <c r="B2428" s="2">
        <v>42512.9547222222</v>
      </c>
      <c r="C2428">
        <v>30803</v>
      </c>
      <c r="D2428">
        <v>11807</v>
      </c>
      <c r="E2428" t="s">
        <v>2430</v>
      </c>
    </row>
    <row r="2429" spans="1:5">
      <c r="A2429">
        <f>HYPERLINK("http://www.twitter.com/realDonaldTrump/status/734485185148944384", "734485185148944384")</f>
        <v>0</v>
      </c>
      <c r="B2429" s="2">
        <v>42512.8644444444</v>
      </c>
      <c r="C2429">
        <v>25353</v>
      </c>
      <c r="D2429">
        <v>8865</v>
      </c>
      <c r="E2429" t="s">
        <v>2431</v>
      </c>
    </row>
    <row r="2430" spans="1:5">
      <c r="A2430">
        <f>HYPERLINK("http://www.twitter.com/realDonaldTrump/status/734482099793711104", "734482099793711104")</f>
        <v>0</v>
      </c>
      <c r="B2430" s="2">
        <v>42512.8559375</v>
      </c>
      <c r="C2430">
        <v>20872</v>
      </c>
      <c r="D2430">
        <v>6034</v>
      </c>
      <c r="E2430" t="s">
        <v>2432</v>
      </c>
    </row>
    <row r="2431" spans="1:5">
      <c r="A2431">
        <f>HYPERLINK("http://www.twitter.com/realDonaldTrump/status/734470625767620609", "734470625767620609")</f>
        <v>0</v>
      </c>
      <c r="B2431" s="2">
        <v>42512.8242708333</v>
      </c>
      <c r="C2431">
        <v>9389</v>
      </c>
      <c r="D2431">
        <v>3599</v>
      </c>
      <c r="E2431" t="s">
        <v>2433</v>
      </c>
    </row>
    <row r="2432" spans="1:5">
      <c r="A2432">
        <f>HYPERLINK("http://www.twitter.com/realDonaldTrump/status/734468447829004288", "734468447829004288")</f>
        <v>0</v>
      </c>
      <c r="B2432" s="2">
        <v>42512.8182638889</v>
      </c>
      <c r="C2432">
        <v>23813</v>
      </c>
      <c r="D2432">
        <v>9651</v>
      </c>
      <c r="E2432" t="s">
        <v>2434</v>
      </c>
    </row>
    <row r="2433" spans="1:5">
      <c r="A2433">
        <f>HYPERLINK("http://www.twitter.com/realDonaldTrump/status/734468142303305728", "734468142303305728")</f>
        <v>0</v>
      </c>
      <c r="B2433" s="2">
        <v>42512.8174189815</v>
      </c>
      <c r="C2433">
        <v>28580</v>
      </c>
      <c r="D2433">
        <v>12818</v>
      </c>
      <c r="E2433" t="s">
        <v>2435</v>
      </c>
    </row>
    <row r="2434" spans="1:5">
      <c r="A2434">
        <f>HYPERLINK("http://www.twitter.com/realDonaldTrump/status/734405641893249024", "734405641893249024")</f>
        <v>0</v>
      </c>
      <c r="B2434" s="2">
        <v>42512.6449537037</v>
      </c>
      <c r="C2434">
        <v>0</v>
      </c>
      <c r="D2434">
        <v>4312</v>
      </c>
      <c r="E2434" t="s">
        <v>2436</v>
      </c>
    </row>
    <row r="2435" spans="1:5">
      <c r="A2435">
        <f>HYPERLINK("http://www.twitter.com/realDonaldTrump/status/734395329588670465", "734395329588670465")</f>
        <v>0</v>
      </c>
      <c r="B2435" s="2">
        <v>42512.6164930556</v>
      </c>
      <c r="C2435">
        <v>14919</v>
      </c>
      <c r="D2435">
        <v>5026</v>
      </c>
      <c r="E2435" t="s">
        <v>2437</v>
      </c>
    </row>
    <row r="2436" spans="1:5">
      <c r="A2436">
        <f>HYPERLINK("http://www.twitter.com/realDonaldTrump/status/734365143635759104", "734365143635759104")</f>
        <v>0</v>
      </c>
      <c r="B2436" s="2">
        <v>42512.5331944444</v>
      </c>
      <c r="C2436">
        <v>31273</v>
      </c>
      <c r="D2436">
        <v>10790</v>
      </c>
      <c r="E2436" t="s">
        <v>2438</v>
      </c>
    </row>
    <row r="2437" spans="1:5">
      <c r="A2437">
        <f>HYPERLINK("http://www.twitter.com/realDonaldTrump/status/734231223002894337", "734231223002894337")</f>
        <v>0</v>
      </c>
      <c r="B2437" s="2">
        <v>42512.1636458333</v>
      </c>
      <c r="C2437">
        <v>18727</v>
      </c>
      <c r="D2437">
        <v>5934</v>
      </c>
      <c r="E2437" t="s">
        <v>2439</v>
      </c>
    </row>
    <row r="2438" spans="1:5">
      <c r="A2438">
        <f>HYPERLINK("http://www.twitter.com/realDonaldTrump/status/734228313695236100", "734228313695236100")</f>
        <v>0</v>
      </c>
      <c r="B2438" s="2">
        <v>42512.1556134259</v>
      </c>
      <c r="C2438">
        <v>10579</v>
      </c>
      <c r="D2438">
        <v>2981</v>
      </c>
      <c r="E2438" t="s">
        <v>2440</v>
      </c>
    </row>
    <row r="2439" spans="1:5">
      <c r="A2439">
        <f>HYPERLINK("http://www.twitter.com/realDonaldTrump/status/734114828529307648", "734114828529307648")</f>
        <v>0</v>
      </c>
      <c r="B2439" s="2">
        <v>42511.8424537037</v>
      </c>
      <c r="C2439">
        <v>28459</v>
      </c>
      <c r="D2439">
        <v>10042</v>
      </c>
      <c r="E2439" t="s">
        <v>2441</v>
      </c>
    </row>
    <row r="2440" spans="1:5">
      <c r="A2440">
        <f>HYPERLINK("http://www.twitter.com/realDonaldTrump/status/734066896794963968", "734066896794963968")</f>
        <v>0</v>
      </c>
      <c r="B2440" s="2">
        <v>42511.7101967593</v>
      </c>
      <c r="C2440">
        <v>17423</v>
      </c>
      <c r="D2440">
        <v>7350</v>
      </c>
      <c r="E2440" t="s">
        <v>2442</v>
      </c>
    </row>
    <row r="2441" spans="1:5">
      <c r="A2441">
        <f>HYPERLINK("http://www.twitter.com/realDonaldTrump/status/734066397425307648", "734066397425307648")</f>
        <v>0</v>
      </c>
      <c r="B2441" s="2">
        <v>42511.7088194444</v>
      </c>
      <c r="C2441">
        <v>27428</v>
      </c>
      <c r="D2441">
        <v>10095</v>
      </c>
      <c r="E2441" t="s">
        <v>2443</v>
      </c>
    </row>
    <row r="2442" spans="1:5">
      <c r="A2442">
        <f>HYPERLINK("http://www.twitter.com/realDonaldTrump/status/734053246734499840", "734053246734499840")</f>
        <v>0</v>
      </c>
      <c r="B2442" s="2">
        <v>42511.6725231481</v>
      </c>
      <c r="C2442">
        <v>15111</v>
      </c>
      <c r="D2442">
        <v>4544</v>
      </c>
      <c r="E2442" t="s">
        <v>2444</v>
      </c>
    </row>
    <row r="2443" spans="1:5">
      <c r="A2443">
        <f>HYPERLINK("http://www.twitter.com/realDonaldTrump/status/734014390731673600", "734014390731673600")</f>
        <v>0</v>
      </c>
      <c r="B2443" s="2">
        <v>42511.5653009259</v>
      </c>
      <c r="C2443">
        <v>13958</v>
      </c>
      <c r="D2443">
        <v>5013</v>
      </c>
      <c r="E2443" t="s">
        <v>2445</v>
      </c>
    </row>
    <row r="2444" spans="1:5">
      <c r="A2444">
        <f>HYPERLINK("http://www.twitter.com/realDonaldTrump/status/734003305819570176", "734003305819570176")</f>
        <v>0</v>
      </c>
      <c r="B2444" s="2">
        <v>42511.5347106481</v>
      </c>
      <c r="C2444">
        <v>40176</v>
      </c>
      <c r="D2444">
        <v>15774</v>
      </c>
      <c r="E2444" t="s">
        <v>2446</v>
      </c>
    </row>
    <row r="2445" spans="1:5">
      <c r="A2445">
        <f>HYPERLINK("http://www.twitter.com/realDonaldTrump/status/733974704445358080", "733974704445358080")</f>
        <v>0</v>
      </c>
      <c r="B2445" s="2">
        <v>42511.455787037</v>
      </c>
      <c r="C2445">
        <v>23593</v>
      </c>
      <c r="D2445">
        <v>8541</v>
      </c>
      <c r="E2445" t="s">
        <v>2447</v>
      </c>
    </row>
    <row r="2446" spans="1:5">
      <c r="A2446">
        <f>HYPERLINK("http://www.twitter.com/realDonaldTrump/status/733838909805887488", "733838909805887488")</f>
        <v>0</v>
      </c>
      <c r="B2446" s="2">
        <v>42511.0810648148</v>
      </c>
      <c r="C2446">
        <v>21076</v>
      </c>
      <c r="D2446">
        <v>6953</v>
      </c>
      <c r="E2446" t="s">
        <v>2448</v>
      </c>
    </row>
    <row r="2447" spans="1:5">
      <c r="A2447">
        <f>HYPERLINK("http://www.twitter.com/realDonaldTrump/status/733837704312410112", "733837704312410112")</f>
        <v>0</v>
      </c>
      <c r="B2447" s="2">
        <v>42511.0777430556</v>
      </c>
      <c r="C2447">
        <v>20865</v>
      </c>
      <c r="D2447">
        <v>8233</v>
      </c>
      <c r="E2447" t="s">
        <v>2449</v>
      </c>
    </row>
    <row r="2448" spans="1:5">
      <c r="A2448">
        <f>HYPERLINK("http://www.twitter.com/realDonaldTrump/status/733820785157132288", "733820785157132288")</f>
        <v>0</v>
      </c>
      <c r="B2448" s="2">
        <v>42511.0310532407</v>
      </c>
      <c r="C2448">
        <v>7929</v>
      </c>
      <c r="D2448">
        <v>1917</v>
      </c>
      <c r="E2448" t="s">
        <v>2450</v>
      </c>
    </row>
    <row r="2449" spans="1:5">
      <c r="A2449">
        <f>HYPERLINK("http://www.twitter.com/realDonaldTrump/status/733803565060345856", "733803565060345856")</f>
        <v>0</v>
      </c>
      <c r="B2449" s="2">
        <v>42510.9835300926</v>
      </c>
      <c r="C2449">
        <v>3285</v>
      </c>
      <c r="D2449">
        <v>1149</v>
      </c>
      <c r="E2449" t="s">
        <v>2451</v>
      </c>
    </row>
    <row r="2450" spans="1:5">
      <c r="A2450">
        <f>HYPERLINK("http://www.twitter.com/realDonaldTrump/status/733801387952340992", "733801387952340992")</f>
        <v>0</v>
      </c>
      <c r="B2450" s="2">
        <v>42510.9775231481</v>
      </c>
      <c r="C2450">
        <v>8272</v>
      </c>
      <c r="D2450">
        <v>1966</v>
      </c>
      <c r="E2450" t="s">
        <v>2452</v>
      </c>
    </row>
    <row r="2451" spans="1:5">
      <c r="A2451">
        <f>HYPERLINK("http://www.twitter.com/realDonaldTrump/status/733791992564617216", "733791992564617216")</f>
        <v>0</v>
      </c>
      <c r="B2451" s="2">
        <v>42510.9515972222</v>
      </c>
      <c r="C2451">
        <v>13603</v>
      </c>
      <c r="D2451">
        <v>4806</v>
      </c>
      <c r="E2451" t="s">
        <v>2453</v>
      </c>
    </row>
    <row r="2452" spans="1:5">
      <c r="A2452">
        <f>HYPERLINK("http://www.twitter.com/realDonaldTrump/status/733778244076507136", "733778244076507136")</f>
        <v>0</v>
      </c>
      <c r="B2452" s="2">
        <v>42510.9136574074</v>
      </c>
      <c r="C2452">
        <v>15264</v>
      </c>
      <c r="D2452">
        <v>4721</v>
      </c>
      <c r="E2452" t="s">
        <v>2454</v>
      </c>
    </row>
    <row r="2453" spans="1:5">
      <c r="A2453">
        <f>HYPERLINK("http://www.twitter.com/realDonaldTrump/status/733750845280522242", "733750845280522242")</f>
        <v>0</v>
      </c>
      <c r="B2453" s="2">
        <v>42510.8380555556</v>
      </c>
      <c r="C2453">
        <v>17108</v>
      </c>
      <c r="D2453">
        <v>6842</v>
      </c>
      <c r="E2453" t="s">
        <v>2455</v>
      </c>
    </row>
    <row r="2454" spans="1:5">
      <c r="A2454">
        <f>HYPERLINK("http://www.twitter.com/realDonaldTrump/status/733691591198703616", "733691591198703616")</f>
        <v>0</v>
      </c>
      <c r="B2454" s="2">
        <v>42510.6745486111</v>
      </c>
      <c r="C2454">
        <v>12075</v>
      </c>
      <c r="D2454">
        <v>3701</v>
      </c>
      <c r="E2454" t="s">
        <v>2456</v>
      </c>
    </row>
    <row r="2455" spans="1:5">
      <c r="A2455">
        <f>HYPERLINK("http://www.twitter.com/realDonaldTrump/status/733691067829215232", "733691067829215232")</f>
        <v>0</v>
      </c>
      <c r="B2455" s="2">
        <v>42510.6731018519</v>
      </c>
      <c r="C2455">
        <v>15386</v>
      </c>
      <c r="D2455">
        <v>4784</v>
      </c>
      <c r="E2455" t="s">
        <v>2457</v>
      </c>
    </row>
    <row r="2456" spans="1:5">
      <c r="A2456">
        <f>HYPERLINK("http://www.twitter.com/realDonaldTrump/status/733682878278696960", "733682878278696960")</f>
        <v>0</v>
      </c>
      <c r="B2456" s="2">
        <v>42510.6505092593</v>
      </c>
      <c r="C2456">
        <v>11841</v>
      </c>
      <c r="D2456">
        <v>6571</v>
      </c>
      <c r="E2456" t="s">
        <v>2458</v>
      </c>
    </row>
    <row r="2457" spans="1:5">
      <c r="A2457">
        <f>HYPERLINK("http://www.twitter.com/realDonaldTrump/status/733677446235623425", "733677446235623425")</f>
        <v>0</v>
      </c>
      <c r="B2457" s="2">
        <v>42510.6355092593</v>
      </c>
      <c r="C2457">
        <v>7905</v>
      </c>
      <c r="D2457">
        <v>2722</v>
      </c>
      <c r="E2457" t="s">
        <v>2459</v>
      </c>
    </row>
    <row r="2458" spans="1:5">
      <c r="A2458">
        <f>HYPERLINK("http://www.twitter.com/realDonaldTrump/status/733666112563519489", "733666112563519489")</f>
        <v>0</v>
      </c>
      <c r="B2458" s="2">
        <v>42510.6042361111</v>
      </c>
      <c r="C2458">
        <v>6244</v>
      </c>
      <c r="D2458">
        <v>2104</v>
      </c>
      <c r="E2458" t="s">
        <v>2460</v>
      </c>
    </row>
    <row r="2459" spans="1:5">
      <c r="A2459">
        <f>HYPERLINK("http://www.twitter.com/realDonaldTrump/status/733604767612710912", "733604767612710912")</f>
        <v>0</v>
      </c>
      <c r="B2459" s="2">
        <v>42510.4349537037</v>
      </c>
      <c r="C2459">
        <v>20130</v>
      </c>
      <c r="D2459">
        <v>6319</v>
      </c>
      <c r="E2459" t="s">
        <v>2461</v>
      </c>
    </row>
    <row r="2460" spans="1:5">
      <c r="A2460">
        <f>HYPERLINK("http://www.twitter.com/realDonaldTrump/status/733600358501625857", "733600358501625857")</f>
        <v>0</v>
      </c>
      <c r="B2460" s="2">
        <v>42510.4227893519</v>
      </c>
      <c r="C2460">
        <v>18383</v>
      </c>
      <c r="D2460">
        <v>6120</v>
      </c>
      <c r="E2460" t="s">
        <v>2462</v>
      </c>
    </row>
    <row r="2461" spans="1:5">
      <c r="A2461">
        <f>HYPERLINK("http://www.twitter.com/realDonaldTrump/status/733597831261499392", "733597831261499392")</f>
        <v>0</v>
      </c>
      <c r="B2461" s="2">
        <v>42510.4158217593</v>
      </c>
      <c r="C2461">
        <v>17104</v>
      </c>
      <c r="D2461">
        <v>5889</v>
      </c>
      <c r="E2461" t="s">
        <v>2463</v>
      </c>
    </row>
    <row r="2462" spans="1:5">
      <c r="A2462">
        <f>HYPERLINK("http://www.twitter.com/realDonaldTrump/status/733594906447372292", "733594906447372292")</f>
        <v>0</v>
      </c>
      <c r="B2462" s="2">
        <v>42510.4077430556</v>
      </c>
      <c r="C2462">
        <v>14426</v>
      </c>
      <c r="D2462">
        <v>4736</v>
      </c>
      <c r="E2462" t="s">
        <v>2464</v>
      </c>
    </row>
    <row r="2463" spans="1:5">
      <c r="A2463">
        <f>HYPERLINK("http://www.twitter.com/realDonaldTrump/status/733593259423862785", "733593259423862785")</f>
        <v>0</v>
      </c>
      <c r="B2463" s="2">
        <v>42510.4032060185</v>
      </c>
      <c r="C2463">
        <v>16900</v>
      </c>
      <c r="D2463">
        <v>5429</v>
      </c>
      <c r="E2463" t="s">
        <v>2465</v>
      </c>
    </row>
    <row r="2464" spans="1:5">
      <c r="A2464">
        <f>HYPERLINK("http://www.twitter.com/realDonaldTrump/status/733380950059581440", "733380950059581440")</f>
        <v>0</v>
      </c>
      <c r="B2464" s="2">
        <v>42509.817337963</v>
      </c>
      <c r="C2464">
        <v>12704</v>
      </c>
      <c r="D2464">
        <v>4977</v>
      </c>
      <c r="E2464" t="s">
        <v>2466</v>
      </c>
    </row>
    <row r="2465" spans="1:5">
      <c r="A2465">
        <f>HYPERLINK("http://www.twitter.com/realDonaldTrump/status/733348895615528960", "733348895615528960")</f>
        <v>0</v>
      </c>
      <c r="B2465" s="2">
        <v>42509.7288888889</v>
      </c>
      <c r="C2465">
        <v>17539</v>
      </c>
      <c r="D2465">
        <v>5125</v>
      </c>
      <c r="E2465" t="s">
        <v>2467</v>
      </c>
    </row>
    <row r="2466" spans="1:5">
      <c r="A2466">
        <f>HYPERLINK("http://www.twitter.com/realDonaldTrump/status/733242745385537536", "733242745385537536")</f>
        <v>0</v>
      </c>
      <c r="B2466" s="2">
        <v>42509.4359722222</v>
      </c>
      <c r="C2466">
        <v>35612</v>
      </c>
      <c r="D2466">
        <v>12618</v>
      </c>
      <c r="E2466" t="s">
        <v>2468</v>
      </c>
    </row>
    <row r="2467" spans="1:5">
      <c r="A2467">
        <f>HYPERLINK("http://www.twitter.com/realDonaldTrump/status/733128160603168768", "733128160603168768")</f>
        <v>0</v>
      </c>
      <c r="B2467" s="2">
        <v>42509.1197800926</v>
      </c>
      <c r="C2467">
        <v>16388</v>
      </c>
      <c r="D2467">
        <v>4607</v>
      </c>
      <c r="E2467" t="s">
        <v>2469</v>
      </c>
    </row>
    <row r="2468" spans="1:5">
      <c r="A2468">
        <f>HYPERLINK("http://www.twitter.com/realDonaldTrump/status/733113480207798272", "733113480207798272")</f>
        <v>0</v>
      </c>
      <c r="B2468" s="2">
        <v>42509.0792592593</v>
      </c>
      <c r="C2468">
        <v>15919</v>
      </c>
      <c r="D2468">
        <v>4607</v>
      </c>
      <c r="E2468" t="s">
        <v>2470</v>
      </c>
    </row>
    <row r="2469" spans="1:5">
      <c r="A2469">
        <f>HYPERLINK("http://www.twitter.com/realDonaldTrump/status/733073344661061632", "733073344661061632")</f>
        <v>0</v>
      </c>
      <c r="B2469" s="2">
        <v>42508.9685069444</v>
      </c>
      <c r="C2469">
        <v>12507</v>
      </c>
      <c r="D2469">
        <v>4856</v>
      </c>
      <c r="E2469" t="s">
        <v>2471</v>
      </c>
    </row>
    <row r="2470" spans="1:5">
      <c r="A2470">
        <f>HYPERLINK("http://www.twitter.com/realDonaldTrump/status/732990965426888705", "732990965426888705")</f>
        <v>0</v>
      </c>
      <c r="B2470" s="2">
        <v>42508.7411921296</v>
      </c>
      <c r="C2470">
        <v>14740</v>
      </c>
      <c r="D2470">
        <v>4848</v>
      </c>
      <c r="E2470" t="s">
        <v>2472</v>
      </c>
    </row>
    <row r="2471" spans="1:5">
      <c r="A2471">
        <f>HYPERLINK("http://www.twitter.com/realDonaldTrump/status/732988705531650048", "732988705531650048")</f>
        <v>0</v>
      </c>
      <c r="B2471" s="2">
        <v>42508.7349537037</v>
      </c>
      <c r="C2471">
        <v>13745</v>
      </c>
      <c r="D2471">
        <v>4217</v>
      </c>
      <c r="E2471" t="s">
        <v>2473</v>
      </c>
    </row>
    <row r="2472" spans="1:5">
      <c r="A2472">
        <f>HYPERLINK("http://www.twitter.com/realDonaldTrump/status/732973805354819586", "732973805354819586")</f>
        <v>0</v>
      </c>
      <c r="B2472" s="2">
        <v>42508.6938310185</v>
      </c>
      <c r="C2472">
        <v>10964</v>
      </c>
      <c r="D2472">
        <v>3462</v>
      </c>
      <c r="E2472" t="s">
        <v>2474</v>
      </c>
    </row>
    <row r="2473" spans="1:5">
      <c r="A2473">
        <f>HYPERLINK("http://www.twitter.com/realDonaldTrump/status/732893573365010432", "732893573365010432")</f>
        <v>0</v>
      </c>
      <c r="B2473" s="2">
        <v>42508.4724421296</v>
      </c>
      <c r="C2473">
        <v>20874</v>
      </c>
      <c r="D2473">
        <v>7263</v>
      </c>
      <c r="E2473" t="s">
        <v>2475</v>
      </c>
    </row>
    <row r="2474" spans="1:5">
      <c r="A2474">
        <f>HYPERLINK("http://www.twitter.com/realDonaldTrump/status/732788306237345794", "732788306237345794")</f>
        <v>0</v>
      </c>
      <c r="B2474" s="2">
        <v>42508.1819560185</v>
      </c>
      <c r="C2474">
        <v>13019</v>
      </c>
      <c r="D2474">
        <v>4761</v>
      </c>
      <c r="E2474" t="s">
        <v>2476</v>
      </c>
    </row>
    <row r="2475" spans="1:5">
      <c r="A2475">
        <f>HYPERLINK("http://www.twitter.com/realDonaldTrump/status/732783552513880064", "732783552513880064")</f>
        <v>0</v>
      </c>
      <c r="B2475" s="2">
        <v>42508.1688425926</v>
      </c>
      <c r="C2475">
        <v>9741</v>
      </c>
      <c r="D2475">
        <v>3030</v>
      </c>
      <c r="E2475" t="s">
        <v>2477</v>
      </c>
    </row>
    <row r="2476" spans="1:5">
      <c r="A2476">
        <f>HYPERLINK("http://www.twitter.com/realDonaldTrump/status/732779353566760960", "732779353566760960")</f>
        <v>0</v>
      </c>
      <c r="B2476" s="2">
        <v>42508.1572453704</v>
      </c>
      <c r="C2476">
        <v>11563</v>
      </c>
      <c r="D2476">
        <v>3963</v>
      </c>
      <c r="E2476" t="s">
        <v>2478</v>
      </c>
    </row>
    <row r="2477" spans="1:5">
      <c r="A2477">
        <f>HYPERLINK("http://www.twitter.com/realDonaldTrump/status/732773906889736192", "732773906889736192")</f>
        <v>0</v>
      </c>
      <c r="B2477" s="2">
        <v>42508.1422222222</v>
      </c>
      <c r="C2477">
        <v>21787</v>
      </c>
      <c r="D2477">
        <v>6357</v>
      </c>
      <c r="E2477" t="s">
        <v>2479</v>
      </c>
    </row>
    <row r="2478" spans="1:5">
      <c r="A2478">
        <f>HYPERLINK("http://www.twitter.com/realDonaldTrump/status/732771469281927169", "732771469281927169")</f>
        <v>0</v>
      </c>
      <c r="B2478" s="2">
        <v>42508.1354976852</v>
      </c>
      <c r="C2478">
        <v>15160</v>
      </c>
      <c r="D2478">
        <v>4881</v>
      </c>
      <c r="E2478" t="s">
        <v>2480</v>
      </c>
    </row>
    <row r="2479" spans="1:5">
      <c r="A2479">
        <f>HYPERLINK("http://www.twitter.com/realDonaldTrump/status/732762977825349632", "732762977825349632")</f>
        <v>0</v>
      </c>
      <c r="B2479" s="2">
        <v>42508.1120601852</v>
      </c>
      <c r="C2479">
        <v>10071</v>
      </c>
      <c r="D2479">
        <v>3612</v>
      </c>
      <c r="E2479" t="s">
        <v>2481</v>
      </c>
    </row>
    <row r="2480" spans="1:5">
      <c r="A2480">
        <f>HYPERLINK("http://www.twitter.com/realDonaldTrump/status/732762774745559041", "732762774745559041")</f>
        <v>0</v>
      </c>
      <c r="B2480" s="2">
        <v>42508.1115046296</v>
      </c>
      <c r="C2480">
        <v>10290</v>
      </c>
      <c r="D2480">
        <v>3526</v>
      </c>
      <c r="E2480" t="s">
        <v>2482</v>
      </c>
    </row>
    <row r="2481" spans="1:5">
      <c r="A2481">
        <f>HYPERLINK("http://www.twitter.com/realDonaldTrump/status/732762160842039296", "732762160842039296")</f>
        <v>0</v>
      </c>
      <c r="B2481" s="2">
        <v>42508.1098032407</v>
      </c>
      <c r="C2481">
        <v>9858</v>
      </c>
      <c r="D2481">
        <v>3074</v>
      </c>
      <c r="E2481" t="s">
        <v>2483</v>
      </c>
    </row>
    <row r="2482" spans="1:5">
      <c r="A2482">
        <f>HYPERLINK("http://www.twitter.com/realDonaldTrump/status/732756302447968257", "732756302447968257")</f>
        <v>0</v>
      </c>
      <c r="B2482" s="2">
        <v>42508.0936458333</v>
      </c>
      <c r="C2482">
        <v>7518</v>
      </c>
      <c r="D2482">
        <v>2177</v>
      </c>
      <c r="E2482" t="s">
        <v>2484</v>
      </c>
    </row>
    <row r="2483" spans="1:5">
      <c r="A2483">
        <f>HYPERLINK("http://www.twitter.com/realDonaldTrump/status/732751047022628865", "732751047022628865")</f>
        <v>0</v>
      </c>
      <c r="B2483" s="2">
        <v>42508.0791435185</v>
      </c>
      <c r="C2483">
        <v>21639</v>
      </c>
      <c r="D2483">
        <v>7925</v>
      </c>
      <c r="E2483" t="s">
        <v>2485</v>
      </c>
    </row>
    <row r="2484" spans="1:5">
      <c r="A2484">
        <f>HYPERLINK("http://www.twitter.com/realDonaldTrump/status/732749934903087104", "732749934903087104")</f>
        <v>0</v>
      </c>
      <c r="B2484" s="2">
        <v>42508.0760648148</v>
      </c>
      <c r="C2484">
        <v>12688</v>
      </c>
      <c r="D2484">
        <v>4317</v>
      </c>
      <c r="E2484" t="s">
        <v>2486</v>
      </c>
    </row>
    <row r="2485" spans="1:5">
      <c r="A2485">
        <f>HYPERLINK("http://www.twitter.com/realDonaldTrump/status/732746916337975296", "732746916337975296")</f>
        <v>0</v>
      </c>
      <c r="B2485" s="2">
        <v>42508.0677430556</v>
      </c>
      <c r="C2485">
        <v>7220</v>
      </c>
      <c r="D2485">
        <v>2073</v>
      </c>
      <c r="E2485" t="s">
        <v>2487</v>
      </c>
    </row>
    <row r="2486" spans="1:5">
      <c r="A2486">
        <f>HYPERLINK("http://www.twitter.com/realDonaldTrump/status/732738568725094402", "732738568725094402")</f>
        <v>0</v>
      </c>
      <c r="B2486" s="2">
        <v>42508.0447106482</v>
      </c>
      <c r="C2486">
        <v>15539</v>
      </c>
      <c r="D2486">
        <v>3895</v>
      </c>
      <c r="E2486" t="s">
        <v>2488</v>
      </c>
    </row>
    <row r="2487" spans="1:5">
      <c r="A2487">
        <f>HYPERLINK("http://www.twitter.com/realDonaldTrump/status/732736781351849989", "732736781351849989")</f>
        <v>0</v>
      </c>
      <c r="B2487" s="2">
        <v>42508.0397685185</v>
      </c>
      <c r="C2487">
        <v>6249</v>
      </c>
      <c r="D2487">
        <v>1106</v>
      </c>
      <c r="E2487" t="s">
        <v>2489</v>
      </c>
    </row>
    <row r="2488" spans="1:5">
      <c r="A2488">
        <f>HYPERLINK("http://www.twitter.com/realDonaldTrump/status/732736605954428933", "732736605954428933")</f>
        <v>0</v>
      </c>
      <c r="B2488" s="2">
        <v>42508.0392939815</v>
      </c>
      <c r="C2488">
        <v>4902</v>
      </c>
      <c r="D2488">
        <v>901</v>
      </c>
      <c r="E2488" t="s">
        <v>2490</v>
      </c>
    </row>
    <row r="2489" spans="1:5">
      <c r="A2489">
        <f>HYPERLINK("http://www.twitter.com/realDonaldTrump/status/732736485661769732", "732736485661769732")</f>
        <v>0</v>
      </c>
      <c r="B2489" s="2">
        <v>42508.0389583333</v>
      </c>
      <c r="C2489">
        <v>7177</v>
      </c>
      <c r="D2489">
        <v>1751</v>
      </c>
      <c r="E2489" t="s">
        <v>2491</v>
      </c>
    </row>
    <row r="2490" spans="1:5">
      <c r="A2490">
        <f>HYPERLINK("http://www.twitter.com/realDonaldTrump/status/732735764585406465", "732735764585406465")</f>
        <v>0</v>
      </c>
      <c r="B2490" s="2">
        <v>42508.0369675926</v>
      </c>
      <c r="C2490">
        <v>8581</v>
      </c>
      <c r="D2490">
        <v>2340</v>
      </c>
      <c r="E2490" t="s">
        <v>2492</v>
      </c>
    </row>
    <row r="2491" spans="1:5">
      <c r="A2491">
        <f>HYPERLINK("http://www.twitter.com/realDonaldTrump/status/732734623285927936", "732734623285927936")</f>
        <v>0</v>
      </c>
      <c r="B2491" s="2">
        <v>42508.0338194444</v>
      </c>
      <c r="C2491">
        <v>5501</v>
      </c>
      <c r="D2491">
        <v>1155</v>
      </c>
      <c r="E2491" t="s">
        <v>2493</v>
      </c>
    </row>
    <row r="2492" spans="1:5">
      <c r="A2492">
        <f>HYPERLINK("http://www.twitter.com/realDonaldTrump/status/732734411398119424", "732734411398119424")</f>
        <v>0</v>
      </c>
      <c r="B2492" s="2">
        <v>42508.0332291667</v>
      </c>
      <c r="C2492">
        <v>5096</v>
      </c>
      <c r="D2492">
        <v>1020</v>
      </c>
      <c r="E2492" t="s">
        <v>2494</v>
      </c>
    </row>
    <row r="2493" spans="1:5">
      <c r="A2493">
        <f>HYPERLINK("http://www.twitter.com/realDonaldTrump/status/732734199678050304", "732734199678050304")</f>
        <v>0</v>
      </c>
      <c r="B2493" s="2">
        <v>42508.032650463</v>
      </c>
      <c r="C2493">
        <v>5605</v>
      </c>
      <c r="D2493">
        <v>1393</v>
      </c>
      <c r="E2493" t="s">
        <v>2495</v>
      </c>
    </row>
    <row r="2494" spans="1:5">
      <c r="A2494">
        <f>HYPERLINK("http://www.twitter.com/realDonaldTrump/status/732733747586469888", "732733747586469888")</f>
        <v>0</v>
      </c>
      <c r="B2494" s="2">
        <v>42508.031400463</v>
      </c>
      <c r="C2494">
        <v>6229</v>
      </c>
      <c r="D2494">
        <v>1402</v>
      </c>
      <c r="E2494" t="s">
        <v>2496</v>
      </c>
    </row>
    <row r="2495" spans="1:5">
      <c r="A2495">
        <f>HYPERLINK("http://www.twitter.com/realDonaldTrump/status/732733386041647104", "732733386041647104")</f>
        <v>0</v>
      </c>
      <c r="B2495" s="2">
        <v>42508.0304050926</v>
      </c>
      <c r="C2495">
        <v>5485</v>
      </c>
      <c r="D2495">
        <v>1248</v>
      </c>
      <c r="E2495" t="s">
        <v>2497</v>
      </c>
    </row>
    <row r="2496" spans="1:5">
      <c r="A2496">
        <f>HYPERLINK("http://www.twitter.com/realDonaldTrump/status/732733300763037696", "732733300763037696")</f>
        <v>0</v>
      </c>
      <c r="B2496" s="2">
        <v>42508.0301736111</v>
      </c>
      <c r="C2496">
        <v>4740</v>
      </c>
      <c r="D2496">
        <v>998</v>
      </c>
      <c r="E2496" t="s">
        <v>2498</v>
      </c>
    </row>
    <row r="2497" spans="1:5">
      <c r="A2497">
        <f>HYPERLINK("http://www.twitter.com/realDonaldTrump/status/732733059955601408", "732733059955601408")</f>
        <v>0</v>
      </c>
      <c r="B2497" s="2">
        <v>42508.0295023148</v>
      </c>
      <c r="C2497">
        <v>5350</v>
      </c>
      <c r="D2497">
        <v>1175</v>
      </c>
      <c r="E2497" t="s">
        <v>2499</v>
      </c>
    </row>
    <row r="2498" spans="1:5">
      <c r="A2498">
        <f>HYPERLINK("http://www.twitter.com/realDonaldTrump/status/732732783605469184", "732732783605469184")</f>
        <v>0</v>
      </c>
      <c r="B2498" s="2">
        <v>42508.0287384259</v>
      </c>
      <c r="C2498">
        <v>4839</v>
      </c>
      <c r="D2498">
        <v>1021</v>
      </c>
      <c r="E2498" t="s">
        <v>2500</v>
      </c>
    </row>
    <row r="2499" spans="1:5">
      <c r="A2499">
        <f>HYPERLINK("http://www.twitter.com/realDonaldTrump/status/732732712268746753", "732732712268746753")</f>
        <v>0</v>
      </c>
      <c r="B2499" s="2">
        <v>42508.0285416667</v>
      </c>
      <c r="C2499">
        <v>5073</v>
      </c>
      <c r="D2499">
        <v>1128</v>
      </c>
      <c r="E2499" t="s">
        <v>2501</v>
      </c>
    </row>
    <row r="2500" spans="1:5">
      <c r="A2500">
        <f>HYPERLINK("http://www.twitter.com/realDonaldTrump/status/732732606765240321", "732732606765240321")</f>
        <v>0</v>
      </c>
      <c r="B2500" s="2">
        <v>42508.0282523148</v>
      </c>
      <c r="C2500">
        <v>4977</v>
      </c>
      <c r="D2500">
        <v>1007</v>
      </c>
      <c r="E2500" t="s">
        <v>2502</v>
      </c>
    </row>
    <row r="2501" spans="1:5">
      <c r="A2501">
        <f>HYPERLINK("http://www.twitter.com/realDonaldTrump/status/732731735897702400", "732731735897702400")</f>
        <v>0</v>
      </c>
      <c r="B2501" s="2">
        <v>42508.0258449074</v>
      </c>
      <c r="C2501">
        <v>6002</v>
      </c>
      <c r="D2501">
        <v>1648</v>
      </c>
      <c r="E2501" t="s">
        <v>2503</v>
      </c>
    </row>
    <row r="2502" spans="1:5">
      <c r="A2502">
        <f>HYPERLINK("http://www.twitter.com/realDonaldTrump/status/732731343503790080", "732731343503790080")</f>
        <v>0</v>
      </c>
      <c r="B2502" s="2">
        <v>42508.0247685185</v>
      </c>
      <c r="C2502">
        <v>5161</v>
      </c>
      <c r="D2502">
        <v>1154</v>
      </c>
      <c r="E2502" t="s">
        <v>2504</v>
      </c>
    </row>
    <row r="2503" spans="1:5">
      <c r="A2503">
        <f>HYPERLINK("http://www.twitter.com/realDonaldTrump/status/732731153556312064", "732731153556312064")</f>
        <v>0</v>
      </c>
      <c r="B2503" s="2">
        <v>42508.0242476852</v>
      </c>
      <c r="C2503">
        <v>4738</v>
      </c>
      <c r="D2503">
        <v>1040</v>
      </c>
      <c r="E2503" t="s">
        <v>2505</v>
      </c>
    </row>
    <row r="2504" spans="1:5">
      <c r="A2504">
        <f>HYPERLINK("http://www.twitter.com/realDonaldTrump/status/732730840162144256", "732730840162144256")</f>
        <v>0</v>
      </c>
      <c r="B2504" s="2">
        <v>42508.0233796296</v>
      </c>
      <c r="C2504">
        <v>6710</v>
      </c>
      <c r="D2504">
        <v>1605</v>
      </c>
      <c r="E2504" t="s">
        <v>2506</v>
      </c>
    </row>
    <row r="2505" spans="1:5">
      <c r="A2505">
        <f>HYPERLINK("http://www.twitter.com/realDonaldTrump/status/732730584695463936", "732730584695463936")</f>
        <v>0</v>
      </c>
      <c r="B2505" s="2">
        <v>42508.0226736111</v>
      </c>
      <c r="C2505">
        <v>5122</v>
      </c>
      <c r="D2505">
        <v>1067</v>
      </c>
      <c r="E2505" t="s">
        <v>2507</v>
      </c>
    </row>
    <row r="2506" spans="1:5">
      <c r="A2506">
        <f>HYPERLINK("http://www.twitter.com/realDonaldTrump/status/732730463735943169", "732730463735943169")</f>
        <v>0</v>
      </c>
      <c r="B2506" s="2">
        <v>42508.022337963</v>
      </c>
      <c r="C2506">
        <v>5747</v>
      </c>
      <c r="D2506">
        <v>1471</v>
      </c>
      <c r="E2506" t="s">
        <v>2508</v>
      </c>
    </row>
    <row r="2507" spans="1:5">
      <c r="A2507">
        <f>HYPERLINK("http://www.twitter.com/realDonaldTrump/status/732729747336269824", "732729747336269824")</f>
        <v>0</v>
      </c>
      <c r="B2507" s="2">
        <v>42508.0203587963</v>
      </c>
      <c r="C2507">
        <v>5207</v>
      </c>
      <c r="D2507">
        <v>1007</v>
      </c>
      <c r="E2507" t="s">
        <v>2509</v>
      </c>
    </row>
    <row r="2508" spans="1:5">
      <c r="A2508">
        <f>HYPERLINK("http://www.twitter.com/realDonaldTrump/status/732729619061821440", "732729619061821440")</f>
        <v>0</v>
      </c>
      <c r="B2508" s="2">
        <v>42508.0200115741</v>
      </c>
      <c r="C2508">
        <v>5961</v>
      </c>
      <c r="D2508">
        <v>1652</v>
      </c>
      <c r="E2508" t="s">
        <v>2510</v>
      </c>
    </row>
    <row r="2509" spans="1:5">
      <c r="A2509">
        <f>HYPERLINK("http://www.twitter.com/realDonaldTrump/status/732729332917997568", "732729332917997568")</f>
        <v>0</v>
      </c>
      <c r="B2509" s="2">
        <v>42508.019224537</v>
      </c>
      <c r="C2509">
        <v>5451</v>
      </c>
      <c r="D2509">
        <v>1452</v>
      </c>
      <c r="E2509" t="s">
        <v>2511</v>
      </c>
    </row>
    <row r="2510" spans="1:5">
      <c r="A2510">
        <f>HYPERLINK("http://www.twitter.com/realDonaldTrump/status/732729090696957954", "732729090696957954")</f>
        <v>0</v>
      </c>
      <c r="B2510" s="2">
        <v>42508.0185532407</v>
      </c>
      <c r="C2510">
        <v>6952</v>
      </c>
      <c r="D2510">
        <v>1520</v>
      </c>
      <c r="E2510" t="s">
        <v>2512</v>
      </c>
    </row>
    <row r="2511" spans="1:5">
      <c r="A2511">
        <f>HYPERLINK("http://www.twitter.com/realDonaldTrump/status/732726338147258370", "732726338147258370")</f>
        <v>0</v>
      </c>
      <c r="B2511" s="2">
        <v>42508.0109606481</v>
      </c>
      <c r="C2511">
        <v>4647</v>
      </c>
      <c r="D2511">
        <v>1009</v>
      </c>
      <c r="E2511" t="s">
        <v>2513</v>
      </c>
    </row>
    <row r="2512" spans="1:5">
      <c r="A2512">
        <f>HYPERLINK("http://www.twitter.com/realDonaldTrump/status/732726105837277184", "732726105837277184")</f>
        <v>0</v>
      </c>
      <c r="B2512" s="2">
        <v>42508.0103125</v>
      </c>
      <c r="C2512">
        <v>4786</v>
      </c>
      <c r="D2512">
        <v>1008</v>
      </c>
      <c r="E2512" t="s">
        <v>2514</v>
      </c>
    </row>
    <row r="2513" spans="1:5">
      <c r="A2513">
        <f>HYPERLINK("http://www.twitter.com/realDonaldTrump/status/732724066122104832", "732724066122104832")</f>
        <v>0</v>
      </c>
      <c r="B2513" s="2">
        <v>42508.0046875</v>
      </c>
      <c r="C2513">
        <v>4820</v>
      </c>
      <c r="D2513">
        <v>1064</v>
      </c>
      <c r="E2513" t="s">
        <v>2515</v>
      </c>
    </row>
    <row r="2514" spans="1:5">
      <c r="A2514">
        <f>HYPERLINK("http://www.twitter.com/realDonaldTrump/status/732719796077383680", "732719796077383680")</f>
        <v>0</v>
      </c>
      <c r="B2514" s="2">
        <v>42507.9929050926</v>
      </c>
      <c r="C2514">
        <v>6626</v>
      </c>
      <c r="D2514">
        <v>1620</v>
      </c>
      <c r="E2514" t="s">
        <v>2516</v>
      </c>
    </row>
    <row r="2515" spans="1:5">
      <c r="A2515">
        <f>HYPERLINK("http://www.twitter.com/realDonaldTrump/status/732717975090909185", "732717975090909185")</f>
        <v>0</v>
      </c>
      <c r="B2515" s="2">
        <v>42507.9878819444</v>
      </c>
      <c r="C2515">
        <v>8253</v>
      </c>
      <c r="D2515">
        <v>2570</v>
      </c>
      <c r="E2515" t="s">
        <v>2517</v>
      </c>
    </row>
    <row r="2516" spans="1:5">
      <c r="A2516">
        <f>HYPERLINK("http://www.twitter.com/realDonaldTrump/status/732716604027502592", "732716604027502592")</f>
        <v>0</v>
      </c>
      <c r="B2516" s="2">
        <v>42507.9840972222</v>
      </c>
      <c r="C2516">
        <v>12030</v>
      </c>
      <c r="D2516">
        <v>3654</v>
      </c>
      <c r="E2516" t="s">
        <v>2518</v>
      </c>
    </row>
    <row r="2517" spans="1:5">
      <c r="A2517">
        <f>HYPERLINK("http://www.twitter.com/realDonaldTrump/status/732681922644725760", "732681922644725760")</f>
        <v>0</v>
      </c>
      <c r="B2517" s="2">
        <v>42507.8883912037</v>
      </c>
      <c r="C2517">
        <v>21083</v>
      </c>
      <c r="D2517">
        <v>5298</v>
      </c>
      <c r="E2517" t="s">
        <v>2519</v>
      </c>
    </row>
    <row r="2518" spans="1:5">
      <c r="A2518">
        <f>HYPERLINK("http://www.twitter.com/realDonaldTrump/status/732592935980695558", "732592935980695558")</f>
        <v>0</v>
      </c>
      <c r="B2518" s="2">
        <v>42507.6428356481</v>
      </c>
      <c r="C2518">
        <v>12500</v>
      </c>
      <c r="D2518">
        <v>3254</v>
      </c>
      <c r="E2518" t="s">
        <v>2520</v>
      </c>
    </row>
    <row r="2519" spans="1:5">
      <c r="A2519">
        <f>HYPERLINK("http://www.twitter.com/realDonaldTrump/status/732576889538260992", "732576889538260992")</f>
        <v>0</v>
      </c>
      <c r="B2519" s="2">
        <v>42507.5985532407</v>
      </c>
      <c r="C2519">
        <v>22308</v>
      </c>
      <c r="D2519">
        <v>8467</v>
      </c>
      <c r="E2519" t="s">
        <v>2521</v>
      </c>
    </row>
    <row r="2520" spans="1:5">
      <c r="A2520">
        <f>HYPERLINK("http://www.twitter.com/realDonaldTrump/status/732575682367258624", "732575682367258624")</f>
        <v>0</v>
      </c>
      <c r="B2520" s="2">
        <v>42507.5952199074</v>
      </c>
      <c r="C2520">
        <v>14426</v>
      </c>
      <c r="D2520">
        <v>5327</v>
      </c>
      <c r="E2520" t="s">
        <v>2522</v>
      </c>
    </row>
    <row r="2521" spans="1:5">
      <c r="A2521">
        <f>HYPERLINK("http://www.twitter.com/realDonaldTrump/status/732570904094347265", "732570904094347265")</f>
        <v>0</v>
      </c>
      <c r="B2521" s="2">
        <v>42507.582037037</v>
      </c>
      <c r="C2521">
        <v>7103</v>
      </c>
      <c r="D2521">
        <v>2849</v>
      </c>
      <c r="E2521" t="s">
        <v>2523</v>
      </c>
    </row>
    <row r="2522" spans="1:5">
      <c r="A2522">
        <f>HYPERLINK("http://www.twitter.com/realDonaldTrump/status/732549197539446784", "732549197539446784")</f>
        <v>0</v>
      </c>
      <c r="B2522" s="2">
        <v>42507.5221412037</v>
      </c>
      <c r="C2522">
        <v>12058</v>
      </c>
      <c r="D2522">
        <v>3725</v>
      </c>
      <c r="E2522" t="s">
        <v>2524</v>
      </c>
    </row>
    <row r="2523" spans="1:5">
      <c r="A2523">
        <f>HYPERLINK("http://www.twitter.com/realDonaldTrump/status/732540713678819328", "732540713678819328")</f>
        <v>0</v>
      </c>
      <c r="B2523" s="2">
        <v>42507.4987268519</v>
      </c>
      <c r="C2523">
        <v>36543</v>
      </c>
      <c r="D2523">
        <v>14607</v>
      </c>
      <c r="E2523" t="s">
        <v>2525</v>
      </c>
    </row>
    <row r="2524" spans="1:5">
      <c r="A2524">
        <f>HYPERLINK("http://www.twitter.com/realDonaldTrump/status/732539159659859968", "732539159659859968")</f>
        <v>0</v>
      </c>
      <c r="B2524" s="2">
        <v>42507.4944444444</v>
      </c>
      <c r="C2524">
        <v>11711</v>
      </c>
      <c r="D2524">
        <v>4064</v>
      </c>
      <c r="E2524" t="s">
        <v>2526</v>
      </c>
    </row>
    <row r="2525" spans="1:5">
      <c r="A2525">
        <f>HYPERLINK("http://www.twitter.com/realDonaldTrump/status/732537744195522560", "732537744195522560")</f>
        <v>0</v>
      </c>
      <c r="B2525" s="2">
        <v>42507.4905324074</v>
      </c>
      <c r="C2525">
        <v>11550</v>
      </c>
      <c r="D2525">
        <v>3656</v>
      </c>
      <c r="E2525" t="s">
        <v>2527</v>
      </c>
    </row>
    <row r="2526" spans="1:5">
      <c r="A2526">
        <f>HYPERLINK("http://www.twitter.com/realDonaldTrump/status/732535400498143232", "732535400498143232")</f>
        <v>0</v>
      </c>
      <c r="B2526" s="2">
        <v>42507.4840625</v>
      </c>
      <c r="C2526">
        <v>13792</v>
      </c>
      <c r="D2526">
        <v>4907</v>
      </c>
      <c r="E2526" t="s">
        <v>2528</v>
      </c>
    </row>
    <row r="2527" spans="1:5">
      <c r="A2527">
        <f>HYPERLINK("http://www.twitter.com/realDonaldTrump/status/732533409285865473", "732533409285865473")</f>
        <v>0</v>
      </c>
      <c r="B2527" s="2">
        <v>42507.4785763889</v>
      </c>
      <c r="C2527">
        <v>21222</v>
      </c>
      <c r="D2527">
        <v>8446</v>
      </c>
      <c r="E2527" t="s">
        <v>2529</v>
      </c>
    </row>
    <row r="2528" spans="1:5">
      <c r="A2528">
        <f>HYPERLINK("http://www.twitter.com/realDonaldTrump/status/732430605548437504", "732430605548437504")</f>
        <v>0</v>
      </c>
      <c r="B2528" s="2">
        <v>42507.1948842593</v>
      </c>
      <c r="C2528">
        <v>9831</v>
      </c>
      <c r="D2528">
        <v>3642</v>
      </c>
      <c r="E2528" t="s">
        <v>2530</v>
      </c>
    </row>
    <row r="2529" spans="1:5">
      <c r="A2529">
        <f>HYPERLINK("http://www.twitter.com/realDonaldTrump/status/732421072037892101", "732421072037892101")</f>
        <v>0</v>
      </c>
      <c r="B2529" s="2">
        <v>42507.1685763889</v>
      </c>
      <c r="C2529">
        <v>9806</v>
      </c>
      <c r="D2529">
        <v>3081</v>
      </c>
      <c r="E2529" t="s">
        <v>2531</v>
      </c>
    </row>
    <row r="2530" spans="1:5">
      <c r="A2530">
        <f>HYPERLINK("http://www.twitter.com/realDonaldTrump/status/732417001965137920", "732417001965137920")</f>
        <v>0</v>
      </c>
      <c r="B2530" s="2">
        <v>42507.157349537</v>
      </c>
      <c r="C2530">
        <v>12701</v>
      </c>
      <c r="D2530">
        <v>3944</v>
      </c>
      <c r="E2530" t="s">
        <v>2532</v>
      </c>
    </row>
    <row r="2531" spans="1:5">
      <c r="A2531">
        <f>HYPERLINK("http://www.twitter.com/realDonaldTrump/status/732377163505225728", "732377163505225728")</f>
        <v>0</v>
      </c>
      <c r="B2531" s="2">
        <v>42507.0474189815</v>
      </c>
      <c r="C2531">
        <v>23947</v>
      </c>
      <c r="D2531">
        <v>9545</v>
      </c>
      <c r="E2531" t="s">
        <v>2533</v>
      </c>
    </row>
    <row r="2532" spans="1:5">
      <c r="A2532">
        <f>HYPERLINK("http://www.twitter.com/realDonaldTrump/status/732333772587302912", "732333772587302912")</f>
        <v>0</v>
      </c>
      <c r="B2532" s="2">
        <v>42506.9276851852</v>
      </c>
      <c r="C2532">
        <v>13193</v>
      </c>
      <c r="D2532">
        <v>4538</v>
      </c>
      <c r="E2532" t="s">
        <v>2534</v>
      </c>
    </row>
    <row r="2533" spans="1:5">
      <c r="A2533">
        <f>HYPERLINK("http://www.twitter.com/realDonaldTrump/status/732333383024582661", "732333383024582661")</f>
        <v>0</v>
      </c>
      <c r="B2533" s="2">
        <v>42506.9266087963</v>
      </c>
      <c r="C2533">
        <v>13988</v>
      </c>
      <c r="D2533">
        <v>4913</v>
      </c>
      <c r="E2533" t="s">
        <v>2535</v>
      </c>
    </row>
    <row r="2534" spans="1:5">
      <c r="A2534">
        <f>HYPERLINK("http://www.twitter.com/realDonaldTrump/status/732333137326444544", "732333137326444544")</f>
        <v>0</v>
      </c>
      <c r="B2534" s="2">
        <v>42506.9259259259</v>
      </c>
      <c r="C2534">
        <v>11881</v>
      </c>
      <c r="D2534">
        <v>3826</v>
      </c>
      <c r="E2534" t="s">
        <v>2536</v>
      </c>
    </row>
    <row r="2535" spans="1:5">
      <c r="A2535">
        <f>HYPERLINK("http://www.twitter.com/realDonaldTrump/status/732333025325928448", "732333025325928448")</f>
        <v>0</v>
      </c>
      <c r="B2535" s="2">
        <v>42506.9256134259</v>
      </c>
      <c r="C2535">
        <v>11486</v>
      </c>
      <c r="D2535">
        <v>3473</v>
      </c>
      <c r="E2535" t="s">
        <v>2537</v>
      </c>
    </row>
    <row r="2536" spans="1:5">
      <c r="A2536">
        <f>HYPERLINK("http://www.twitter.com/realDonaldTrump/status/732327433957953537", "732327433957953537")</f>
        <v>0</v>
      </c>
      <c r="B2536" s="2">
        <v>42506.9101851852</v>
      </c>
      <c r="C2536">
        <v>9471</v>
      </c>
      <c r="D2536">
        <v>3934</v>
      </c>
      <c r="E2536" t="s">
        <v>2538</v>
      </c>
    </row>
    <row r="2537" spans="1:5">
      <c r="A2537">
        <f>HYPERLINK("http://www.twitter.com/realDonaldTrump/status/732274340188852224", "732274340188852224")</f>
        <v>0</v>
      </c>
      <c r="B2537" s="2">
        <v>42506.7636805556</v>
      </c>
      <c r="C2537">
        <v>7862</v>
      </c>
      <c r="D2537">
        <v>3063</v>
      </c>
      <c r="E2537" t="s">
        <v>2539</v>
      </c>
    </row>
    <row r="2538" spans="1:5">
      <c r="A2538">
        <f>HYPERLINK("http://www.twitter.com/realDonaldTrump/status/732230384071680001", "732230384071680001")</f>
        <v>0</v>
      </c>
      <c r="B2538" s="2">
        <v>42506.6423842593</v>
      </c>
      <c r="C2538">
        <v>16214</v>
      </c>
      <c r="D2538">
        <v>5630</v>
      </c>
      <c r="E2538" t="s">
        <v>2540</v>
      </c>
    </row>
    <row r="2539" spans="1:5">
      <c r="A2539">
        <f>HYPERLINK("http://www.twitter.com/realDonaldTrump/status/732200012457906176", "732200012457906176")</f>
        <v>0</v>
      </c>
      <c r="B2539" s="2">
        <v>42506.5585763889</v>
      </c>
      <c r="C2539">
        <v>12916</v>
      </c>
      <c r="D2539">
        <v>4102</v>
      </c>
      <c r="E2539" t="s">
        <v>2541</v>
      </c>
    </row>
    <row r="2540" spans="1:5">
      <c r="A2540">
        <f>HYPERLINK("http://www.twitter.com/realDonaldTrump/status/732197065820913668", "732197065820913668")</f>
        <v>0</v>
      </c>
      <c r="B2540" s="2">
        <v>42506.5504398148</v>
      </c>
      <c r="C2540">
        <v>13569</v>
      </c>
      <c r="D2540">
        <v>4601</v>
      </c>
      <c r="E2540" t="s">
        <v>2542</v>
      </c>
    </row>
    <row r="2541" spans="1:5">
      <c r="A2541">
        <f>HYPERLINK("http://www.twitter.com/realDonaldTrump/status/732196260636151808", "732196260636151808")</f>
        <v>0</v>
      </c>
      <c r="B2541" s="2">
        <v>42506.5482175926</v>
      </c>
      <c r="C2541">
        <v>12915</v>
      </c>
      <c r="D2541">
        <v>4369</v>
      </c>
      <c r="E2541" t="s">
        <v>2543</v>
      </c>
    </row>
    <row r="2542" spans="1:5">
      <c r="A2542">
        <f>HYPERLINK("http://www.twitter.com/realDonaldTrump/status/732163930236260352", "732163930236260352")</f>
        <v>0</v>
      </c>
      <c r="B2542" s="2">
        <v>42506.4590046296</v>
      </c>
      <c r="C2542">
        <v>12418</v>
      </c>
      <c r="D2542">
        <v>4209</v>
      </c>
      <c r="E2542" t="s">
        <v>2544</v>
      </c>
    </row>
    <row r="2543" spans="1:5">
      <c r="A2543">
        <f>HYPERLINK("http://www.twitter.com/realDonaldTrump/status/732148805118885889", "732148805118885889")</f>
        <v>0</v>
      </c>
      <c r="B2543" s="2">
        <v>42506.4172685185</v>
      </c>
      <c r="C2543">
        <v>26085</v>
      </c>
      <c r="D2543">
        <v>9664</v>
      </c>
      <c r="E2543" t="s">
        <v>2545</v>
      </c>
    </row>
    <row r="2544" spans="1:5">
      <c r="A2544">
        <f>HYPERLINK("http://www.twitter.com/realDonaldTrump/status/732033604709191680", "732033604709191680")</f>
        <v>0</v>
      </c>
      <c r="B2544" s="2">
        <v>42506.099375</v>
      </c>
      <c r="C2544">
        <v>23565</v>
      </c>
      <c r="D2544">
        <v>9446</v>
      </c>
      <c r="E2544" t="s">
        <v>2546</v>
      </c>
    </row>
    <row r="2545" spans="1:5">
      <c r="A2545">
        <f>HYPERLINK("http://www.twitter.com/realDonaldTrump/status/732019210185003009", "732019210185003009")</f>
        <v>0</v>
      </c>
      <c r="B2545" s="2">
        <v>42506.0596527778</v>
      </c>
      <c r="C2545">
        <v>15545</v>
      </c>
      <c r="D2545">
        <v>5968</v>
      </c>
      <c r="E2545" t="s">
        <v>2547</v>
      </c>
    </row>
    <row r="2546" spans="1:5">
      <c r="A2546">
        <f>HYPERLINK("http://www.twitter.com/realDonaldTrump/status/731959001143988229", "731959001143988229")</f>
        <v>0</v>
      </c>
      <c r="B2546" s="2">
        <v>42505.8935069444</v>
      </c>
      <c r="C2546">
        <v>15991</v>
      </c>
      <c r="D2546">
        <v>4878</v>
      </c>
      <c r="E2546" t="s">
        <v>2548</v>
      </c>
    </row>
    <row r="2547" spans="1:5">
      <c r="A2547">
        <f>HYPERLINK("http://www.twitter.com/realDonaldTrump/status/731928825500717057", "731928825500717057")</f>
        <v>0</v>
      </c>
      <c r="B2547" s="2">
        <v>42505.8102430556</v>
      </c>
      <c r="C2547">
        <v>23778</v>
      </c>
      <c r="D2547">
        <v>8657</v>
      </c>
      <c r="E2547" t="s">
        <v>2549</v>
      </c>
    </row>
    <row r="2548" spans="1:5">
      <c r="A2548">
        <f>HYPERLINK("http://www.twitter.com/realDonaldTrump/status/731924988060651520", "731924988060651520")</f>
        <v>0</v>
      </c>
      <c r="B2548" s="2">
        <v>42505.7996527778</v>
      </c>
      <c r="C2548">
        <v>13511</v>
      </c>
      <c r="D2548">
        <v>4498</v>
      </c>
      <c r="E2548" t="s">
        <v>2550</v>
      </c>
    </row>
    <row r="2549" spans="1:5">
      <c r="A2549">
        <f>HYPERLINK("http://www.twitter.com/realDonaldTrump/status/731923681522397184", "731923681522397184")</f>
        <v>0</v>
      </c>
      <c r="B2549" s="2">
        <v>42505.7960416667</v>
      </c>
      <c r="C2549">
        <v>16143</v>
      </c>
      <c r="D2549">
        <v>4964</v>
      </c>
      <c r="E2549" t="s">
        <v>2551</v>
      </c>
    </row>
    <row r="2550" spans="1:5">
      <c r="A2550">
        <f>HYPERLINK("http://www.twitter.com/realDonaldTrump/status/731809410578808832", "731809410578808832")</f>
        <v>0</v>
      </c>
      <c r="B2550" s="2">
        <v>42505.4807175926</v>
      </c>
      <c r="C2550">
        <v>21495</v>
      </c>
      <c r="D2550">
        <v>8295</v>
      </c>
      <c r="E2550" t="s">
        <v>2552</v>
      </c>
    </row>
    <row r="2551" spans="1:5">
      <c r="A2551">
        <f>HYPERLINK("http://www.twitter.com/realDonaldTrump/status/731805331425218560", "731805331425218560")</f>
        <v>0</v>
      </c>
      <c r="B2551" s="2">
        <v>42505.4694560185</v>
      </c>
      <c r="C2551">
        <v>10859</v>
      </c>
      <c r="D2551">
        <v>3445</v>
      </c>
      <c r="E2551" t="s">
        <v>2553</v>
      </c>
    </row>
    <row r="2552" spans="1:5">
      <c r="A2552">
        <f>HYPERLINK("http://www.twitter.com/realDonaldTrump/status/731805070669557761", "731805070669557761")</f>
        <v>0</v>
      </c>
      <c r="B2552" s="2">
        <v>42505.4687384259</v>
      </c>
      <c r="C2552">
        <v>11270</v>
      </c>
      <c r="D2552">
        <v>3323</v>
      </c>
      <c r="E2552" t="s">
        <v>2554</v>
      </c>
    </row>
    <row r="2553" spans="1:5">
      <c r="A2553">
        <f>HYPERLINK("http://www.twitter.com/realDonaldTrump/status/731804642368212992", "731804642368212992")</f>
        <v>0</v>
      </c>
      <c r="B2553" s="2">
        <v>42505.4675578704</v>
      </c>
      <c r="C2553">
        <v>15978</v>
      </c>
      <c r="D2553">
        <v>5017</v>
      </c>
      <c r="E2553" t="s">
        <v>2555</v>
      </c>
    </row>
    <row r="2554" spans="1:5">
      <c r="A2554">
        <f>HYPERLINK("http://www.twitter.com/realDonaldTrump/status/731802331923263488", "731802331923263488")</f>
        <v>0</v>
      </c>
      <c r="B2554" s="2">
        <v>42505.4611805556</v>
      </c>
      <c r="C2554">
        <v>13562</v>
      </c>
      <c r="D2554">
        <v>4753</v>
      </c>
      <c r="E2554" t="s">
        <v>2556</v>
      </c>
    </row>
    <row r="2555" spans="1:5">
      <c r="A2555">
        <f>HYPERLINK("http://www.twitter.com/realDonaldTrump/status/731801917379219456", "731801917379219456")</f>
        <v>0</v>
      </c>
      <c r="B2555" s="2">
        <v>42505.4600347222</v>
      </c>
      <c r="C2555">
        <v>7435</v>
      </c>
      <c r="D2555">
        <v>2159</v>
      </c>
      <c r="E2555" t="s">
        <v>2557</v>
      </c>
    </row>
    <row r="2556" spans="1:5">
      <c r="A2556">
        <f>HYPERLINK("http://www.twitter.com/realDonaldTrump/status/731801374325776384", "731801374325776384")</f>
        <v>0</v>
      </c>
      <c r="B2556" s="2">
        <v>42505.4585416667</v>
      </c>
      <c r="C2556">
        <v>8420</v>
      </c>
      <c r="D2556">
        <v>2411</v>
      </c>
      <c r="E2556" t="s">
        <v>2558</v>
      </c>
    </row>
    <row r="2557" spans="1:5">
      <c r="A2557">
        <f>HYPERLINK("http://www.twitter.com/realDonaldTrump/status/731800205188796419", "731800205188796419")</f>
        <v>0</v>
      </c>
      <c r="B2557" s="2">
        <v>42505.4553125</v>
      </c>
      <c r="C2557">
        <v>12696</v>
      </c>
      <c r="D2557">
        <v>3822</v>
      </c>
      <c r="E2557" t="s">
        <v>2559</v>
      </c>
    </row>
    <row r="2558" spans="1:5">
      <c r="A2558">
        <f>HYPERLINK("http://www.twitter.com/realDonaldTrump/status/731798661580111872", "731798661580111872")</f>
        <v>0</v>
      </c>
      <c r="B2558" s="2">
        <v>42505.4510532407</v>
      </c>
      <c r="C2558">
        <v>7529</v>
      </c>
      <c r="D2558">
        <v>2190</v>
      </c>
      <c r="E2558" t="s">
        <v>2560</v>
      </c>
    </row>
    <row r="2559" spans="1:5">
      <c r="A2559">
        <f>HYPERLINK("http://www.twitter.com/realDonaldTrump/status/731666958979112960", "731666958979112960")</f>
        <v>0</v>
      </c>
      <c r="B2559" s="2">
        <v>42505.0876273148</v>
      </c>
      <c r="C2559">
        <v>11316</v>
      </c>
      <c r="D2559">
        <v>4187</v>
      </c>
      <c r="E2559" t="s">
        <v>2561</v>
      </c>
    </row>
    <row r="2560" spans="1:5">
      <c r="A2560">
        <f>HYPERLINK("http://www.twitter.com/realDonaldTrump/status/731503361774768129", "731503361774768129")</f>
        <v>0</v>
      </c>
      <c r="B2560" s="2">
        <v>42504.6361805556</v>
      </c>
      <c r="C2560">
        <v>25040</v>
      </c>
      <c r="D2560">
        <v>8191</v>
      </c>
      <c r="E2560" t="s">
        <v>2562</v>
      </c>
    </row>
    <row r="2561" spans="1:5">
      <c r="A2561">
        <f>HYPERLINK("http://www.twitter.com/realDonaldTrump/status/731501778873749505", "731501778873749505")</f>
        <v>0</v>
      </c>
      <c r="B2561" s="2">
        <v>42504.6318171296</v>
      </c>
      <c r="C2561">
        <v>32193</v>
      </c>
      <c r="D2561">
        <v>12678</v>
      </c>
      <c r="E2561" t="s">
        <v>2563</v>
      </c>
    </row>
    <row r="2562" spans="1:5">
      <c r="A2562">
        <f>HYPERLINK("http://www.twitter.com/realDonaldTrump/status/731288678451019776", "731288678451019776")</f>
        <v>0</v>
      </c>
      <c r="B2562" s="2">
        <v>42504.0437731482</v>
      </c>
      <c r="C2562">
        <v>32338</v>
      </c>
      <c r="D2562">
        <v>11386</v>
      </c>
      <c r="E2562" t="s">
        <v>2564</v>
      </c>
    </row>
    <row r="2563" spans="1:5">
      <c r="A2563">
        <f>HYPERLINK("http://www.twitter.com/realDonaldTrump/status/731220438530052096", "731220438530052096")</f>
        <v>0</v>
      </c>
      <c r="B2563" s="2">
        <v>42503.855462963</v>
      </c>
      <c r="C2563">
        <v>17060</v>
      </c>
      <c r="D2563">
        <v>6974</v>
      </c>
      <c r="E2563" t="s">
        <v>2565</v>
      </c>
    </row>
    <row r="2564" spans="1:5">
      <c r="A2564">
        <f>HYPERLINK("http://www.twitter.com/realDonaldTrump/status/731192363809394688", "731192363809394688")</f>
        <v>0</v>
      </c>
      <c r="B2564" s="2">
        <v>42503.7779976852</v>
      </c>
      <c r="C2564">
        <v>16490</v>
      </c>
      <c r="D2564">
        <v>6952</v>
      </c>
      <c r="E2564" t="s">
        <v>2566</v>
      </c>
    </row>
    <row r="2565" spans="1:5">
      <c r="A2565">
        <f>HYPERLINK("http://www.twitter.com/realDonaldTrump/status/730948897435176961", "730948897435176961")</f>
        <v>0</v>
      </c>
      <c r="B2565" s="2">
        <v>42503.1061574074</v>
      </c>
      <c r="C2565">
        <v>23448</v>
      </c>
      <c r="D2565">
        <v>5810</v>
      </c>
      <c r="E2565" t="s">
        <v>2567</v>
      </c>
    </row>
    <row r="2566" spans="1:5">
      <c r="A2566">
        <f>HYPERLINK("http://www.twitter.com/realDonaldTrump/status/730840541248819203", "730840541248819203")</f>
        <v>0</v>
      </c>
      <c r="B2566" s="2">
        <v>42502.8071527778</v>
      </c>
      <c r="C2566">
        <v>15390</v>
      </c>
      <c r="D2566">
        <v>4613</v>
      </c>
      <c r="E2566" t="s">
        <v>2568</v>
      </c>
    </row>
    <row r="2567" spans="1:5">
      <c r="A2567">
        <f>HYPERLINK("http://www.twitter.com/realDonaldTrump/status/730823012463742976", "730823012463742976")</f>
        <v>0</v>
      </c>
      <c r="B2567" s="2">
        <v>42502.7587731481</v>
      </c>
      <c r="C2567">
        <v>28687</v>
      </c>
      <c r="D2567">
        <v>8195</v>
      </c>
      <c r="E2567" t="s">
        <v>2569</v>
      </c>
    </row>
    <row r="2568" spans="1:5">
      <c r="A2568">
        <f>HYPERLINK("http://www.twitter.com/realDonaldTrump/status/730504511291265024", "730504511291265024")</f>
        <v>0</v>
      </c>
      <c r="B2568" s="2">
        <v>42501.8798842593</v>
      </c>
      <c r="C2568">
        <v>17019</v>
      </c>
      <c r="D2568">
        <v>5528</v>
      </c>
      <c r="E2568" t="s">
        <v>2570</v>
      </c>
    </row>
    <row r="2569" spans="1:5">
      <c r="A2569">
        <f>HYPERLINK("http://www.twitter.com/realDonaldTrump/status/730500562022760448", "730500562022760448")</f>
        <v>0</v>
      </c>
      <c r="B2569" s="2">
        <v>42501.8689814815</v>
      </c>
      <c r="C2569">
        <v>15391</v>
      </c>
      <c r="D2569">
        <v>4890</v>
      </c>
      <c r="E2569" t="s">
        <v>2571</v>
      </c>
    </row>
    <row r="2570" spans="1:5">
      <c r="A2570">
        <f>HYPERLINK("http://www.twitter.com/realDonaldTrump/status/730498173492445184", "730498173492445184")</f>
        <v>0</v>
      </c>
      <c r="B2570" s="2">
        <v>42501.8623958333</v>
      </c>
      <c r="C2570">
        <v>27169</v>
      </c>
      <c r="D2570">
        <v>9752</v>
      </c>
      <c r="E2570" t="s">
        <v>2572</v>
      </c>
    </row>
    <row r="2571" spans="1:5">
      <c r="A2571">
        <f>HYPERLINK("http://www.twitter.com/realDonaldTrump/status/730493295550468096", "730493295550468096")</f>
        <v>0</v>
      </c>
      <c r="B2571" s="2">
        <v>42501.8489351852</v>
      </c>
      <c r="C2571">
        <v>11822</v>
      </c>
      <c r="D2571">
        <v>3700</v>
      </c>
      <c r="E2571" t="s">
        <v>2573</v>
      </c>
    </row>
    <row r="2572" spans="1:5">
      <c r="A2572">
        <f>HYPERLINK("http://www.twitter.com/realDonaldTrump/status/730488544700010496", "730488544700010496")</f>
        <v>0</v>
      </c>
      <c r="B2572" s="2">
        <v>42501.8358217593</v>
      </c>
      <c r="C2572">
        <v>13490</v>
      </c>
      <c r="D2572">
        <v>4526</v>
      </c>
      <c r="E2572" t="s">
        <v>2574</v>
      </c>
    </row>
    <row r="2573" spans="1:5">
      <c r="A2573">
        <f>HYPERLINK("http://www.twitter.com/realDonaldTrump/status/730482068753424385", "730482068753424385")</f>
        <v>0</v>
      </c>
      <c r="B2573" s="2">
        <v>42501.8179513889</v>
      </c>
      <c r="C2573">
        <v>17332</v>
      </c>
      <c r="D2573">
        <v>5566</v>
      </c>
      <c r="E2573" t="s">
        <v>2575</v>
      </c>
    </row>
    <row r="2574" spans="1:5">
      <c r="A2574">
        <f>HYPERLINK("http://www.twitter.com/realDonaldTrump/status/730477118786801669", "730477118786801669")</f>
        <v>0</v>
      </c>
      <c r="B2574" s="2">
        <v>42501.8042939815</v>
      </c>
      <c r="C2574">
        <v>12968</v>
      </c>
      <c r="D2574">
        <v>4095</v>
      </c>
      <c r="E2574" t="s">
        <v>2576</v>
      </c>
    </row>
    <row r="2575" spans="1:5">
      <c r="A2575">
        <f>HYPERLINK("http://www.twitter.com/realDonaldTrump/status/730474838012366849", "730474838012366849")</f>
        <v>0</v>
      </c>
      <c r="B2575" s="2">
        <v>42501.7979976852</v>
      </c>
      <c r="C2575">
        <v>14119</v>
      </c>
      <c r="D2575">
        <v>4813</v>
      </c>
      <c r="E2575" t="s">
        <v>2577</v>
      </c>
    </row>
    <row r="2576" spans="1:5">
      <c r="A2576">
        <f>HYPERLINK("http://www.twitter.com/realDonaldTrump/status/730453302287142913", "730453302287142913")</f>
        <v>0</v>
      </c>
      <c r="B2576" s="2">
        <v>42501.7385763889</v>
      </c>
      <c r="C2576">
        <v>11702</v>
      </c>
      <c r="D2576">
        <v>3838</v>
      </c>
      <c r="E2576" t="s">
        <v>2578</v>
      </c>
    </row>
    <row r="2577" spans="1:5">
      <c r="A2577">
        <f>HYPERLINK("http://www.twitter.com/realDonaldTrump/status/730445388856098817", "730445388856098817")</f>
        <v>0</v>
      </c>
      <c r="B2577" s="2">
        <v>42501.7167361111</v>
      </c>
      <c r="C2577">
        <v>14512</v>
      </c>
      <c r="D2577">
        <v>4511</v>
      </c>
      <c r="E2577" t="s">
        <v>2579</v>
      </c>
    </row>
    <row r="2578" spans="1:5">
      <c r="A2578">
        <f>HYPERLINK("http://www.twitter.com/realDonaldTrump/status/730401662574182405", "730401662574182405")</f>
        <v>0</v>
      </c>
      <c r="B2578" s="2">
        <v>42501.5960763889</v>
      </c>
      <c r="C2578">
        <v>16639</v>
      </c>
      <c r="D2578">
        <v>5247</v>
      </c>
      <c r="E2578" t="s">
        <v>2580</v>
      </c>
    </row>
    <row r="2579" spans="1:5">
      <c r="A2579">
        <f>HYPERLINK("http://www.twitter.com/realDonaldTrump/status/730343346204508160", "730343346204508160")</f>
        <v>0</v>
      </c>
      <c r="B2579" s="2">
        <v>42501.435150463</v>
      </c>
      <c r="C2579">
        <v>31582</v>
      </c>
      <c r="D2579">
        <v>10271</v>
      </c>
      <c r="E2579" t="s">
        <v>2581</v>
      </c>
    </row>
    <row r="2580" spans="1:5">
      <c r="A2580">
        <f>HYPERLINK("http://www.twitter.com/realDonaldTrump/status/730342411835195393", "730342411835195393")</f>
        <v>0</v>
      </c>
      <c r="B2580" s="2">
        <v>42501.4325694444</v>
      </c>
      <c r="C2580">
        <v>18459</v>
      </c>
      <c r="D2580">
        <v>5587</v>
      </c>
      <c r="E2580" t="s">
        <v>2582</v>
      </c>
    </row>
    <row r="2581" spans="1:5">
      <c r="A2581">
        <f>HYPERLINK("http://www.twitter.com/realDonaldTrump/status/730201866416607233", "730201866416607233")</f>
        <v>0</v>
      </c>
      <c r="B2581" s="2">
        <v>42501.0447453704</v>
      </c>
      <c r="C2581">
        <v>18729</v>
      </c>
      <c r="D2581">
        <v>6430</v>
      </c>
      <c r="E2581" t="s">
        <v>2583</v>
      </c>
    </row>
    <row r="2582" spans="1:5">
      <c r="A2582">
        <f>HYPERLINK("http://www.twitter.com/realDonaldTrump/status/730187041825120257", "730187041825120257")</f>
        <v>0</v>
      </c>
      <c r="B2582" s="2">
        <v>42501.0038310185</v>
      </c>
      <c r="C2582">
        <v>20568</v>
      </c>
      <c r="D2582">
        <v>6960</v>
      </c>
      <c r="E2582" t="s">
        <v>2584</v>
      </c>
    </row>
    <row r="2583" spans="1:5">
      <c r="A2583">
        <f>HYPERLINK("http://www.twitter.com/realDonaldTrump/status/730129098010447873", "730129098010447873")</f>
        <v>0</v>
      </c>
      <c r="B2583" s="2">
        <v>42500.8439351852</v>
      </c>
      <c r="C2583">
        <v>0</v>
      </c>
      <c r="D2583">
        <v>4091</v>
      </c>
      <c r="E2583" t="s">
        <v>2585</v>
      </c>
    </row>
    <row r="2584" spans="1:5">
      <c r="A2584">
        <f>HYPERLINK("http://www.twitter.com/realDonaldTrump/status/730127671150129152", "730127671150129152")</f>
        <v>0</v>
      </c>
      <c r="B2584" s="2">
        <v>42500.84</v>
      </c>
      <c r="C2584">
        <v>0</v>
      </c>
      <c r="D2584">
        <v>4073</v>
      </c>
      <c r="E2584" t="s">
        <v>2586</v>
      </c>
    </row>
    <row r="2585" spans="1:5">
      <c r="A2585">
        <f>HYPERLINK("http://www.twitter.com/realDonaldTrump/status/730118084040724482", "730118084040724482")</f>
        <v>0</v>
      </c>
      <c r="B2585" s="2">
        <v>42500.8135416667</v>
      </c>
      <c r="C2585">
        <v>28965</v>
      </c>
      <c r="D2585">
        <v>10718</v>
      </c>
      <c r="E2585" t="s">
        <v>2587</v>
      </c>
    </row>
    <row r="2586" spans="1:5">
      <c r="A2586">
        <f>HYPERLINK("http://www.twitter.com/realDonaldTrump/status/730089913778065408", "730089913778065408")</f>
        <v>0</v>
      </c>
      <c r="B2586" s="2">
        <v>42500.7358101852</v>
      </c>
      <c r="C2586">
        <v>11666</v>
      </c>
      <c r="D2586">
        <v>4729</v>
      </c>
      <c r="E2586" t="s">
        <v>2588</v>
      </c>
    </row>
    <row r="2587" spans="1:5">
      <c r="A2587">
        <f>HYPERLINK("http://www.twitter.com/realDonaldTrump/status/730083435147055104", "730083435147055104")</f>
        <v>0</v>
      </c>
      <c r="B2587" s="2">
        <v>42500.7179282407</v>
      </c>
      <c r="C2587">
        <v>10896</v>
      </c>
      <c r="D2587">
        <v>3169</v>
      </c>
      <c r="E2587" t="s">
        <v>2589</v>
      </c>
    </row>
    <row r="2588" spans="1:5">
      <c r="A2588">
        <f>HYPERLINK("http://www.twitter.com/realDonaldTrump/status/730069558132932609", "730069558132932609")</f>
        <v>0</v>
      </c>
      <c r="B2588" s="2">
        <v>42500.6796412037</v>
      </c>
      <c r="C2588">
        <v>18727</v>
      </c>
      <c r="D2588">
        <v>5162</v>
      </c>
      <c r="E2588" t="s">
        <v>2590</v>
      </c>
    </row>
    <row r="2589" spans="1:5">
      <c r="A2589">
        <f>HYPERLINK("http://www.twitter.com/realDonaldTrump/status/730059920280793088", "730059920280793088")</f>
        <v>0</v>
      </c>
      <c r="B2589" s="2">
        <v>42500.6530439815</v>
      </c>
      <c r="C2589">
        <v>7646</v>
      </c>
      <c r="D2589">
        <v>2765</v>
      </c>
      <c r="E2589" t="s">
        <v>2591</v>
      </c>
    </row>
    <row r="2590" spans="1:5">
      <c r="A2590">
        <f>HYPERLINK("http://www.twitter.com/realDonaldTrump/status/730054891897536514", "730054891897536514")</f>
        <v>0</v>
      </c>
      <c r="B2590" s="2">
        <v>42500.6391666667</v>
      </c>
      <c r="C2590">
        <v>10507</v>
      </c>
      <c r="D2590">
        <v>4149</v>
      </c>
      <c r="E2590" t="s">
        <v>2592</v>
      </c>
    </row>
    <row r="2591" spans="1:5">
      <c r="A2591">
        <f>HYPERLINK("http://www.twitter.com/realDonaldTrump/status/730054583700078592", "730054583700078592")</f>
        <v>0</v>
      </c>
      <c r="B2591" s="2">
        <v>42500.6383217593</v>
      </c>
      <c r="C2591">
        <v>8775</v>
      </c>
      <c r="D2591">
        <v>3324</v>
      </c>
      <c r="E2591" t="s">
        <v>2593</v>
      </c>
    </row>
    <row r="2592" spans="1:5">
      <c r="A2592">
        <f>HYPERLINK("http://www.twitter.com/realDonaldTrump/status/730035627945775104", "730035627945775104")</f>
        <v>0</v>
      </c>
      <c r="B2592" s="2">
        <v>42500.5860069444</v>
      </c>
      <c r="C2592">
        <v>19801</v>
      </c>
      <c r="D2592">
        <v>6241</v>
      </c>
      <c r="E2592" t="s">
        <v>2594</v>
      </c>
    </row>
    <row r="2593" spans="1:5">
      <c r="A2593">
        <f>HYPERLINK("http://www.twitter.com/realDonaldTrump/status/730034041760690176", "730034041760690176")</f>
        <v>0</v>
      </c>
      <c r="B2593" s="2">
        <v>42500.5816319444</v>
      </c>
      <c r="C2593">
        <v>9501</v>
      </c>
      <c r="D2593">
        <v>3007</v>
      </c>
      <c r="E2593" t="s">
        <v>2595</v>
      </c>
    </row>
    <row r="2594" spans="1:5">
      <c r="A2594">
        <f>HYPERLINK("http://www.twitter.com/realDonaldTrump/status/730018836808933376", "730018836808933376")</f>
        <v>0</v>
      </c>
      <c r="B2594" s="2">
        <v>42500.5396759259</v>
      </c>
      <c r="C2594">
        <v>19369</v>
      </c>
      <c r="D2594">
        <v>7466</v>
      </c>
      <c r="E2594" t="s">
        <v>2596</v>
      </c>
    </row>
    <row r="2595" spans="1:5">
      <c r="A2595">
        <f>HYPERLINK("http://www.twitter.com/realDonaldTrump/status/729997397884047360", "729997397884047360")</f>
        <v>0</v>
      </c>
      <c r="B2595" s="2">
        <v>42500.4805208333</v>
      </c>
      <c r="C2595">
        <v>8450</v>
      </c>
      <c r="D2595">
        <v>2260</v>
      </c>
      <c r="E2595" t="s">
        <v>2597</v>
      </c>
    </row>
    <row r="2596" spans="1:5">
      <c r="A2596">
        <f>HYPERLINK("http://www.twitter.com/realDonaldTrump/status/729981270328000512", "729981270328000512")</f>
        <v>0</v>
      </c>
      <c r="B2596" s="2">
        <v>42500.4360069444</v>
      </c>
      <c r="C2596">
        <v>13173</v>
      </c>
      <c r="D2596">
        <v>4526</v>
      </c>
      <c r="E2596" t="s">
        <v>2598</v>
      </c>
    </row>
    <row r="2597" spans="1:5">
      <c r="A2597">
        <f>HYPERLINK("http://www.twitter.com/realDonaldTrump/status/729979461404340224", "729979461404340224")</f>
        <v>0</v>
      </c>
      <c r="B2597" s="2">
        <v>42500.4310185185</v>
      </c>
      <c r="C2597">
        <v>12761</v>
      </c>
      <c r="D2597">
        <v>4658</v>
      </c>
      <c r="E2597" t="s">
        <v>2599</v>
      </c>
    </row>
    <row r="2598" spans="1:5">
      <c r="A2598">
        <f>HYPERLINK("http://www.twitter.com/realDonaldTrump/status/729857410446336000", "729857410446336000")</f>
        <v>0</v>
      </c>
      <c r="B2598" s="2">
        <v>42500.094224537</v>
      </c>
      <c r="C2598">
        <v>15004</v>
      </c>
      <c r="D2598">
        <v>5159</v>
      </c>
      <c r="E2598" t="s">
        <v>2600</v>
      </c>
    </row>
    <row r="2599" spans="1:5">
      <c r="A2599">
        <f>HYPERLINK("http://www.twitter.com/realDonaldTrump/status/729775453704179713", "729775453704179713")</f>
        <v>0</v>
      </c>
      <c r="B2599" s="2">
        <v>42499.8680671296</v>
      </c>
      <c r="C2599">
        <v>9960</v>
      </c>
      <c r="D2599">
        <v>3803</v>
      </c>
      <c r="E2599" t="s">
        <v>2601</v>
      </c>
    </row>
    <row r="2600" spans="1:5">
      <c r="A2600">
        <f>HYPERLINK("http://www.twitter.com/realDonaldTrump/status/729771731003551744", "729771731003551744")</f>
        <v>0</v>
      </c>
      <c r="B2600" s="2">
        <v>42499.8577893519</v>
      </c>
      <c r="C2600">
        <v>0</v>
      </c>
      <c r="D2600">
        <v>4525</v>
      </c>
      <c r="E2600" t="s">
        <v>2602</v>
      </c>
    </row>
    <row r="2601" spans="1:5">
      <c r="A2601">
        <f>HYPERLINK("http://www.twitter.com/realDonaldTrump/status/729722941521469442", "729722941521469442")</f>
        <v>0</v>
      </c>
      <c r="B2601" s="2">
        <v>42499.7231597222</v>
      </c>
      <c r="C2601">
        <v>19570</v>
      </c>
      <c r="D2601">
        <v>6651</v>
      </c>
      <c r="E2601" t="s">
        <v>2603</v>
      </c>
    </row>
    <row r="2602" spans="1:5">
      <c r="A2602">
        <f>HYPERLINK("http://www.twitter.com/realDonaldTrump/status/729717317467246592", "729717317467246592")</f>
        <v>0</v>
      </c>
      <c r="B2602" s="2">
        <v>42499.7076388889</v>
      </c>
      <c r="C2602">
        <v>17387</v>
      </c>
      <c r="D2602">
        <v>5468</v>
      </c>
      <c r="E2602" t="s">
        <v>2604</v>
      </c>
    </row>
    <row r="2603" spans="1:5">
      <c r="A2603">
        <f>HYPERLINK("http://www.twitter.com/realDonaldTrump/status/729717006749052928", "729717006749052928")</f>
        <v>0</v>
      </c>
      <c r="B2603" s="2">
        <v>42499.7067824074</v>
      </c>
      <c r="C2603">
        <v>16576</v>
      </c>
      <c r="D2603">
        <v>4891</v>
      </c>
      <c r="E2603" t="s">
        <v>2605</v>
      </c>
    </row>
    <row r="2604" spans="1:5">
      <c r="A2604">
        <f>HYPERLINK("http://www.twitter.com/realDonaldTrump/status/729716712124362754", "729716712124362754")</f>
        <v>0</v>
      </c>
      <c r="B2604" s="2">
        <v>42499.7059722222</v>
      </c>
      <c r="C2604">
        <v>17970</v>
      </c>
      <c r="D2604">
        <v>5894</v>
      </c>
      <c r="E2604" t="s">
        <v>2606</v>
      </c>
    </row>
    <row r="2605" spans="1:5">
      <c r="A2605">
        <f>HYPERLINK("http://www.twitter.com/realDonaldTrump/status/729691263092543488", "729691263092543488")</f>
        <v>0</v>
      </c>
      <c r="B2605" s="2">
        <v>42499.6357407407</v>
      </c>
      <c r="C2605">
        <v>7310</v>
      </c>
      <c r="D2605">
        <v>3101</v>
      </c>
      <c r="E2605" t="s">
        <v>2607</v>
      </c>
    </row>
    <row r="2606" spans="1:5">
      <c r="A2606">
        <f>HYPERLINK("http://www.twitter.com/realDonaldTrump/status/729690751781748736", "729690751781748736")</f>
        <v>0</v>
      </c>
      <c r="B2606" s="2">
        <v>42499.6343287037</v>
      </c>
      <c r="C2606">
        <v>6974</v>
      </c>
      <c r="D2606">
        <v>2942</v>
      </c>
      <c r="E2606" t="s">
        <v>2608</v>
      </c>
    </row>
    <row r="2607" spans="1:5">
      <c r="A2607">
        <f>HYPERLINK("http://www.twitter.com/realDonaldTrump/status/729646520568524802", "729646520568524802")</f>
        <v>0</v>
      </c>
      <c r="B2607" s="2">
        <v>42499.5122800926</v>
      </c>
      <c r="C2607">
        <v>9249</v>
      </c>
      <c r="D2607">
        <v>4275</v>
      </c>
      <c r="E2607" t="s">
        <v>2609</v>
      </c>
    </row>
    <row r="2608" spans="1:5">
      <c r="A2608">
        <f>HYPERLINK("http://www.twitter.com/realDonaldTrump/status/729645861089775616", "729645861089775616")</f>
        <v>0</v>
      </c>
      <c r="B2608" s="2">
        <v>42499.510462963</v>
      </c>
      <c r="C2608">
        <v>9940</v>
      </c>
      <c r="D2608">
        <v>3488</v>
      </c>
      <c r="E2608" t="s">
        <v>2610</v>
      </c>
    </row>
    <row r="2609" spans="1:5">
      <c r="A2609">
        <f>HYPERLINK("http://www.twitter.com/realDonaldTrump/status/729643519846055936", "729643519846055936")</f>
        <v>0</v>
      </c>
      <c r="B2609" s="2">
        <v>42499.5039930556</v>
      </c>
      <c r="C2609">
        <v>6996</v>
      </c>
      <c r="D2609">
        <v>1919</v>
      </c>
      <c r="E2609" t="s">
        <v>2611</v>
      </c>
    </row>
    <row r="2610" spans="1:5">
      <c r="A2610">
        <f>HYPERLINK("http://www.twitter.com/realDonaldTrump/status/729635334116544512", "729635334116544512")</f>
        <v>0</v>
      </c>
      <c r="B2610" s="2">
        <v>42499.481412037</v>
      </c>
      <c r="C2610">
        <v>5445</v>
      </c>
      <c r="D2610">
        <v>1156</v>
      </c>
      <c r="E2610" t="s">
        <v>2612</v>
      </c>
    </row>
    <row r="2611" spans="1:5">
      <c r="A2611">
        <f>HYPERLINK("http://www.twitter.com/realDonaldTrump/status/729633186913882113", "729633186913882113")</f>
        <v>0</v>
      </c>
      <c r="B2611" s="2">
        <v>42499.4754861111</v>
      </c>
      <c r="C2611">
        <v>6586</v>
      </c>
      <c r="D2611">
        <v>1656</v>
      </c>
      <c r="E2611" t="s">
        <v>2613</v>
      </c>
    </row>
    <row r="2612" spans="1:5">
      <c r="A2612">
        <f>HYPERLINK("http://www.twitter.com/realDonaldTrump/status/729621735717351424", "729621735717351424")</f>
        <v>0</v>
      </c>
      <c r="B2612" s="2">
        <v>42499.4438888889</v>
      </c>
      <c r="C2612">
        <v>10444</v>
      </c>
      <c r="D2612">
        <v>3443</v>
      </c>
      <c r="E2612" t="s">
        <v>2614</v>
      </c>
    </row>
    <row r="2613" spans="1:5">
      <c r="A2613">
        <f>HYPERLINK("http://www.twitter.com/realDonaldTrump/status/729618676748570625", "729618676748570625")</f>
        <v>0</v>
      </c>
      <c r="B2613" s="2">
        <v>42499.4354398148</v>
      </c>
      <c r="C2613">
        <v>5564</v>
      </c>
      <c r="D2613">
        <v>1214</v>
      </c>
      <c r="E2613" t="s">
        <v>2615</v>
      </c>
    </row>
    <row r="2614" spans="1:5">
      <c r="A2614">
        <f>HYPERLINK("http://www.twitter.com/realDonaldTrump/status/729613336191586304", "729613336191586304")</f>
        <v>0</v>
      </c>
      <c r="B2614" s="2">
        <v>42499.4207060185</v>
      </c>
      <c r="C2614">
        <v>7156</v>
      </c>
      <c r="D2614">
        <v>2211</v>
      </c>
      <c r="E2614" t="s">
        <v>2616</v>
      </c>
    </row>
    <row r="2615" spans="1:5">
      <c r="A2615">
        <f>HYPERLINK("http://www.twitter.com/realDonaldTrump/status/729609208853897216", "729609208853897216")</f>
        <v>0</v>
      </c>
      <c r="B2615" s="2">
        <v>42499.4093171296</v>
      </c>
      <c r="C2615">
        <v>5065</v>
      </c>
      <c r="D2615">
        <v>1399</v>
      </c>
      <c r="E2615" t="s">
        <v>2617</v>
      </c>
    </row>
    <row r="2616" spans="1:5">
      <c r="A2616">
        <f>HYPERLINK("http://www.twitter.com/realDonaldTrump/status/729605529417465856", "729605529417465856")</f>
        <v>0</v>
      </c>
      <c r="B2616" s="2">
        <v>42499.3991666667</v>
      </c>
      <c r="C2616">
        <v>5139</v>
      </c>
      <c r="D2616">
        <v>1136</v>
      </c>
      <c r="E2616" t="s">
        <v>2618</v>
      </c>
    </row>
    <row r="2617" spans="1:5">
      <c r="A2617">
        <f>HYPERLINK("http://www.twitter.com/realDonaldTrump/status/729604845716516864", "729604845716516864")</f>
        <v>0</v>
      </c>
      <c r="B2617" s="2">
        <v>42499.3972800926</v>
      </c>
      <c r="C2617">
        <v>22145</v>
      </c>
      <c r="D2617">
        <v>7835</v>
      </c>
      <c r="E2617" t="s">
        <v>2619</v>
      </c>
    </row>
    <row r="2618" spans="1:5">
      <c r="A2618">
        <f>HYPERLINK("http://www.twitter.com/realDonaldTrump/status/729492093522067456", "729492093522067456")</f>
        <v>0</v>
      </c>
      <c r="B2618" s="2">
        <v>42499.0861458333</v>
      </c>
      <c r="C2618">
        <v>7291</v>
      </c>
      <c r="D2618">
        <v>1625</v>
      </c>
      <c r="E2618" t="s">
        <v>2620</v>
      </c>
    </row>
    <row r="2619" spans="1:5">
      <c r="A2619">
        <f>HYPERLINK("http://www.twitter.com/realDonaldTrump/status/729404337164783617", "729404337164783617")</f>
        <v>0</v>
      </c>
      <c r="B2619" s="2">
        <v>42498.8439814815</v>
      </c>
      <c r="C2619">
        <v>25185</v>
      </c>
      <c r="D2619">
        <v>8882</v>
      </c>
      <c r="E2619" t="s">
        <v>2621</v>
      </c>
    </row>
    <row r="2620" spans="1:5">
      <c r="A2620">
        <f>HYPERLINK("http://www.twitter.com/realDonaldTrump/status/729332727665790976", "729332727665790976")</f>
        <v>0</v>
      </c>
      <c r="B2620" s="2">
        <v>42498.6463773148</v>
      </c>
      <c r="C2620">
        <v>11138</v>
      </c>
      <c r="D2620">
        <v>3196</v>
      </c>
      <c r="E2620" t="s">
        <v>2622</v>
      </c>
    </row>
    <row r="2621" spans="1:5">
      <c r="A2621">
        <f>HYPERLINK("http://www.twitter.com/realDonaldTrump/status/729301847031349250", "729301847031349250")</f>
        <v>0</v>
      </c>
      <c r="B2621" s="2">
        <v>42498.5611574074</v>
      </c>
      <c r="C2621">
        <v>7853</v>
      </c>
      <c r="D2621">
        <v>1658</v>
      </c>
      <c r="E2621" t="s">
        <v>2623</v>
      </c>
    </row>
    <row r="2622" spans="1:5">
      <c r="A2622">
        <f>HYPERLINK("http://www.twitter.com/realDonaldTrump/status/729301192325668864", "729301192325668864")</f>
        <v>0</v>
      </c>
      <c r="B2622" s="2">
        <v>42498.5593518519</v>
      </c>
      <c r="C2622">
        <v>7521</v>
      </c>
      <c r="D2622">
        <v>1649</v>
      </c>
      <c r="E2622" t="s">
        <v>2624</v>
      </c>
    </row>
    <row r="2623" spans="1:5">
      <c r="A2623">
        <f>HYPERLINK("http://www.twitter.com/realDonaldTrump/status/729291290848956416", "729291290848956416")</f>
        <v>0</v>
      </c>
      <c r="B2623" s="2">
        <v>42498.532025463</v>
      </c>
      <c r="C2623">
        <v>16445</v>
      </c>
      <c r="D2623">
        <v>5092</v>
      </c>
      <c r="E2623" t="s">
        <v>2625</v>
      </c>
    </row>
    <row r="2624" spans="1:5">
      <c r="A2624">
        <f>HYPERLINK("http://www.twitter.com/realDonaldTrump/status/729188558200786944", "729188558200786944")</f>
        <v>0</v>
      </c>
      <c r="B2624" s="2">
        <v>42498.2485416667</v>
      </c>
      <c r="C2624">
        <v>12574</v>
      </c>
      <c r="D2624">
        <v>3800</v>
      </c>
      <c r="E2624" t="s">
        <v>2626</v>
      </c>
    </row>
    <row r="2625" spans="1:5">
      <c r="A2625">
        <f>HYPERLINK("http://www.twitter.com/realDonaldTrump/status/729121112148353025", "729121112148353025")</f>
        <v>0</v>
      </c>
      <c r="B2625" s="2">
        <v>42498.0624305556</v>
      </c>
      <c r="C2625">
        <v>10711</v>
      </c>
      <c r="D2625">
        <v>2747</v>
      </c>
      <c r="E2625" t="s">
        <v>2627</v>
      </c>
    </row>
    <row r="2626" spans="1:5">
      <c r="A2626">
        <f>HYPERLINK("http://www.twitter.com/realDonaldTrump/status/729004564075012096", "729004564075012096")</f>
        <v>0</v>
      </c>
      <c r="B2626" s="2">
        <v>42497.7408101852</v>
      </c>
      <c r="C2626">
        <v>26399</v>
      </c>
      <c r="D2626">
        <v>9729</v>
      </c>
      <c r="E2626" t="s">
        <v>2628</v>
      </c>
    </row>
    <row r="2627" spans="1:5">
      <c r="A2627">
        <f>HYPERLINK("http://www.twitter.com/realDonaldTrump/status/728976091428233216", "728976091428233216")</f>
        <v>0</v>
      </c>
      <c r="B2627" s="2">
        <v>42497.6622453704</v>
      </c>
      <c r="C2627">
        <v>22134</v>
      </c>
      <c r="D2627">
        <v>7379</v>
      </c>
      <c r="E2627" t="s">
        <v>2629</v>
      </c>
    </row>
    <row r="2628" spans="1:5">
      <c r="A2628">
        <f>HYPERLINK("http://www.twitter.com/realDonaldTrump/status/728974420807581696", "728974420807581696")</f>
        <v>0</v>
      </c>
      <c r="B2628" s="2">
        <v>42497.6576388889</v>
      </c>
      <c r="C2628">
        <v>19652</v>
      </c>
      <c r="D2628">
        <v>6710</v>
      </c>
      <c r="E2628" t="s">
        <v>2630</v>
      </c>
    </row>
    <row r="2629" spans="1:5">
      <c r="A2629">
        <f>HYPERLINK("http://www.twitter.com/realDonaldTrump/status/728971726533578753", "728971726533578753")</f>
        <v>0</v>
      </c>
      <c r="B2629" s="2">
        <v>42497.6501967593</v>
      </c>
      <c r="C2629">
        <v>8484</v>
      </c>
      <c r="D2629">
        <v>2681</v>
      </c>
      <c r="E2629" t="s">
        <v>2631</v>
      </c>
    </row>
    <row r="2630" spans="1:5">
      <c r="A2630">
        <f>HYPERLINK("http://www.twitter.com/realDonaldTrump/status/728777599560892416", "728777599560892416")</f>
        <v>0</v>
      </c>
      <c r="B2630" s="2">
        <v>42497.1145138889</v>
      </c>
      <c r="C2630">
        <v>21630</v>
      </c>
      <c r="D2630">
        <v>7066</v>
      </c>
      <c r="E2630" t="s">
        <v>2632</v>
      </c>
    </row>
    <row r="2631" spans="1:5">
      <c r="A2631">
        <f>HYPERLINK("http://www.twitter.com/realDonaldTrump/status/728777556804153346", "728777556804153346")</f>
        <v>0</v>
      </c>
      <c r="B2631" s="2">
        <v>42497.1143981482</v>
      </c>
      <c r="C2631">
        <v>20817</v>
      </c>
      <c r="D2631">
        <v>6873</v>
      </c>
      <c r="E2631" t="s">
        <v>2633</v>
      </c>
    </row>
    <row r="2632" spans="1:5">
      <c r="A2632">
        <f>HYPERLINK("http://www.twitter.com/realDonaldTrump/status/728740257512992768", "728740257512992768")</f>
        <v>0</v>
      </c>
      <c r="B2632" s="2">
        <v>42497.0114699074</v>
      </c>
      <c r="C2632">
        <v>22587</v>
      </c>
      <c r="D2632">
        <v>8429</v>
      </c>
      <c r="E2632" t="s">
        <v>2634</v>
      </c>
    </row>
    <row r="2633" spans="1:5">
      <c r="A2633">
        <f>HYPERLINK("http://www.twitter.com/realDonaldTrump/status/728739851823153152", "728739851823153152")</f>
        <v>0</v>
      </c>
      <c r="B2633" s="2">
        <v>42497.0103472222</v>
      </c>
      <c r="C2633">
        <v>20393</v>
      </c>
      <c r="D2633">
        <v>7222</v>
      </c>
      <c r="E2633" t="s">
        <v>2635</v>
      </c>
    </row>
    <row r="2634" spans="1:5">
      <c r="A2634">
        <f>HYPERLINK("http://www.twitter.com/realDonaldTrump/status/728725179074023425", "728725179074023425")</f>
        <v>0</v>
      </c>
      <c r="B2634" s="2">
        <v>42496.9698611111</v>
      </c>
      <c r="C2634">
        <v>19102</v>
      </c>
      <c r="D2634">
        <v>6726</v>
      </c>
      <c r="E2634" t="s">
        <v>2636</v>
      </c>
    </row>
    <row r="2635" spans="1:5">
      <c r="A2635">
        <f>HYPERLINK("http://www.twitter.com/realDonaldTrump/status/728725098409164801", "728725098409164801")</f>
        <v>0</v>
      </c>
      <c r="B2635" s="2">
        <v>42496.9696412037</v>
      </c>
      <c r="C2635">
        <v>17608</v>
      </c>
      <c r="D2635">
        <v>6034</v>
      </c>
      <c r="E2635" t="s">
        <v>2637</v>
      </c>
    </row>
    <row r="2636" spans="1:5">
      <c r="A2636">
        <f>HYPERLINK("http://www.twitter.com/realDonaldTrump/status/728725020109877248", "728725020109877248")</f>
        <v>0</v>
      </c>
      <c r="B2636" s="2">
        <v>42496.9694212963</v>
      </c>
      <c r="C2636">
        <v>24667</v>
      </c>
      <c r="D2636">
        <v>8280</v>
      </c>
      <c r="E2636" t="s">
        <v>2638</v>
      </c>
    </row>
    <row r="2637" spans="1:5">
      <c r="A2637">
        <f>HYPERLINK("http://www.twitter.com/realDonaldTrump/status/728691238166220801", "728691238166220801")</f>
        <v>0</v>
      </c>
      <c r="B2637" s="2">
        <v>42496.8762037037</v>
      </c>
      <c r="C2637">
        <v>8858</v>
      </c>
      <c r="D2637">
        <v>3330</v>
      </c>
      <c r="E2637" t="s">
        <v>2639</v>
      </c>
    </row>
    <row r="2638" spans="1:5">
      <c r="A2638">
        <f>HYPERLINK("http://www.twitter.com/realDonaldTrump/status/728651908563517440", "728651908563517440")</f>
        <v>0</v>
      </c>
      <c r="B2638" s="2">
        <v>42496.7676736111</v>
      </c>
      <c r="C2638">
        <v>10638</v>
      </c>
      <c r="D2638">
        <v>4134</v>
      </c>
      <c r="E2638" t="s">
        <v>2640</v>
      </c>
    </row>
    <row r="2639" spans="1:5">
      <c r="A2639">
        <f>HYPERLINK("http://www.twitter.com/realDonaldTrump/status/728646402985869312", "728646402985869312")</f>
        <v>0</v>
      </c>
      <c r="B2639" s="2">
        <v>42496.7524768518</v>
      </c>
      <c r="C2639">
        <v>12195</v>
      </c>
      <c r="D2639">
        <v>3748</v>
      </c>
      <c r="E2639" t="s">
        <v>2641</v>
      </c>
    </row>
    <row r="2640" spans="1:5">
      <c r="A2640">
        <f>HYPERLINK("http://www.twitter.com/realDonaldTrump/status/728617415332999171", "728617415332999171")</f>
        <v>0</v>
      </c>
      <c r="B2640" s="2">
        <v>42496.6724884259</v>
      </c>
      <c r="C2640">
        <v>23775</v>
      </c>
      <c r="D2640">
        <v>8117</v>
      </c>
      <c r="E2640" t="s">
        <v>2642</v>
      </c>
    </row>
    <row r="2641" spans="1:5">
      <c r="A2641">
        <f>HYPERLINK("http://www.twitter.com/realDonaldTrump/status/728564631313190912", "728564631313190912")</f>
        <v>0</v>
      </c>
      <c r="B2641" s="2">
        <v>42496.5268287037</v>
      </c>
      <c r="C2641">
        <v>28793</v>
      </c>
      <c r="D2641">
        <v>10217</v>
      </c>
      <c r="E2641" t="s">
        <v>2643</v>
      </c>
    </row>
    <row r="2642" spans="1:5">
      <c r="A2642">
        <f>HYPERLINK("http://www.twitter.com/realDonaldTrump/status/728557074163060736", "728557074163060736")</f>
        <v>0</v>
      </c>
      <c r="B2642" s="2">
        <v>42496.5059837963</v>
      </c>
      <c r="C2642">
        <v>39619</v>
      </c>
      <c r="D2642">
        <v>13365</v>
      </c>
      <c r="E2642" t="s">
        <v>2644</v>
      </c>
    </row>
    <row r="2643" spans="1:5">
      <c r="A2643">
        <f>HYPERLINK("http://www.twitter.com/realDonaldTrump/status/728552471677775872", "728552471677775872")</f>
        <v>0</v>
      </c>
      <c r="B2643" s="2">
        <v>42496.493275463</v>
      </c>
      <c r="C2643">
        <v>9180</v>
      </c>
      <c r="D2643">
        <v>2550</v>
      </c>
      <c r="E2643" t="s">
        <v>2645</v>
      </c>
    </row>
    <row r="2644" spans="1:5">
      <c r="A2644">
        <f>HYPERLINK("http://www.twitter.com/realDonaldTrump/status/728531431824166912", "728531431824166912")</f>
        <v>0</v>
      </c>
      <c r="B2644" s="2">
        <v>42496.4352199074</v>
      </c>
      <c r="C2644">
        <v>18452</v>
      </c>
      <c r="D2644">
        <v>5859</v>
      </c>
      <c r="E2644" t="s">
        <v>2646</v>
      </c>
    </row>
    <row r="2645" spans="1:5">
      <c r="A2645">
        <f>HYPERLINK("http://www.twitter.com/realDonaldTrump/status/728529524468682754", "728529524468682754")</f>
        <v>0</v>
      </c>
      <c r="B2645" s="2">
        <v>42496.4299537037</v>
      </c>
      <c r="C2645">
        <v>22195</v>
      </c>
      <c r="D2645">
        <v>6589</v>
      </c>
      <c r="E2645" t="s">
        <v>2647</v>
      </c>
    </row>
    <row r="2646" spans="1:5">
      <c r="A2646">
        <f>HYPERLINK("http://www.twitter.com/realDonaldTrump/status/728528466765844480", "728528466765844480")</f>
        <v>0</v>
      </c>
      <c r="B2646" s="2">
        <v>42496.427037037</v>
      </c>
      <c r="C2646">
        <v>21316</v>
      </c>
      <c r="D2646">
        <v>7070</v>
      </c>
      <c r="E2646" t="s">
        <v>2648</v>
      </c>
    </row>
    <row r="2647" spans="1:5">
      <c r="A2647">
        <f>HYPERLINK("http://www.twitter.com/realDonaldTrump/status/728423832848044032", "728423832848044032")</f>
        <v>0</v>
      </c>
      <c r="B2647" s="2">
        <v>42496.1382986111</v>
      </c>
      <c r="C2647">
        <v>17528</v>
      </c>
      <c r="D2647">
        <v>6418</v>
      </c>
      <c r="E2647" t="s">
        <v>2649</v>
      </c>
    </row>
    <row r="2648" spans="1:5">
      <c r="A2648">
        <f>HYPERLINK("http://www.twitter.com/realDonaldTrump/status/728403179214376960", "728403179214376960")</f>
        <v>0</v>
      </c>
      <c r="B2648" s="2">
        <v>42496.0813078704</v>
      </c>
      <c r="C2648">
        <v>26785</v>
      </c>
      <c r="D2648">
        <v>9961</v>
      </c>
      <c r="E2648" t="s">
        <v>2650</v>
      </c>
    </row>
    <row r="2649" spans="1:5">
      <c r="A2649">
        <f>HYPERLINK("http://www.twitter.com/realDonaldTrump/status/728365792077742080", "728365792077742080")</f>
        <v>0</v>
      </c>
      <c r="B2649" s="2">
        <v>42495.9781365741</v>
      </c>
      <c r="C2649">
        <v>8802</v>
      </c>
      <c r="D2649">
        <v>3401</v>
      </c>
      <c r="E2649" t="s">
        <v>2651</v>
      </c>
    </row>
    <row r="2650" spans="1:5">
      <c r="A2650">
        <f>HYPERLINK("http://www.twitter.com/realDonaldTrump/status/728305900415533056", "728305900415533056")</f>
        <v>0</v>
      </c>
      <c r="B2650" s="2">
        <v>42495.8128703704</v>
      </c>
      <c r="C2650">
        <v>34264</v>
      </c>
      <c r="D2650">
        <v>12163</v>
      </c>
      <c r="E2650" t="s">
        <v>2652</v>
      </c>
    </row>
    <row r="2651" spans="1:5">
      <c r="A2651">
        <f>HYPERLINK("http://www.twitter.com/realDonaldTrump/status/728297587418247168", "728297587418247168")</f>
        <v>0</v>
      </c>
      <c r="B2651" s="2">
        <v>42495.7899305556</v>
      </c>
      <c r="C2651">
        <v>119611</v>
      </c>
      <c r="D2651">
        <v>85212</v>
      </c>
      <c r="E2651" t="s">
        <v>2653</v>
      </c>
    </row>
    <row r="2652" spans="1:5">
      <c r="A2652">
        <f>HYPERLINK("http://www.twitter.com/realDonaldTrump/status/728292625850208256", "728292625850208256")</f>
        <v>0</v>
      </c>
      <c r="B2652" s="2">
        <v>42495.7762384259</v>
      </c>
      <c r="C2652">
        <v>7693</v>
      </c>
      <c r="D2652">
        <v>2159</v>
      </c>
      <c r="E2652" t="s">
        <v>2654</v>
      </c>
    </row>
    <row r="2653" spans="1:5">
      <c r="A2653">
        <f>HYPERLINK("http://www.twitter.com/realDonaldTrump/status/728230182981611520", "728230182981611520")</f>
        <v>0</v>
      </c>
      <c r="B2653" s="2">
        <v>42495.6039351852</v>
      </c>
      <c r="C2653">
        <v>11916</v>
      </c>
      <c r="D2653">
        <v>3318</v>
      </c>
      <c r="E2653" t="s">
        <v>2655</v>
      </c>
    </row>
    <row r="2654" spans="1:5">
      <c r="A2654">
        <f>HYPERLINK("http://www.twitter.com/realDonaldTrump/status/727898352965259268", "727898352965259268")</f>
        <v>0</v>
      </c>
      <c r="B2654" s="2">
        <v>42494.6882523148</v>
      </c>
      <c r="C2654">
        <v>12978</v>
      </c>
      <c r="D2654">
        <v>4409</v>
      </c>
      <c r="E2654" t="s">
        <v>2656</v>
      </c>
    </row>
    <row r="2655" spans="1:5">
      <c r="A2655">
        <f>HYPERLINK("http://www.twitter.com/realDonaldTrump/status/727803179816062976", "727803179816062976")</f>
        <v>0</v>
      </c>
      <c r="B2655" s="2">
        <v>42494.425625</v>
      </c>
      <c r="C2655">
        <v>9577</v>
      </c>
      <c r="D2655">
        <v>1942</v>
      </c>
      <c r="E2655" t="s">
        <v>2657</v>
      </c>
    </row>
    <row r="2656" spans="1:5">
      <c r="A2656">
        <f>HYPERLINK("http://www.twitter.com/realDonaldTrump/status/727802350061158400", "727802350061158400")</f>
        <v>0</v>
      </c>
      <c r="B2656" s="2">
        <v>42494.4233333333</v>
      </c>
      <c r="C2656">
        <v>8482</v>
      </c>
      <c r="D2656">
        <v>1598</v>
      </c>
      <c r="E2656" t="s">
        <v>2658</v>
      </c>
    </row>
    <row r="2657" spans="1:5">
      <c r="A2657">
        <f>HYPERLINK("http://www.twitter.com/realDonaldTrump/status/727801034551087104", "727801034551087104")</f>
        <v>0</v>
      </c>
      <c r="B2657" s="2">
        <v>42494.4197106482</v>
      </c>
      <c r="C2657">
        <v>7519</v>
      </c>
      <c r="D2657">
        <v>1416</v>
      </c>
      <c r="E2657" t="s">
        <v>2659</v>
      </c>
    </row>
    <row r="2658" spans="1:5">
      <c r="A2658">
        <f>HYPERLINK("http://www.twitter.com/realDonaldTrump/status/727796025247846400", "727796025247846400")</f>
        <v>0</v>
      </c>
      <c r="B2658" s="2">
        <v>42494.4058796296</v>
      </c>
      <c r="C2658">
        <v>30407</v>
      </c>
      <c r="D2658">
        <v>13118</v>
      </c>
      <c r="E2658" t="s">
        <v>2660</v>
      </c>
    </row>
    <row r="2659" spans="1:5">
      <c r="A2659">
        <f>HYPERLINK("http://www.twitter.com/realDonaldTrump/status/727791165341356032", "727791165341356032")</f>
        <v>0</v>
      </c>
      <c r="B2659" s="2">
        <v>42494.3924768519</v>
      </c>
      <c r="C2659">
        <v>25359</v>
      </c>
      <c r="D2659">
        <v>7973</v>
      </c>
      <c r="E2659" t="s">
        <v>2661</v>
      </c>
    </row>
    <row r="2660" spans="1:5">
      <c r="A2660">
        <f>HYPERLINK("http://www.twitter.com/realDonaldTrump/status/727709529358671873", "727709529358671873")</f>
        <v>0</v>
      </c>
      <c r="B2660" s="2">
        <v>42494.1671990741</v>
      </c>
      <c r="C2660">
        <v>14039</v>
      </c>
      <c r="D2660">
        <v>3461</v>
      </c>
      <c r="E2660" t="s">
        <v>2662</v>
      </c>
    </row>
    <row r="2661" spans="1:5">
      <c r="A2661">
        <f>HYPERLINK("http://www.twitter.com/realDonaldTrump/status/727643544190636034", "727643544190636034")</f>
        <v>0</v>
      </c>
      <c r="B2661" s="2">
        <v>42493.9851157407</v>
      </c>
      <c r="C2661">
        <v>38637</v>
      </c>
      <c r="D2661">
        <v>11548</v>
      </c>
      <c r="E2661" t="s">
        <v>2663</v>
      </c>
    </row>
    <row r="2662" spans="1:5">
      <c r="A2662">
        <f>HYPERLINK("http://www.twitter.com/realDonaldTrump/status/727637487871479808", "727637487871479808")</f>
        <v>0</v>
      </c>
      <c r="B2662" s="2">
        <v>42493.9684027778</v>
      </c>
      <c r="C2662">
        <v>29290</v>
      </c>
      <c r="D2662">
        <v>10976</v>
      </c>
      <c r="E2662" t="s">
        <v>2664</v>
      </c>
    </row>
    <row r="2663" spans="1:5">
      <c r="A2663">
        <f>HYPERLINK("http://www.twitter.com/realDonaldTrump/status/727636035149139968", "727636035149139968")</f>
        <v>0</v>
      </c>
      <c r="B2663" s="2">
        <v>42493.9643981481</v>
      </c>
      <c r="C2663">
        <v>25019</v>
      </c>
      <c r="D2663">
        <v>6836</v>
      </c>
      <c r="E2663" t="s">
        <v>2665</v>
      </c>
    </row>
    <row r="2664" spans="1:5">
      <c r="A2664">
        <f>HYPERLINK("http://www.twitter.com/realDonaldTrump/status/727634574298255361", "727634574298255361")</f>
        <v>0</v>
      </c>
      <c r="B2664" s="2">
        <v>42493.9603587963</v>
      </c>
      <c r="C2664">
        <v>25040</v>
      </c>
      <c r="D2664">
        <v>7937</v>
      </c>
      <c r="E2664" t="s">
        <v>2666</v>
      </c>
    </row>
    <row r="2665" spans="1:5">
      <c r="A2665">
        <f>HYPERLINK("http://www.twitter.com/realDonaldTrump/status/727565652253392897", "727565652253392897")</f>
        <v>0</v>
      </c>
      <c r="B2665" s="2">
        <v>42493.7701736111</v>
      </c>
      <c r="C2665">
        <v>12906</v>
      </c>
      <c r="D2665">
        <v>5060</v>
      </c>
      <c r="E2665" t="s">
        <v>2667</v>
      </c>
    </row>
    <row r="2666" spans="1:5">
      <c r="A2666">
        <f>HYPERLINK("http://www.twitter.com/realDonaldTrump/status/727540765765828609", "727540765765828609")</f>
        <v>0</v>
      </c>
      <c r="B2666" s="2">
        <v>42493.7015046296</v>
      </c>
      <c r="C2666">
        <v>12042</v>
      </c>
      <c r="D2666">
        <v>5057</v>
      </c>
      <c r="E2666" t="s">
        <v>2668</v>
      </c>
    </row>
    <row r="2667" spans="1:5">
      <c r="A2667">
        <f>HYPERLINK("http://www.twitter.com/realDonaldTrump/status/727521055728885761", "727521055728885761")</f>
        <v>0</v>
      </c>
      <c r="B2667" s="2">
        <v>42493.6471180556</v>
      </c>
      <c r="C2667">
        <v>11002</v>
      </c>
      <c r="D2667">
        <v>3834</v>
      </c>
      <c r="E2667" t="s">
        <v>2669</v>
      </c>
    </row>
    <row r="2668" spans="1:5">
      <c r="A2668">
        <f>HYPERLINK("http://www.twitter.com/realDonaldTrump/status/727518466891239424", "727518466891239424")</f>
        <v>0</v>
      </c>
      <c r="B2668" s="2">
        <v>42493.6399652778</v>
      </c>
      <c r="C2668">
        <v>12097</v>
      </c>
      <c r="D2668">
        <v>3951</v>
      </c>
      <c r="E2668" t="s">
        <v>2670</v>
      </c>
    </row>
    <row r="2669" spans="1:5">
      <c r="A2669">
        <f>HYPERLINK("http://www.twitter.com/realDonaldTrump/status/727503555083558912", "727503555083558912")</f>
        <v>0</v>
      </c>
      <c r="B2669" s="2">
        <v>42493.5988194444</v>
      </c>
      <c r="C2669">
        <v>8780</v>
      </c>
      <c r="D2669">
        <v>3097</v>
      </c>
      <c r="E2669" t="s">
        <v>2671</v>
      </c>
    </row>
    <row r="2670" spans="1:5">
      <c r="A2670">
        <f>HYPERLINK("http://www.twitter.com/realDonaldTrump/status/727458676211113984", "727458676211113984")</f>
        <v>0</v>
      </c>
      <c r="B2670" s="2">
        <v>42493.4749768519</v>
      </c>
      <c r="C2670">
        <v>11980</v>
      </c>
      <c r="D2670">
        <v>4349</v>
      </c>
      <c r="E2670" t="s">
        <v>2672</v>
      </c>
    </row>
    <row r="2671" spans="1:5">
      <c r="A2671">
        <f>HYPERLINK("http://www.twitter.com/realDonaldTrump/status/727319608663875585", "727319608663875585")</f>
        <v>0</v>
      </c>
      <c r="B2671" s="2">
        <v>42493.0912268519</v>
      </c>
      <c r="C2671">
        <v>12445</v>
      </c>
      <c r="D2671">
        <v>4108</v>
      </c>
      <c r="E2671" t="s">
        <v>2673</v>
      </c>
    </row>
    <row r="2672" spans="1:5">
      <c r="A2672">
        <f>HYPERLINK("http://www.twitter.com/realDonaldTrump/status/727319013383147520", "727319013383147520")</f>
        <v>0</v>
      </c>
      <c r="B2672" s="2">
        <v>42493.0895833333</v>
      </c>
      <c r="C2672">
        <v>0</v>
      </c>
      <c r="D2672">
        <v>4285</v>
      </c>
      <c r="E2672" t="s">
        <v>2674</v>
      </c>
    </row>
    <row r="2673" spans="1:5">
      <c r="A2673">
        <f>HYPERLINK("http://www.twitter.com/realDonaldTrump/status/727262413968519168", "727262413968519168")</f>
        <v>0</v>
      </c>
      <c r="B2673" s="2">
        <v>42492.9334027778</v>
      </c>
      <c r="C2673">
        <v>10326</v>
      </c>
      <c r="D2673">
        <v>2669</v>
      </c>
      <c r="E2673" t="s">
        <v>2675</v>
      </c>
    </row>
    <row r="2674" spans="1:5">
      <c r="A2674">
        <f>HYPERLINK("http://www.twitter.com/realDonaldTrump/status/727255495996788743", "727255495996788743")</f>
        <v>0</v>
      </c>
      <c r="B2674" s="2">
        <v>42492.9143055556</v>
      </c>
      <c r="C2674">
        <v>8251</v>
      </c>
      <c r="D2674">
        <v>2458</v>
      </c>
      <c r="E2674" t="s">
        <v>2676</v>
      </c>
    </row>
    <row r="2675" spans="1:5">
      <c r="A2675">
        <f>HYPERLINK("http://www.twitter.com/realDonaldTrump/status/727253907567726592", "727253907567726592")</f>
        <v>0</v>
      </c>
      <c r="B2675" s="2">
        <v>42492.9099189815</v>
      </c>
      <c r="C2675">
        <v>12493</v>
      </c>
      <c r="D2675">
        <v>4382</v>
      </c>
      <c r="E2675" t="s">
        <v>2677</v>
      </c>
    </row>
    <row r="2676" spans="1:5">
      <c r="A2676">
        <f>HYPERLINK("http://www.twitter.com/realDonaldTrump/status/727253325524164608", "727253325524164608")</f>
        <v>0</v>
      </c>
      <c r="B2676" s="2">
        <v>42492.9083217593</v>
      </c>
      <c r="C2676">
        <v>0</v>
      </c>
      <c r="D2676">
        <v>2224</v>
      </c>
      <c r="E2676" t="s">
        <v>2678</v>
      </c>
    </row>
    <row r="2677" spans="1:5">
      <c r="A2677">
        <f>HYPERLINK("http://www.twitter.com/realDonaldTrump/status/727252046286450689", "727252046286450689")</f>
        <v>0</v>
      </c>
      <c r="B2677" s="2">
        <v>42492.9047916667</v>
      </c>
      <c r="C2677">
        <v>9428</v>
      </c>
      <c r="D2677">
        <v>2912</v>
      </c>
      <c r="E2677" t="s">
        <v>2679</v>
      </c>
    </row>
    <row r="2678" spans="1:5">
      <c r="A2678">
        <f>HYPERLINK("http://www.twitter.com/realDonaldTrump/status/727225626575421440", "727225626575421440")</f>
        <v>0</v>
      </c>
      <c r="B2678" s="2">
        <v>42492.8318865741</v>
      </c>
      <c r="C2678">
        <v>26134</v>
      </c>
      <c r="D2678">
        <v>10546</v>
      </c>
      <c r="E2678" t="s">
        <v>2680</v>
      </c>
    </row>
    <row r="2679" spans="1:5">
      <c r="A2679">
        <f>HYPERLINK("http://www.twitter.com/realDonaldTrump/status/727169840776118272", "727169840776118272")</f>
        <v>0</v>
      </c>
      <c r="B2679" s="2">
        <v>42492.6779398148</v>
      </c>
      <c r="C2679">
        <v>27858</v>
      </c>
      <c r="D2679">
        <v>11216</v>
      </c>
      <c r="E2679" t="s">
        <v>2681</v>
      </c>
    </row>
    <row r="2680" spans="1:5">
      <c r="A2680">
        <f>HYPERLINK("http://www.twitter.com/realDonaldTrump/status/727142563010891776", "727142563010891776")</f>
        <v>0</v>
      </c>
      <c r="B2680" s="2">
        <v>42492.6026736111</v>
      </c>
      <c r="C2680">
        <v>15924</v>
      </c>
      <c r="D2680">
        <v>4170</v>
      </c>
      <c r="E2680" t="s">
        <v>2682</v>
      </c>
    </row>
    <row r="2681" spans="1:5">
      <c r="A2681">
        <f>HYPERLINK("http://www.twitter.com/realDonaldTrump/status/727137190967435265", "727137190967435265")</f>
        <v>0</v>
      </c>
      <c r="B2681" s="2">
        <v>42492.5878472222</v>
      </c>
      <c r="C2681">
        <v>28265</v>
      </c>
      <c r="D2681">
        <v>10572</v>
      </c>
      <c r="E2681" t="s">
        <v>2683</v>
      </c>
    </row>
    <row r="2682" spans="1:5">
      <c r="A2682">
        <f>HYPERLINK("http://www.twitter.com/realDonaldTrump/status/727095549703364608", "727095549703364608")</f>
        <v>0</v>
      </c>
      <c r="B2682" s="2">
        <v>42492.4729398148</v>
      </c>
      <c r="C2682">
        <v>15245</v>
      </c>
      <c r="D2682">
        <v>4874</v>
      </c>
      <c r="E2682" t="s">
        <v>2684</v>
      </c>
    </row>
    <row r="2683" spans="1:5">
      <c r="A2683">
        <f>HYPERLINK("http://www.twitter.com/realDonaldTrump/status/727093442325680128", "727093442325680128")</f>
        <v>0</v>
      </c>
      <c r="B2683" s="2">
        <v>42492.4671296296</v>
      </c>
      <c r="C2683">
        <v>15767</v>
      </c>
      <c r="D2683">
        <v>5303</v>
      </c>
      <c r="E2683" t="s">
        <v>2685</v>
      </c>
    </row>
    <row r="2684" spans="1:5">
      <c r="A2684">
        <f>HYPERLINK("http://www.twitter.com/realDonaldTrump/status/727085972278677504", "727085972278677504")</f>
        <v>0</v>
      </c>
      <c r="B2684" s="2">
        <v>42492.4465162037</v>
      </c>
      <c r="C2684">
        <v>6860</v>
      </c>
      <c r="D2684">
        <v>1688</v>
      </c>
      <c r="E2684" t="s">
        <v>2686</v>
      </c>
    </row>
    <row r="2685" spans="1:5">
      <c r="A2685">
        <f>HYPERLINK("http://www.twitter.com/realDonaldTrump/status/726918444931776512", "726918444931776512")</f>
        <v>0</v>
      </c>
      <c r="B2685" s="2">
        <v>42491.984224537</v>
      </c>
      <c r="C2685">
        <v>10985</v>
      </c>
      <c r="D2685">
        <v>3861</v>
      </c>
      <c r="E2685" t="s">
        <v>2687</v>
      </c>
    </row>
    <row r="2686" spans="1:5">
      <c r="A2686">
        <f>HYPERLINK("http://www.twitter.com/realDonaldTrump/status/726886687276699648", "726886687276699648")</f>
        <v>0</v>
      </c>
      <c r="B2686" s="2">
        <v>42491.8965856481</v>
      </c>
      <c r="C2686">
        <v>17657</v>
      </c>
      <c r="D2686">
        <v>5961</v>
      </c>
      <c r="E2686" t="s">
        <v>2688</v>
      </c>
    </row>
    <row r="2687" spans="1:5">
      <c r="A2687">
        <f>HYPERLINK("http://www.twitter.com/realDonaldTrump/status/726886198027935745", "726886198027935745")</f>
        <v>0</v>
      </c>
      <c r="B2687" s="2">
        <v>42491.8952430556</v>
      </c>
      <c r="C2687">
        <v>13483</v>
      </c>
      <c r="D2687">
        <v>3814</v>
      </c>
      <c r="E2687" t="s">
        <v>2689</v>
      </c>
    </row>
    <row r="2688" spans="1:5">
      <c r="A2688">
        <f>HYPERLINK("http://www.twitter.com/realDonaldTrump/status/726865339947073536", "726865339947073536")</f>
        <v>0</v>
      </c>
      <c r="B2688" s="2">
        <v>42491.8376851852</v>
      </c>
      <c r="C2688">
        <v>12166</v>
      </c>
      <c r="D2688">
        <v>3675</v>
      </c>
      <c r="E2688" t="s">
        <v>2690</v>
      </c>
    </row>
    <row r="2689" spans="1:5">
      <c r="A2689">
        <f>HYPERLINK("http://www.twitter.com/realDonaldTrump/status/726810772555350016", "726810772555350016")</f>
        <v>0</v>
      </c>
      <c r="B2689" s="2">
        <v>42491.6871064815</v>
      </c>
      <c r="C2689">
        <v>11627</v>
      </c>
      <c r="D2689">
        <v>2994</v>
      </c>
      <c r="E2689" t="s">
        <v>2691</v>
      </c>
    </row>
    <row r="2690" spans="1:5">
      <c r="A2690">
        <f>HYPERLINK("http://www.twitter.com/realDonaldTrump/status/726806071210303488", "726806071210303488")</f>
        <v>0</v>
      </c>
      <c r="B2690" s="2">
        <v>42491.6741319444</v>
      </c>
      <c r="C2690">
        <v>10191</v>
      </c>
      <c r="D2690">
        <v>2785</v>
      </c>
      <c r="E2690" t="s">
        <v>2692</v>
      </c>
    </row>
    <row r="2691" spans="1:5">
      <c r="A2691">
        <f>HYPERLINK("http://www.twitter.com/realDonaldTrump/status/726800215718645760", "726800215718645760")</f>
        <v>0</v>
      </c>
      <c r="B2691" s="2">
        <v>42491.657974537</v>
      </c>
      <c r="C2691">
        <v>13115</v>
      </c>
      <c r="D2691">
        <v>3974</v>
      </c>
      <c r="E2691" t="s">
        <v>2693</v>
      </c>
    </row>
    <row r="2692" spans="1:5">
      <c r="A2692">
        <f>HYPERLINK("http://www.twitter.com/realDonaldTrump/status/726773001430163456", "726773001430163456")</f>
        <v>0</v>
      </c>
      <c r="B2692" s="2">
        <v>42491.5828703704</v>
      </c>
      <c r="C2692">
        <v>16770</v>
      </c>
      <c r="D2692">
        <v>6313</v>
      </c>
      <c r="E2692" t="s">
        <v>2694</v>
      </c>
    </row>
    <row r="2693" spans="1:5">
      <c r="A2693">
        <f>HYPERLINK("http://www.twitter.com/realDonaldTrump/status/726609734653104129", "726609734653104129")</f>
        <v>0</v>
      </c>
      <c r="B2693" s="2">
        <v>42491.132349537</v>
      </c>
      <c r="C2693">
        <v>17360</v>
      </c>
      <c r="D2693">
        <v>5564</v>
      </c>
      <c r="E2693" t="s">
        <v>2695</v>
      </c>
    </row>
    <row r="2694" spans="1:5">
      <c r="A2694">
        <f>HYPERLINK("http://www.twitter.com/realDonaldTrump/status/726555060306595841", "726555060306595841")</f>
        <v>0</v>
      </c>
      <c r="B2694" s="2">
        <v>42490.9814699074</v>
      </c>
      <c r="C2694">
        <v>9638</v>
      </c>
      <c r="D2694">
        <v>2523</v>
      </c>
      <c r="E2694" t="s">
        <v>2696</v>
      </c>
    </row>
    <row r="2695" spans="1:5">
      <c r="A2695">
        <f>HYPERLINK("http://www.twitter.com/realDonaldTrump/status/726514136838975494", "726514136838975494")</f>
        <v>0</v>
      </c>
      <c r="B2695" s="2">
        <v>42490.8685416667</v>
      </c>
      <c r="C2695">
        <v>11801</v>
      </c>
      <c r="D2695">
        <v>4350</v>
      </c>
      <c r="E2695" t="s">
        <v>2697</v>
      </c>
    </row>
    <row r="2696" spans="1:5">
      <c r="A2696">
        <f>HYPERLINK("http://www.twitter.com/realDonaldTrump/status/726461507601612800", "726461507601612800")</f>
        <v>0</v>
      </c>
      <c r="B2696" s="2">
        <v>42490.7233217593</v>
      </c>
      <c r="C2696">
        <v>22158</v>
      </c>
      <c r="D2696">
        <v>8074</v>
      </c>
      <c r="E2696" t="s">
        <v>2698</v>
      </c>
    </row>
    <row r="2697" spans="1:5">
      <c r="A2697">
        <f>HYPERLINK("http://www.twitter.com/realDonaldTrump/status/726439344072962049", "726439344072962049")</f>
        <v>0</v>
      </c>
      <c r="B2697" s="2">
        <v>42490.6621527778</v>
      </c>
      <c r="C2697">
        <v>8672</v>
      </c>
      <c r="D2697">
        <v>3791</v>
      </c>
      <c r="E2697" t="s">
        <v>2699</v>
      </c>
    </row>
    <row r="2698" spans="1:5">
      <c r="A2698">
        <f>HYPERLINK("http://www.twitter.com/realDonaldTrump/status/726403534380478464", "726403534380478464")</f>
        <v>0</v>
      </c>
      <c r="B2698" s="2">
        <v>42490.5633449074</v>
      </c>
      <c r="C2698">
        <v>34680</v>
      </c>
      <c r="D2698">
        <v>12439</v>
      </c>
      <c r="E2698" t="s">
        <v>2700</v>
      </c>
    </row>
    <row r="2699" spans="1:5">
      <c r="A2699">
        <f>HYPERLINK("http://www.twitter.com/realDonaldTrump/status/726246693759496192", "726246693759496192")</f>
        <v>0</v>
      </c>
      <c r="B2699" s="2">
        <v>42490.1305439815</v>
      </c>
      <c r="C2699">
        <v>12515</v>
      </c>
      <c r="D2699">
        <v>2960</v>
      </c>
      <c r="E2699" t="s">
        <v>2701</v>
      </c>
    </row>
    <row r="2700" spans="1:5">
      <c r="A2700">
        <f>HYPERLINK("http://www.twitter.com/realDonaldTrump/status/726115856053211136", "726115856053211136")</f>
        <v>0</v>
      </c>
      <c r="B2700" s="2">
        <v>42489.7695023148</v>
      </c>
      <c r="C2700">
        <v>32422</v>
      </c>
      <c r="D2700">
        <v>12263</v>
      </c>
      <c r="E2700" t="s">
        <v>2702</v>
      </c>
    </row>
    <row r="2701" spans="1:5">
      <c r="A2701">
        <f>HYPERLINK("http://www.twitter.com/realDonaldTrump/status/726079789182808065", "726079789182808065")</f>
        <v>0</v>
      </c>
      <c r="B2701" s="2">
        <v>42489.6699768519</v>
      </c>
      <c r="C2701">
        <v>19876</v>
      </c>
      <c r="D2701">
        <v>7680</v>
      </c>
      <c r="E2701" t="s">
        <v>2703</v>
      </c>
    </row>
    <row r="2702" spans="1:5">
      <c r="A2702">
        <f>HYPERLINK("http://www.twitter.com/realDonaldTrump/status/726045073775828992", "726045073775828992")</f>
        <v>0</v>
      </c>
      <c r="B2702" s="2">
        <v>42489.5741782407</v>
      </c>
      <c r="C2702">
        <v>25542</v>
      </c>
      <c r="D2702">
        <v>10111</v>
      </c>
      <c r="E2702" t="s">
        <v>2704</v>
      </c>
    </row>
    <row r="2703" spans="1:5">
      <c r="A2703">
        <f>HYPERLINK("http://www.twitter.com/realDonaldTrump/status/726008645473824768", "726008645473824768")</f>
        <v>0</v>
      </c>
      <c r="B2703" s="2">
        <v>42489.4736574074</v>
      </c>
      <c r="C2703">
        <v>18620</v>
      </c>
      <c r="D2703">
        <v>5728</v>
      </c>
      <c r="E2703" t="s">
        <v>2705</v>
      </c>
    </row>
    <row r="2704" spans="1:5">
      <c r="A2704">
        <f>HYPERLINK("http://www.twitter.com/realDonaldTrump/status/725903475133947904", "725903475133947904")</f>
        <v>0</v>
      </c>
      <c r="B2704" s="2">
        <v>42489.1834375</v>
      </c>
      <c r="C2704">
        <v>30589</v>
      </c>
      <c r="D2704">
        <v>10046</v>
      </c>
      <c r="E2704" t="s">
        <v>2706</v>
      </c>
    </row>
    <row r="2705" spans="1:5">
      <c r="A2705">
        <f>HYPERLINK("http://www.twitter.com/realDonaldTrump/status/725899554273423360", "725899554273423360")</f>
        <v>0</v>
      </c>
      <c r="B2705" s="2">
        <v>42489.1726157407</v>
      </c>
      <c r="C2705">
        <v>11674</v>
      </c>
      <c r="D2705">
        <v>4240</v>
      </c>
      <c r="E2705" t="s">
        <v>2707</v>
      </c>
    </row>
    <row r="2706" spans="1:5">
      <c r="A2706">
        <f>HYPERLINK("http://www.twitter.com/realDonaldTrump/status/725847301172776960", "725847301172776960")</f>
        <v>0</v>
      </c>
      <c r="B2706" s="2">
        <v>42489.0284259259</v>
      </c>
      <c r="C2706">
        <v>13452</v>
      </c>
      <c r="D2706">
        <v>3886</v>
      </c>
      <c r="E2706" t="s">
        <v>2708</v>
      </c>
    </row>
    <row r="2707" spans="1:5">
      <c r="A2707">
        <f>HYPERLINK("http://www.twitter.com/realDonaldTrump/status/725845855987617792", "725845855987617792")</f>
        <v>0</v>
      </c>
      <c r="B2707" s="2">
        <v>42489.0244444444</v>
      </c>
      <c r="C2707">
        <v>0</v>
      </c>
      <c r="D2707">
        <v>5410</v>
      </c>
      <c r="E2707" t="s">
        <v>2709</v>
      </c>
    </row>
    <row r="2708" spans="1:5">
      <c r="A2708">
        <f>HYPERLINK("http://www.twitter.com/realDonaldTrump/status/725845144637837312", "725845144637837312")</f>
        <v>0</v>
      </c>
      <c r="B2708" s="2">
        <v>42489.0224768519</v>
      </c>
      <c r="C2708">
        <v>0</v>
      </c>
      <c r="D2708">
        <v>2187</v>
      </c>
      <c r="E2708" t="s">
        <v>2710</v>
      </c>
    </row>
    <row r="2709" spans="1:5">
      <c r="A2709">
        <f>HYPERLINK("http://www.twitter.com/realDonaldTrump/status/725824909151199232", "725824909151199232")</f>
        <v>0</v>
      </c>
      <c r="B2709" s="2">
        <v>42488.9666435185</v>
      </c>
      <c r="C2709">
        <v>12166</v>
      </c>
      <c r="D2709">
        <v>4543</v>
      </c>
      <c r="E2709" t="s">
        <v>2711</v>
      </c>
    </row>
    <row r="2710" spans="1:5">
      <c r="A2710">
        <f>HYPERLINK("http://www.twitter.com/realDonaldTrump/status/725817204743217152", "725817204743217152")</f>
        <v>0</v>
      </c>
      <c r="B2710" s="2">
        <v>42488.9453819444</v>
      </c>
      <c r="C2710">
        <v>11649</v>
      </c>
      <c r="D2710">
        <v>4330</v>
      </c>
      <c r="E2710" t="s">
        <v>2712</v>
      </c>
    </row>
    <row r="2711" spans="1:5">
      <c r="A2711">
        <f>HYPERLINK("http://www.twitter.com/realDonaldTrump/status/725796339255267328", "725796339255267328")</f>
        <v>0</v>
      </c>
      <c r="B2711" s="2">
        <v>42488.8878009259</v>
      </c>
      <c r="C2711">
        <v>12612</v>
      </c>
      <c r="D2711">
        <v>4437</v>
      </c>
      <c r="E2711" t="s">
        <v>2713</v>
      </c>
    </row>
    <row r="2712" spans="1:5">
      <c r="A2712">
        <f>HYPERLINK("http://www.twitter.com/realDonaldTrump/status/725722027173249024", "725722027173249024")</f>
        <v>0</v>
      </c>
      <c r="B2712" s="2">
        <v>42488.6827430556</v>
      </c>
      <c r="C2712">
        <v>13849</v>
      </c>
      <c r="D2712">
        <v>4609</v>
      </c>
      <c r="E2712" t="s">
        <v>2714</v>
      </c>
    </row>
    <row r="2713" spans="1:5">
      <c r="A2713">
        <f>HYPERLINK("http://www.twitter.com/realDonaldTrump/status/725677423195512833", "725677423195512833")</f>
        <v>0</v>
      </c>
      <c r="B2713" s="2">
        <v>42488.5596527778</v>
      </c>
      <c r="C2713">
        <v>16342</v>
      </c>
      <c r="D2713">
        <v>5484</v>
      </c>
      <c r="E2713" t="s">
        <v>2715</v>
      </c>
    </row>
    <row r="2714" spans="1:5">
      <c r="A2714">
        <f>HYPERLINK("http://www.twitter.com/realDonaldTrump/status/725659482819297280", "725659482819297280")</f>
        <v>0</v>
      </c>
      <c r="B2714" s="2">
        <v>42488.510150463</v>
      </c>
      <c r="C2714">
        <v>12208</v>
      </c>
      <c r="D2714">
        <v>3698</v>
      </c>
      <c r="E2714" t="s">
        <v>2716</v>
      </c>
    </row>
    <row r="2715" spans="1:5">
      <c r="A2715">
        <f>HYPERLINK("http://www.twitter.com/realDonaldTrump/status/725648706385633280", "725648706385633280")</f>
        <v>0</v>
      </c>
      <c r="B2715" s="2">
        <v>42488.4804166667</v>
      </c>
      <c r="C2715">
        <v>18584</v>
      </c>
      <c r="D2715">
        <v>5653</v>
      </c>
      <c r="E2715" t="s">
        <v>2717</v>
      </c>
    </row>
    <row r="2716" spans="1:5">
      <c r="A2716">
        <f>HYPERLINK("http://www.twitter.com/realDonaldTrump/status/725637460504510464", "725637460504510464")</f>
        <v>0</v>
      </c>
      <c r="B2716" s="2">
        <v>42488.449375</v>
      </c>
      <c r="C2716">
        <v>7319</v>
      </c>
      <c r="D2716">
        <v>1515</v>
      </c>
      <c r="E2716" t="s">
        <v>2718</v>
      </c>
    </row>
    <row r="2717" spans="1:5">
      <c r="A2717">
        <f>HYPERLINK("http://www.twitter.com/realDonaldTrump/status/725636069010579457", "725636069010579457")</f>
        <v>0</v>
      </c>
      <c r="B2717" s="2">
        <v>42488.4455439815</v>
      </c>
      <c r="C2717">
        <v>16525</v>
      </c>
      <c r="D2717">
        <v>4452</v>
      </c>
      <c r="E2717" t="s">
        <v>2719</v>
      </c>
    </row>
    <row r="2718" spans="1:5">
      <c r="A2718">
        <f>HYPERLINK("http://www.twitter.com/realDonaldTrump/status/725535327927042048", "725535327927042048")</f>
        <v>0</v>
      </c>
      <c r="B2718" s="2">
        <v>42488.1675462963</v>
      </c>
      <c r="C2718">
        <v>10921</v>
      </c>
      <c r="D2718">
        <v>2591</v>
      </c>
      <c r="E2718" t="s">
        <v>2720</v>
      </c>
    </row>
    <row r="2719" spans="1:5">
      <c r="A2719">
        <f>HYPERLINK("http://www.twitter.com/realDonaldTrump/status/725532457756405760", "725532457756405760")</f>
        <v>0</v>
      </c>
      <c r="B2719" s="2">
        <v>42488.1596296296</v>
      </c>
      <c r="C2719">
        <v>16460</v>
      </c>
      <c r="D2719">
        <v>4360</v>
      </c>
      <c r="E2719" t="s">
        <v>2721</v>
      </c>
    </row>
    <row r="2720" spans="1:5">
      <c r="A2720">
        <f>HYPERLINK("http://www.twitter.com/realDonaldTrump/status/725524257883697152", "725524257883697152")</f>
        <v>0</v>
      </c>
      <c r="B2720" s="2">
        <v>42488.1370023148</v>
      </c>
      <c r="C2720">
        <v>21534</v>
      </c>
      <c r="D2720">
        <v>5492</v>
      </c>
      <c r="E2720" t="s">
        <v>2722</v>
      </c>
    </row>
    <row r="2721" spans="1:5">
      <c r="A2721">
        <f>HYPERLINK("http://www.twitter.com/realDonaldTrump/status/725502314736422918", "725502314736422918")</f>
        <v>0</v>
      </c>
      <c r="B2721" s="2">
        <v>42488.0764467593</v>
      </c>
      <c r="C2721">
        <v>10592</v>
      </c>
      <c r="D2721">
        <v>3436</v>
      </c>
      <c r="E2721" t="s">
        <v>2723</v>
      </c>
    </row>
    <row r="2722" spans="1:5">
      <c r="A2722">
        <f>HYPERLINK("http://www.twitter.com/realDonaldTrump/status/725501700933586946", "725501700933586946")</f>
        <v>0</v>
      </c>
      <c r="B2722" s="2">
        <v>42488.0747569444</v>
      </c>
      <c r="C2722">
        <v>15580</v>
      </c>
      <c r="D2722">
        <v>5474</v>
      </c>
      <c r="E2722" t="s">
        <v>2724</v>
      </c>
    </row>
    <row r="2723" spans="1:5">
      <c r="A2723">
        <f>HYPERLINK("http://www.twitter.com/realDonaldTrump/status/725448150547349504", "725448150547349504")</f>
        <v>0</v>
      </c>
      <c r="B2723" s="2">
        <v>42487.9269791667</v>
      </c>
      <c r="C2723">
        <v>8177</v>
      </c>
      <c r="D2723">
        <v>2464</v>
      </c>
      <c r="E2723" t="s">
        <v>2725</v>
      </c>
    </row>
    <row r="2724" spans="1:5">
      <c r="A2724">
        <f>HYPERLINK("http://www.twitter.com/realDonaldTrump/status/725445969496694785", "725445969496694785")</f>
        <v>0</v>
      </c>
      <c r="B2724" s="2">
        <v>42487.9209606481</v>
      </c>
      <c r="C2724">
        <v>0</v>
      </c>
      <c r="D2724">
        <v>4784</v>
      </c>
      <c r="E2724" t="s">
        <v>2726</v>
      </c>
    </row>
    <row r="2725" spans="1:5">
      <c r="A2725">
        <f>HYPERLINK("http://www.twitter.com/realDonaldTrump/status/725419855265026048", "725419855265026048")</f>
        <v>0</v>
      </c>
      <c r="B2725" s="2">
        <v>42487.848900463</v>
      </c>
      <c r="C2725">
        <v>14923</v>
      </c>
      <c r="D2725">
        <v>4746</v>
      </c>
      <c r="E2725" t="s">
        <v>2727</v>
      </c>
    </row>
    <row r="2726" spans="1:5">
      <c r="A2726">
        <f>HYPERLINK("http://www.twitter.com/realDonaldTrump/status/725396879723384832", "725396879723384832")</f>
        <v>0</v>
      </c>
      <c r="B2726" s="2">
        <v>42487.7855092593</v>
      </c>
      <c r="C2726">
        <v>19572</v>
      </c>
      <c r="D2726">
        <v>9359</v>
      </c>
      <c r="E2726" t="s">
        <v>2728</v>
      </c>
    </row>
    <row r="2727" spans="1:5">
      <c r="A2727">
        <f>HYPERLINK("http://www.twitter.com/realDonaldTrump/status/725392976525037570", "725392976525037570")</f>
        <v>0</v>
      </c>
      <c r="B2727" s="2">
        <v>42487.7747337963</v>
      </c>
      <c r="C2727">
        <v>13634</v>
      </c>
      <c r="D2727">
        <v>4791</v>
      </c>
      <c r="E2727" t="s">
        <v>2729</v>
      </c>
    </row>
    <row r="2728" spans="1:5">
      <c r="A2728">
        <f>HYPERLINK("http://www.twitter.com/realDonaldTrump/status/725383459284353025", "725383459284353025")</f>
        <v>0</v>
      </c>
      <c r="B2728" s="2">
        <v>42487.7484722222</v>
      </c>
      <c r="C2728">
        <v>0</v>
      </c>
      <c r="D2728">
        <v>5111</v>
      </c>
      <c r="E2728" t="s">
        <v>2730</v>
      </c>
    </row>
    <row r="2729" spans="1:5">
      <c r="A2729">
        <f>HYPERLINK("http://www.twitter.com/realDonaldTrump/status/725380639269228544", "725380639269228544")</f>
        <v>0</v>
      </c>
      <c r="B2729" s="2">
        <v>42487.7406828704</v>
      </c>
      <c r="C2729">
        <v>8820</v>
      </c>
      <c r="D2729">
        <v>2476</v>
      </c>
      <c r="E2729" t="s">
        <v>2731</v>
      </c>
    </row>
    <row r="2730" spans="1:5">
      <c r="A2730">
        <f>HYPERLINK("http://www.twitter.com/realDonaldTrump/status/725380064272105472", "725380064272105472")</f>
        <v>0</v>
      </c>
      <c r="B2730" s="2">
        <v>42487.7390972222</v>
      </c>
      <c r="C2730">
        <v>8577</v>
      </c>
      <c r="D2730">
        <v>2439</v>
      </c>
      <c r="E2730" t="s">
        <v>2732</v>
      </c>
    </row>
    <row r="2731" spans="1:5">
      <c r="A2731">
        <f>HYPERLINK("http://www.twitter.com/realDonaldTrump/status/725378591567941632", "725378591567941632")</f>
        <v>0</v>
      </c>
      <c r="B2731" s="2">
        <v>42487.7350347222</v>
      </c>
      <c r="C2731">
        <v>10769</v>
      </c>
      <c r="D2731">
        <v>3492</v>
      </c>
      <c r="E2731" t="s">
        <v>2733</v>
      </c>
    </row>
    <row r="2732" spans="1:5">
      <c r="A2732">
        <f>HYPERLINK("http://www.twitter.com/realDonaldTrump/status/725377800954220545", "725377800954220545")</f>
        <v>0</v>
      </c>
      <c r="B2732" s="2">
        <v>42487.7328587963</v>
      </c>
      <c r="C2732">
        <v>7724</v>
      </c>
      <c r="D2732">
        <v>2193</v>
      </c>
      <c r="E2732" t="s">
        <v>2734</v>
      </c>
    </row>
    <row r="2733" spans="1:5">
      <c r="A2733">
        <f>HYPERLINK("http://www.twitter.com/realDonaldTrump/status/725128021473132546", "725128021473132546")</f>
        <v>0</v>
      </c>
      <c r="B2733" s="2">
        <v>42487.043599537</v>
      </c>
      <c r="C2733">
        <v>16836</v>
      </c>
      <c r="D2733">
        <v>5196</v>
      </c>
      <c r="E2733" t="s">
        <v>2735</v>
      </c>
    </row>
    <row r="2734" spans="1:5">
      <c r="A2734">
        <f>HYPERLINK("http://www.twitter.com/realDonaldTrump/status/725119398881665026", "725119398881665026")</f>
        <v>0</v>
      </c>
      <c r="B2734" s="2">
        <v>42487.0198032407</v>
      </c>
      <c r="C2734">
        <v>18043</v>
      </c>
      <c r="D2734">
        <v>5658</v>
      </c>
      <c r="E2734" t="s">
        <v>2736</v>
      </c>
    </row>
    <row r="2735" spans="1:5">
      <c r="A2735">
        <f>HYPERLINK("http://www.twitter.com/realDonaldTrump/status/725116992907259904", "725116992907259904")</f>
        <v>0</v>
      </c>
      <c r="B2735" s="2">
        <v>42487.0131597222</v>
      </c>
      <c r="C2735">
        <v>18018</v>
      </c>
      <c r="D2735">
        <v>5875</v>
      </c>
      <c r="E2735" t="s">
        <v>2737</v>
      </c>
    </row>
    <row r="2736" spans="1:5">
      <c r="A2736">
        <f>HYPERLINK("http://www.twitter.com/realDonaldTrump/status/725115824206450688", "725115824206450688")</f>
        <v>0</v>
      </c>
      <c r="B2736" s="2">
        <v>42487.0099421296</v>
      </c>
      <c r="C2736">
        <v>21235</v>
      </c>
      <c r="D2736">
        <v>8083</v>
      </c>
      <c r="E2736" t="s">
        <v>2738</v>
      </c>
    </row>
    <row r="2737" spans="1:5">
      <c r="A2737">
        <f>HYPERLINK("http://www.twitter.com/realDonaldTrump/status/725114320993017858", "725114320993017858")</f>
        <v>0</v>
      </c>
      <c r="B2737" s="2">
        <v>42487.005787037</v>
      </c>
      <c r="C2737">
        <v>18261</v>
      </c>
      <c r="D2737">
        <v>6702</v>
      </c>
      <c r="E2737" t="s">
        <v>2739</v>
      </c>
    </row>
    <row r="2738" spans="1:5">
      <c r="A2738">
        <f>HYPERLINK("http://www.twitter.com/realDonaldTrump/status/725050631250173952", "725050631250173952")</f>
        <v>0</v>
      </c>
      <c r="B2738" s="2">
        <v>42486.8300347222</v>
      </c>
      <c r="C2738">
        <v>20215</v>
      </c>
      <c r="D2738">
        <v>7522</v>
      </c>
      <c r="E2738" t="s">
        <v>2740</v>
      </c>
    </row>
    <row r="2739" spans="1:5">
      <c r="A2739">
        <f>HYPERLINK("http://www.twitter.com/realDonaldTrump/status/725024710086524929", "725024710086524929")</f>
        <v>0</v>
      </c>
      <c r="B2739" s="2">
        <v>42486.7585069444</v>
      </c>
      <c r="C2739">
        <v>8524</v>
      </c>
      <c r="D2739">
        <v>2735</v>
      </c>
      <c r="E2739" t="s">
        <v>2741</v>
      </c>
    </row>
    <row r="2740" spans="1:5">
      <c r="A2740">
        <f>HYPERLINK("http://www.twitter.com/realDonaldTrump/status/725024671293423616", "725024671293423616")</f>
        <v>0</v>
      </c>
      <c r="B2740" s="2">
        <v>42486.7584027778</v>
      </c>
      <c r="C2740">
        <v>7293</v>
      </c>
      <c r="D2740">
        <v>2338</v>
      </c>
      <c r="E2740" t="s">
        <v>2742</v>
      </c>
    </row>
    <row r="2741" spans="1:5">
      <c r="A2741">
        <f>HYPERLINK("http://www.twitter.com/realDonaldTrump/status/725022988026925058", "725022988026925058")</f>
        <v>0</v>
      </c>
      <c r="B2741" s="2">
        <v>42486.7537615741</v>
      </c>
      <c r="C2741">
        <v>7915</v>
      </c>
      <c r="D2741">
        <v>2387</v>
      </c>
      <c r="E2741" t="s">
        <v>2743</v>
      </c>
    </row>
    <row r="2742" spans="1:5">
      <c r="A2742">
        <f>HYPERLINK("http://www.twitter.com/realDonaldTrump/status/725022546328969216", "725022546328969216")</f>
        <v>0</v>
      </c>
      <c r="B2742" s="2">
        <v>42486.7525347222</v>
      </c>
      <c r="C2742">
        <v>7100</v>
      </c>
      <c r="D2742">
        <v>2286</v>
      </c>
      <c r="E2742" t="s">
        <v>2744</v>
      </c>
    </row>
    <row r="2743" spans="1:5">
      <c r="A2743">
        <f>HYPERLINK("http://www.twitter.com/realDonaldTrump/status/725022169806327808", "725022169806327808")</f>
        <v>0</v>
      </c>
      <c r="B2743" s="2">
        <v>42486.7515046296</v>
      </c>
      <c r="C2743">
        <v>8290</v>
      </c>
      <c r="D2743">
        <v>2815</v>
      </c>
      <c r="E2743" t="s">
        <v>2745</v>
      </c>
    </row>
    <row r="2744" spans="1:5">
      <c r="A2744">
        <f>HYPERLINK("http://www.twitter.com/realDonaldTrump/status/725017409132855296", "725017409132855296")</f>
        <v>0</v>
      </c>
      <c r="B2744" s="2">
        <v>42486.7383680556</v>
      </c>
      <c r="C2744">
        <v>9833</v>
      </c>
      <c r="D2744">
        <v>2716</v>
      </c>
      <c r="E2744" t="s">
        <v>2746</v>
      </c>
    </row>
    <row r="2745" spans="1:5">
      <c r="A2745">
        <f>HYPERLINK("http://www.twitter.com/realDonaldTrump/status/724996031033806849", "724996031033806849")</f>
        <v>0</v>
      </c>
      <c r="B2745" s="2">
        <v>42486.679375</v>
      </c>
      <c r="C2745">
        <v>12637</v>
      </c>
      <c r="D2745">
        <v>4156</v>
      </c>
      <c r="E2745" t="s">
        <v>2747</v>
      </c>
    </row>
    <row r="2746" spans="1:5">
      <c r="A2746">
        <f>HYPERLINK("http://www.twitter.com/realDonaldTrump/status/724993336000532480", "724993336000532480")</f>
        <v>0</v>
      </c>
      <c r="B2746" s="2">
        <v>42486.6719328704</v>
      </c>
      <c r="C2746">
        <v>29920</v>
      </c>
      <c r="D2746">
        <v>11667</v>
      </c>
      <c r="E2746" t="s">
        <v>2748</v>
      </c>
    </row>
    <row r="2747" spans="1:5">
      <c r="A2747">
        <f>HYPERLINK("http://www.twitter.com/realDonaldTrump/status/724954532522917888", "724954532522917888")</f>
        <v>0</v>
      </c>
      <c r="B2747" s="2">
        <v>42486.5648611111</v>
      </c>
      <c r="C2747">
        <v>10179</v>
      </c>
      <c r="D2747">
        <v>4167</v>
      </c>
      <c r="E2747" t="s">
        <v>2749</v>
      </c>
    </row>
    <row r="2748" spans="1:5">
      <c r="A2748">
        <f>HYPERLINK("http://www.twitter.com/realDonaldTrump/status/724942956306771968", "724942956306771968")</f>
        <v>0</v>
      </c>
      <c r="B2748" s="2">
        <v>42486.5329166667</v>
      </c>
      <c r="C2748">
        <v>10295</v>
      </c>
      <c r="D2748">
        <v>4027</v>
      </c>
      <c r="E2748" t="s">
        <v>2750</v>
      </c>
    </row>
    <row r="2749" spans="1:5">
      <c r="A2749">
        <f>HYPERLINK("http://www.twitter.com/realDonaldTrump/status/724911563405189121", "724911563405189121")</f>
        <v>0</v>
      </c>
      <c r="B2749" s="2">
        <v>42486.4462847222</v>
      </c>
      <c r="C2749">
        <v>16799</v>
      </c>
      <c r="D2749">
        <v>5243</v>
      </c>
      <c r="E2749" t="s">
        <v>2751</v>
      </c>
    </row>
    <row r="2750" spans="1:5">
      <c r="A2750">
        <f>HYPERLINK("http://www.twitter.com/realDonaldTrump/status/724778089830580224", "724778089830580224")</f>
        <v>0</v>
      </c>
      <c r="B2750" s="2">
        <v>42486.077962963</v>
      </c>
      <c r="C2750">
        <v>12810</v>
      </c>
      <c r="D2750">
        <v>4810</v>
      </c>
      <c r="E2750" t="s">
        <v>2752</v>
      </c>
    </row>
    <row r="2751" spans="1:5">
      <c r="A2751">
        <f>HYPERLINK("http://www.twitter.com/realDonaldTrump/status/724772013219405824", "724772013219405824")</f>
        <v>0</v>
      </c>
      <c r="B2751" s="2">
        <v>42486.0612037037</v>
      </c>
      <c r="C2751">
        <v>10904</v>
      </c>
      <c r="D2751">
        <v>4733</v>
      </c>
      <c r="E2751" t="s">
        <v>2753</v>
      </c>
    </row>
    <row r="2752" spans="1:5">
      <c r="A2752">
        <f>HYPERLINK("http://www.twitter.com/realDonaldTrump/status/724722427297673217", "724722427297673217")</f>
        <v>0</v>
      </c>
      <c r="B2752" s="2">
        <v>42485.924375</v>
      </c>
      <c r="C2752">
        <v>19804</v>
      </c>
      <c r="D2752">
        <v>7698</v>
      </c>
      <c r="E2752" t="s">
        <v>2754</v>
      </c>
    </row>
    <row r="2753" spans="1:5">
      <c r="A2753">
        <f>HYPERLINK("http://www.twitter.com/realDonaldTrump/status/724721256969441280", "724721256969441280")</f>
        <v>0</v>
      </c>
      <c r="B2753" s="2">
        <v>42485.9211342593</v>
      </c>
      <c r="C2753">
        <v>9216</v>
      </c>
      <c r="D2753">
        <v>3165</v>
      </c>
      <c r="E2753" t="s">
        <v>2755</v>
      </c>
    </row>
    <row r="2754" spans="1:5">
      <c r="A2754">
        <f>HYPERLINK("http://www.twitter.com/realDonaldTrump/status/724718355102478336", "724718355102478336")</f>
        <v>0</v>
      </c>
      <c r="B2754" s="2">
        <v>42485.9131365741</v>
      </c>
      <c r="C2754">
        <v>8293</v>
      </c>
      <c r="D2754">
        <v>2733</v>
      </c>
      <c r="E2754" t="s">
        <v>2756</v>
      </c>
    </row>
    <row r="2755" spans="1:5">
      <c r="A2755">
        <f>HYPERLINK("http://www.twitter.com/realDonaldTrump/status/724662038220423168", "724662038220423168")</f>
        <v>0</v>
      </c>
      <c r="B2755" s="2">
        <v>42485.7577314815</v>
      </c>
      <c r="C2755">
        <v>0</v>
      </c>
      <c r="D2755">
        <v>2476</v>
      </c>
      <c r="E2755" t="s">
        <v>2757</v>
      </c>
    </row>
    <row r="2756" spans="1:5">
      <c r="A2756">
        <f>HYPERLINK("http://www.twitter.com/realDonaldTrump/status/724633177692725254", "724633177692725254")</f>
        <v>0</v>
      </c>
      <c r="B2756" s="2">
        <v>42485.6780902778</v>
      </c>
      <c r="C2756">
        <v>11786</v>
      </c>
      <c r="D2756">
        <v>3452</v>
      </c>
      <c r="E2756" t="s">
        <v>2758</v>
      </c>
    </row>
    <row r="2757" spans="1:5">
      <c r="A2757">
        <f>HYPERLINK("http://www.twitter.com/realDonaldTrump/status/724633058398375936", "724633058398375936")</f>
        <v>0</v>
      </c>
      <c r="B2757" s="2">
        <v>42485.6777546296</v>
      </c>
      <c r="C2757">
        <v>13961</v>
      </c>
      <c r="D2757">
        <v>4881</v>
      </c>
      <c r="E2757" t="s">
        <v>2759</v>
      </c>
    </row>
    <row r="2758" spans="1:5">
      <c r="A2758">
        <f>HYPERLINK("http://www.twitter.com/realDonaldTrump/status/724568416338759680", "724568416338759680")</f>
        <v>0</v>
      </c>
      <c r="B2758" s="2">
        <v>42485.499375</v>
      </c>
      <c r="C2758">
        <v>18406</v>
      </c>
      <c r="D2758">
        <v>6896</v>
      </c>
      <c r="E2758" t="s">
        <v>2760</v>
      </c>
    </row>
    <row r="2759" spans="1:5">
      <c r="A2759">
        <f>HYPERLINK("http://www.twitter.com/realDonaldTrump/status/724567219062059008", "724567219062059008")</f>
        <v>0</v>
      </c>
      <c r="B2759" s="2">
        <v>42485.4960763889</v>
      </c>
      <c r="C2759">
        <v>20855</v>
      </c>
      <c r="D2759">
        <v>7762</v>
      </c>
      <c r="E2759" t="s">
        <v>2761</v>
      </c>
    </row>
    <row r="2760" spans="1:5">
      <c r="A2760">
        <f>HYPERLINK("http://www.twitter.com/realDonaldTrump/status/724445148910915584", "724445148910915584")</f>
        <v>0</v>
      </c>
      <c r="B2760" s="2">
        <v>42485.159224537</v>
      </c>
      <c r="C2760">
        <v>22443</v>
      </c>
      <c r="D2760">
        <v>7892</v>
      </c>
      <c r="E2760" t="s">
        <v>2762</v>
      </c>
    </row>
    <row r="2761" spans="1:5">
      <c r="A2761">
        <f>HYPERLINK("http://www.twitter.com/realDonaldTrump/status/724442801933565952", "724442801933565952")</f>
        <v>0</v>
      </c>
      <c r="B2761" s="2">
        <v>42485.1527546296</v>
      </c>
      <c r="C2761">
        <v>28646</v>
      </c>
      <c r="D2761">
        <v>11673</v>
      </c>
      <c r="E2761" t="s">
        <v>2763</v>
      </c>
    </row>
    <row r="2762" spans="1:5">
      <c r="A2762">
        <f>HYPERLINK("http://www.twitter.com/realDonaldTrump/status/724409389570994176", "724409389570994176")</f>
        <v>0</v>
      </c>
      <c r="B2762" s="2">
        <v>42485.0605555556</v>
      </c>
      <c r="C2762">
        <v>14507</v>
      </c>
      <c r="D2762">
        <v>4542</v>
      </c>
      <c r="E2762" t="s">
        <v>2764</v>
      </c>
    </row>
    <row r="2763" spans="1:5">
      <c r="A2763">
        <f>HYPERLINK("http://www.twitter.com/realDonaldTrump/status/724237889886904320", "724237889886904320")</f>
        <v>0</v>
      </c>
      <c r="B2763" s="2">
        <v>42484.5873032407</v>
      </c>
      <c r="C2763">
        <v>10568</v>
      </c>
      <c r="D2763">
        <v>3654</v>
      </c>
      <c r="E2763" t="s">
        <v>2765</v>
      </c>
    </row>
    <row r="2764" spans="1:5">
      <c r="A2764">
        <f>HYPERLINK("http://www.twitter.com/realDonaldTrump/status/724237406837334016", "724237406837334016")</f>
        <v>0</v>
      </c>
      <c r="B2764" s="2">
        <v>42484.5859722222</v>
      </c>
      <c r="C2764">
        <v>11101</v>
      </c>
      <c r="D2764">
        <v>4521</v>
      </c>
      <c r="E2764" t="s">
        <v>2766</v>
      </c>
    </row>
    <row r="2765" spans="1:5">
      <c r="A2765">
        <f>HYPERLINK("http://www.twitter.com/realDonaldTrump/status/724236857777762304", "724236857777762304")</f>
        <v>0</v>
      </c>
      <c r="B2765" s="2">
        <v>42484.5844560185</v>
      </c>
      <c r="C2765">
        <v>12018</v>
      </c>
      <c r="D2765">
        <v>3535</v>
      </c>
      <c r="E2765" t="s">
        <v>2767</v>
      </c>
    </row>
    <row r="2766" spans="1:5">
      <c r="A2766">
        <f>HYPERLINK("http://www.twitter.com/realDonaldTrump/status/724236172181049344", "724236172181049344")</f>
        <v>0</v>
      </c>
      <c r="B2766" s="2">
        <v>42484.5825578704</v>
      </c>
      <c r="C2766">
        <v>6321</v>
      </c>
      <c r="D2766">
        <v>1634</v>
      </c>
      <c r="E2766" t="s">
        <v>2768</v>
      </c>
    </row>
    <row r="2767" spans="1:5">
      <c r="A2767">
        <f>HYPERLINK("http://www.twitter.com/realDonaldTrump/status/724055614498955265", "724055614498955265")</f>
        <v>0</v>
      </c>
      <c r="B2767" s="2">
        <v>42484.0843171296</v>
      </c>
      <c r="C2767">
        <v>8610</v>
      </c>
      <c r="D2767">
        <v>2493</v>
      </c>
      <c r="E2767" t="s">
        <v>2769</v>
      </c>
    </row>
    <row r="2768" spans="1:5">
      <c r="A2768">
        <f>HYPERLINK("http://www.twitter.com/realDonaldTrump/status/724052308661772288", "724052308661772288")</f>
        <v>0</v>
      </c>
      <c r="B2768" s="2">
        <v>42484.0751967593</v>
      </c>
      <c r="C2768">
        <v>15794</v>
      </c>
      <c r="D2768">
        <v>4602</v>
      </c>
      <c r="E2768" t="s">
        <v>2770</v>
      </c>
    </row>
    <row r="2769" spans="1:5">
      <c r="A2769">
        <f>HYPERLINK("http://www.twitter.com/realDonaldTrump/status/724050713953861632", "724050713953861632")</f>
        <v>0</v>
      </c>
      <c r="B2769" s="2">
        <v>42484.0707986111</v>
      </c>
      <c r="C2769">
        <v>11190</v>
      </c>
      <c r="D2769">
        <v>2989</v>
      </c>
      <c r="E2769" t="s">
        <v>2771</v>
      </c>
    </row>
    <row r="2770" spans="1:5">
      <c r="A2770">
        <f>HYPERLINK("http://www.twitter.com/realDonaldTrump/status/724039081420808192", "724039081420808192")</f>
        <v>0</v>
      </c>
      <c r="B2770" s="2">
        <v>42484.0386921296</v>
      </c>
      <c r="C2770">
        <v>13974</v>
      </c>
      <c r="D2770">
        <v>4086</v>
      </c>
      <c r="E2770" t="s">
        <v>2772</v>
      </c>
    </row>
    <row r="2771" spans="1:5">
      <c r="A2771">
        <f>HYPERLINK("http://www.twitter.com/realDonaldTrump/status/723972167893966848", "723972167893966848")</f>
        <v>0</v>
      </c>
      <c r="B2771" s="2">
        <v>42483.8540509259</v>
      </c>
      <c r="C2771">
        <v>14896</v>
      </c>
      <c r="D2771">
        <v>4321</v>
      </c>
      <c r="E2771" t="s">
        <v>2773</v>
      </c>
    </row>
    <row r="2772" spans="1:5">
      <c r="A2772">
        <f>HYPERLINK("http://www.twitter.com/realDonaldTrump/status/723957355495473152", "723957355495473152")</f>
        <v>0</v>
      </c>
      <c r="B2772" s="2">
        <v>42483.8131712963</v>
      </c>
      <c r="C2772">
        <v>9085</v>
      </c>
      <c r="D2772">
        <v>3287</v>
      </c>
      <c r="E2772" t="s">
        <v>2774</v>
      </c>
    </row>
    <row r="2773" spans="1:5">
      <c r="A2773">
        <f>HYPERLINK("http://www.twitter.com/realDonaldTrump/status/723956432991850498", "723956432991850498")</f>
        <v>0</v>
      </c>
      <c r="B2773" s="2">
        <v>42483.810625</v>
      </c>
      <c r="C2773">
        <v>7848</v>
      </c>
      <c r="D2773">
        <v>2427</v>
      </c>
      <c r="E2773" t="s">
        <v>2775</v>
      </c>
    </row>
    <row r="2774" spans="1:5">
      <c r="A2774">
        <f>HYPERLINK("http://www.twitter.com/realDonaldTrump/status/723906843865698306", "723906843865698306")</f>
        <v>0</v>
      </c>
      <c r="B2774" s="2">
        <v>42483.6737847222</v>
      </c>
      <c r="C2774">
        <v>8935</v>
      </c>
      <c r="D2774">
        <v>2727</v>
      </c>
      <c r="E2774" t="s">
        <v>2776</v>
      </c>
    </row>
    <row r="2775" spans="1:5">
      <c r="A2775">
        <f>HYPERLINK("http://www.twitter.com/realDonaldTrump/status/723885342743494659", "723885342743494659")</f>
        <v>0</v>
      </c>
      <c r="B2775" s="2">
        <v>42483.6144560185</v>
      </c>
      <c r="C2775">
        <v>8738</v>
      </c>
      <c r="D2775">
        <v>3252</v>
      </c>
      <c r="E2775" t="s">
        <v>2777</v>
      </c>
    </row>
    <row r="2776" spans="1:5">
      <c r="A2776">
        <f>HYPERLINK("http://www.twitter.com/realDonaldTrump/status/723873688001589249", "723873688001589249")</f>
        <v>0</v>
      </c>
      <c r="B2776" s="2">
        <v>42483.5822916667</v>
      </c>
      <c r="C2776">
        <v>15901</v>
      </c>
      <c r="D2776">
        <v>7664</v>
      </c>
      <c r="E2776" t="s">
        <v>2778</v>
      </c>
    </row>
    <row r="2777" spans="1:5">
      <c r="A2777">
        <f>HYPERLINK("http://www.twitter.com/realDonaldTrump/status/723853244238278656", "723853244238278656")</f>
        <v>0</v>
      </c>
      <c r="B2777" s="2">
        <v>42483.5258796296</v>
      </c>
      <c r="C2777">
        <v>13085</v>
      </c>
      <c r="D2777">
        <v>4258</v>
      </c>
      <c r="E2777" t="s">
        <v>2779</v>
      </c>
    </row>
    <row r="2778" spans="1:5">
      <c r="A2778">
        <f>HYPERLINK("http://www.twitter.com/realDonaldTrump/status/723682291843780608", "723682291843780608")</f>
        <v>0</v>
      </c>
      <c r="B2778" s="2">
        <v>42483.0541435185</v>
      </c>
      <c r="C2778">
        <v>11006</v>
      </c>
      <c r="D2778">
        <v>3869</v>
      </c>
      <c r="E2778" t="s">
        <v>2780</v>
      </c>
    </row>
    <row r="2779" spans="1:5">
      <c r="A2779">
        <f>HYPERLINK("http://www.twitter.com/realDonaldTrump/status/723663455748763649", "723663455748763649")</f>
        <v>0</v>
      </c>
      <c r="B2779" s="2">
        <v>42483.0021643518</v>
      </c>
      <c r="C2779">
        <v>12515</v>
      </c>
      <c r="D2779">
        <v>4270</v>
      </c>
      <c r="E2779" t="s">
        <v>2781</v>
      </c>
    </row>
    <row r="2780" spans="1:5">
      <c r="A2780">
        <f>HYPERLINK("http://www.twitter.com/realDonaldTrump/status/723655961999736833", "723655961999736833")</f>
        <v>0</v>
      </c>
      <c r="B2780" s="2">
        <v>42482.9814814815</v>
      </c>
      <c r="C2780">
        <v>11845</v>
      </c>
      <c r="D2780">
        <v>4502</v>
      </c>
      <c r="E2780" t="s">
        <v>2782</v>
      </c>
    </row>
    <row r="2781" spans="1:5">
      <c r="A2781">
        <f>HYPERLINK("http://www.twitter.com/realDonaldTrump/status/723637770758033409", "723637770758033409")</f>
        <v>0</v>
      </c>
      <c r="B2781" s="2">
        <v>42482.9312847222</v>
      </c>
      <c r="C2781">
        <v>10589</v>
      </c>
      <c r="D2781">
        <v>3381</v>
      </c>
      <c r="E2781" t="s">
        <v>2783</v>
      </c>
    </row>
    <row r="2782" spans="1:5">
      <c r="A2782">
        <f>HYPERLINK("http://www.twitter.com/realDonaldTrump/status/723565939162275840", "723565939162275840")</f>
        <v>0</v>
      </c>
      <c r="B2782" s="2">
        <v>42482.7330671296</v>
      </c>
      <c r="C2782">
        <v>15021</v>
      </c>
      <c r="D2782">
        <v>5431</v>
      </c>
      <c r="E2782" t="s">
        <v>2784</v>
      </c>
    </row>
    <row r="2783" spans="1:5">
      <c r="A2783">
        <f>HYPERLINK("http://www.twitter.com/realDonaldTrump/status/723526822424678400", "723526822424678400")</f>
        <v>0</v>
      </c>
      <c r="B2783" s="2">
        <v>42482.6251273148</v>
      </c>
      <c r="C2783">
        <v>25879</v>
      </c>
      <c r="D2783">
        <v>6728</v>
      </c>
      <c r="E2783" t="s">
        <v>2785</v>
      </c>
    </row>
    <row r="2784" spans="1:5">
      <c r="A2784">
        <f>HYPERLINK("http://www.twitter.com/realDonaldTrump/status/723274222907301888", "723274222907301888")</f>
        <v>0</v>
      </c>
      <c r="B2784" s="2">
        <v>42481.9280902778</v>
      </c>
      <c r="C2784">
        <v>22277</v>
      </c>
      <c r="D2784">
        <v>8324</v>
      </c>
      <c r="E2784" t="s">
        <v>2786</v>
      </c>
    </row>
    <row r="2785" spans="1:5">
      <c r="A2785">
        <f>HYPERLINK("http://www.twitter.com/realDonaldTrump/status/723266899275091969", "723266899275091969")</f>
        <v>0</v>
      </c>
      <c r="B2785" s="2">
        <v>42481.9078819444</v>
      </c>
      <c r="C2785">
        <v>24657</v>
      </c>
      <c r="D2785">
        <v>8572</v>
      </c>
      <c r="E2785" t="s">
        <v>2787</v>
      </c>
    </row>
    <row r="2786" spans="1:5">
      <c r="A2786">
        <f>HYPERLINK("http://www.twitter.com/realDonaldTrump/status/723094439485399040", "723094439485399040")</f>
        <v>0</v>
      </c>
      <c r="B2786" s="2">
        <v>42481.4319791667</v>
      </c>
      <c r="C2786">
        <v>26160</v>
      </c>
      <c r="D2786">
        <v>9662</v>
      </c>
      <c r="E2786" t="s">
        <v>2788</v>
      </c>
    </row>
    <row r="2787" spans="1:5">
      <c r="A2787">
        <f>HYPERLINK("http://www.twitter.com/realDonaldTrump/status/723092613457448960", "723092613457448960")</f>
        <v>0</v>
      </c>
      <c r="B2787" s="2">
        <v>42481.4269444444</v>
      </c>
      <c r="C2787">
        <v>11491</v>
      </c>
      <c r="D2787">
        <v>2564</v>
      </c>
      <c r="E2787" t="s">
        <v>2789</v>
      </c>
    </row>
    <row r="2788" spans="1:5">
      <c r="A2788">
        <f>HYPERLINK("http://www.twitter.com/realDonaldTrump/status/722974716395425793", "722974716395425793")</f>
        <v>0</v>
      </c>
      <c r="B2788" s="2">
        <v>42481.1016087963</v>
      </c>
      <c r="C2788">
        <v>11998</v>
      </c>
      <c r="D2788">
        <v>3943</v>
      </c>
      <c r="E2788" t="s">
        <v>2790</v>
      </c>
    </row>
    <row r="2789" spans="1:5">
      <c r="A2789">
        <f>HYPERLINK("http://www.twitter.com/realDonaldTrump/status/722967703313612802", "722967703313612802")</f>
        <v>0</v>
      </c>
      <c r="B2789" s="2">
        <v>42481.0822569444</v>
      </c>
      <c r="C2789">
        <v>15451</v>
      </c>
      <c r="D2789">
        <v>5085</v>
      </c>
      <c r="E2789" t="s">
        <v>2791</v>
      </c>
    </row>
    <row r="2790" spans="1:5">
      <c r="A2790">
        <f>HYPERLINK("http://www.twitter.com/realDonaldTrump/status/722967660833722369", "722967660833722369")</f>
        <v>0</v>
      </c>
      <c r="B2790" s="2">
        <v>42481.0821412037</v>
      </c>
      <c r="C2790">
        <v>17293</v>
      </c>
      <c r="D2790">
        <v>5261</v>
      </c>
      <c r="E2790" t="s">
        <v>2792</v>
      </c>
    </row>
    <row r="2791" spans="1:5">
      <c r="A2791">
        <f>HYPERLINK("http://www.twitter.com/realDonaldTrump/status/722920297393995776", "722920297393995776")</f>
        <v>0</v>
      </c>
      <c r="B2791" s="2">
        <v>42480.9514351852</v>
      </c>
      <c r="C2791">
        <v>14091</v>
      </c>
      <c r="D2791">
        <v>4938</v>
      </c>
      <c r="E2791" t="s">
        <v>2793</v>
      </c>
    </row>
    <row r="2792" spans="1:5">
      <c r="A2792">
        <f>HYPERLINK("http://www.twitter.com/realDonaldTrump/status/722818508665454593", "722818508665454593")</f>
        <v>0</v>
      </c>
      <c r="B2792" s="2">
        <v>42480.6705555556</v>
      </c>
      <c r="C2792">
        <v>7544</v>
      </c>
      <c r="D2792">
        <v>2733</v>
      </c>
      <c r="E2792" t="s">
        <v>2794</v>
      </c>
    </row>
    <row r="2793" spans="1:5">
      <c r="A2793">
        <f>HYPERLINK("http://www.twitter.com/realDonaldTrump/status/722802795720634368", "722802795720634368")</f>
        <v>0</v>
      </c>
      <c r="B2793" s="2">
        <v>42480.6271990741</v>
      </c>
      <c r="C2793">
        <v>14431</v>
      </c>
      <c r="D2793">
        <v>4423</v>
      </c>
      <c r="E2793" t="s">
        <v>2795</v>
      </c>
    </row>
    <row r="2794" spans="1:5">
      <c r="A2794">
        <f>HYPERLINK("http://www.twitter.com/realDonaldTrump/status/722767517349978112", "722767517349978112")</f>
        <v>0</v>
      </c>
      <c r="B2794" s="2">
        <v>42480.529849537</v>
      </c>
      <c r="C2794">
        <v>27312</v>
      </c>
      <c r="D2794">
        <v>9999</v>
      </c>
      <c r="E2794" t="s">
        <v>2796</v>
      </c>
    </row>
    <row r="2795" spans="1:5">
      <c r="A2795">
        <f>HYPERLINK("http://www.twitter.com/realDonaldTrump/status/722635529708285952", "722635529708285952")</f>
        <v>0</v>
      </c>
      <c r="B2795" s="2">
        <v>42480.165625</v>
      </c>
      <c r="C2795">
        <v>10870</v>
      </c>
      <c r="D2795">
        <v>3813</v>
      </c>
      <c r="E2795" t="s">
        <v>2797</v>
      </c>
    </row>
    <row r="2796" spans="1:5">
      <c r="A2796">
        <f>HYPERLINK("http://www.twitter.com/realDonaldTrump/status/722628702748688385", "722628702748688385")</f>
        <v>0</v>
      </c>
      <c r="B2796" s="2">
        <v>42480.1467939815</v>
      </c>
      <c r="C2796">
        <v>14311</v>
      </c>
      <c r="D2796">
        <v>5301</v>
      </c>
      <c r="E2796" t="s">
        <v>2798</v>
      </c>
    </row>
    <row r="2797" spans="1:5">
      <c r="A2797">
        <f>HYPERLINK("http://www.twitter.com/realDonaldTrump/status/722626421231890432", "722626421231890432")</f>
        <v>0</v>
      </c>
      <c r="B2797" s="2">
        <v>42480.1404976852</v>
      </c>
      <c r="C2797">
        <v>21242</v>
      </c>
      <c r="D2797">
        <v>6309</v>
      </c>
      <c r="E2797" t="s">
        <v>2799</v>
      </c>
    </row>
    <row r="2798" spans="1:5">
      <c r="A2798">
        <f>HYPERLINK("http://www.twitter.com/realDonaldTrump/status/722592772096724997", "722592772096724997")</f>
        <v>0</v>
      </c>
      <c r="B2798" s="2">
        <v>42480.0476388889</v>
      </c>
      <c r="C2798">
        <v>24445</v>
      </c>
      <c r="D2798">
        <v>9908</v>
      </c>
      <c r="E2798" t="s">
        <v>2800</v>
      </c>
    </row>
    <row r="2799" spans="1:5">
      <c r="A2799">
        <f>HYPERLINK("http://www.twitter.com/realDonaldTrump/status/722589315923054592", "722589315923054592")</f>
        <v>0</v>
      </c>
      <c r="B2799" s="2">
        <v>42480.0381018519</v>
      </c>
      <c r="C2799">
        <v>14848</v>
      </c>
      <c r="D2799">
        <v>4111</v>
      </c>
      <c r="E2799" t="s">
        <v>2801</v>
      </c>
    </row>
    <row r="2800" spans="1:5">
      <c r="A2800">
        <f>HYPERLINK("http://www.twitter.com/realDonaldTrump/status/722576418752892928", "722576418752892928")</f>
        <v>0</v>
      </c>
      <c r="B2800" s="2">
        <v>42480.0025115741</v>
      </c>
      <c r="C2800">
        <v>9491</v>
      </c>
      <c r="D2800">
        <v>2912</v>
      </c>
      <c r="E2800" t="s">
        <v>2802</v>
      </c>
    </row>
    <row r="2801" spans="1:5">
      <c r="A2801">
        <f>HYPERLINK("http://www.twitter.com/realDonaldTrump/status/722573329400520704", "722573329400520704")</f>
        <v>0</v>
      </c>
      <c r="B2801" s="2">
        <v>42479.9939930556</v>
      </c>
      <c r="C2801">
        <v>14167</v>
      </c>
      <c r="D2801">
        <v>3817</v>
      </c>
      <c r="E2801" t="s">
        <v>2803</v>
      </c>
    </row>
    <row r="2802" spans="1:5">
      <c r="A2802">
        <f>HYPERLINK("http://www.twitter.com/realDonaldTrump/status/722573028677304320", "722573028677304320")</f>
        <v>0</v>
      </c>
      <c r="B2802" s="2">
        <v>42479.9931597222</v>
      </c>
      <c r="C2802">
        <v>8546</v>
      </c>
      <c r="D2802">
        <v>2458</v>
      </c>
      <c r="E2802" t="s">
        <v>2804</v>
      </c>
    </row>
    <row r="2803" spans="1:5">
      <c r="A2803">
        <f>HYPERLINK("http://www.twitter.com/realDonaldTrump/status/722545371809980417", "722545371809980417")</f>
        <v>0</v>
      </c>
      <c r="B2803" s="2">
        <v>42479.9168402778</v>
      </c>
      <c r="C2803">
        <v>9229</v>
      </c>
      <c r="D2803">
        <v>3396</v>
      </c>
      <c r="E2803" t="s">
        <v>2805</v>
      </c>
    </row>
    <row r="2804" spans="1:5">
      <c r="A2804">
        <f>HYPERLINK("http://www.twitter.com/realDonaldTrump/status/722540379799740416", "722540379799740416")</f>
        <v>0</v>
      </c>
      <c r="B2804" s="2">
        <v>42479.9030671296</v>
      </c>
      <c r="C2804">
        <v>0</v>
      </c>
      <c r="D2804">
        <v>3241</v>
      </c>
      <c r="E2804" t="s">
        <v>2806</v>
      </c>
    </row>
    <row r="2805" spans="1:5">
      <c r="A2805">
        <f>HYPERLINK("http://www.twitter.com/realDonaldTrump/status/722528613690654724", "722528613690654724")</f>
        <v>0</v>
      </c>
      <c r="B2805" s="2">
        <v>42479.8706018518</v>
      </c>
      <c r="C2805">
        <v>6762</v>
      </c>
      <c r="D2805">
        <v>2137</v>
      </c>
      <c r="E2805" t="s">
        <v>2807</v>
      </c>
    </row>
    <row r="2806" spans="1:5">
      <c r="A2806">
        <f>HYPERLINK("http://www.twitter.com/realDonaldTrump/status/722511721257181184", "722511721257181184")</f>
        <v>0</v>
      </c>
      <c r="B2806" s="2">
        <v>42479.8239814815</v>
      </c>
      <c r="C2806">
        <v>14404</v>
      </c>
      <c r="D2806">
        <v>6423</v>
      </c>
      <c r="E2806" t="s">
        <v>2808</v>
      </c>
    </row>
    <row r="2807" spans="1:5">
      <c r="A2807">
        <f>HYPERLINK("http://www.twitter.com/realDonaldTrump/status/722501079297048576", "722501079297048576")</f>
        <v>0</v>
      </c>
      <c r="B2807" s="2">
        <v>42479.7946180556</v>
      </c>
      <c r="C2807">
        <v>10643</v>
      </c>
      <c r="D2807">
        <v>5001</v>
      </c>
      <c r="E2807" t="s">
        <v>2809</v>
      </c>
    </row>
    <row r="2808" spans="1:5">
      <c r="A2808">
        <f>HYPERLINK("http://www.twitter.com/realDonaldTrump/status/722489659117420544", "722489659117420544")</f>
        <v>0</v>
      </c>
      <c r="B2808" s="2">
        <v>42479.7631018519</v>
      </c>
      <c r="C2808">
        <v>12729</v>
      </c>
      <c r="D2808">
        <v>6538</v>
      </c>
      <c r="E2808" t="s">
        <v>2810</v>
      </c>
    </row>
    <row r="2809" spans="1:5">
      <c r="A2809">
        <f>HYPERLINK("http://www.twitter.com/realDonaldTrump/status/722483180826181633", "722483180826181633")</f>
        <v>0</v>
      </c>
      <c r="B2809" s="2">
        <v>42479.7452314815</v>
      </c>
      <c r="C2809">
        <v>13128</v>
      </c>
      <c r="D2809">
        <v>6259</v>
      </c>
      <c r="E2809" t="s">
        <v>2811</v>
      </c>
    </row>
    <row r="2810" spans="1:5">
      <c r="A2810">
        <f>HYPERLINK("http://www.twitter.com/realDonaldTrump/status/722471042367778816", "722471042367778816")</f>
        <v>0</v>
      </c>
      <c r="B2810" s="2">
        <v>42479.7117361111</v>
      </c>
      <c r="C2810">
        <v>7918</v>
      </c>
      <c r="D2810">
        <v>2849</v>
      </c>
      <c r="E2810" t="s">
        <v>2812</v>
      </c>
    </row>
    <row r="2811" spans="1:5">
      <c r="A2811">
        <f>HYPERLINK("http://www.twitter.com/realDonaldTrump/status/722455189911953409", "722455189911953409")</f>
        <v>0</v>
      </c>
      <c r="B2811" s="2">
        <v>42479.6679861111</v>
      </c>
      <c r="C2811">
        <v>6970</v>
      </c>
      <c r="D2811">
        <v>2859</v>
      </c>
      <c r="E2811" t="s">
        <v>2813</v>
      </c>
    </row>
    <row r="2812" spans="1:5">
      <c r="A2812">
        <f>HYPERLINK("http://www.twitter.com/realDonaldTrump/status/722443916742639617", "722443916742639617")</f>
        <v>0</v>
      </c>
      <c r="B2812" s="2">
        <v>42479.636875</v>
      </c>
      <c r="C2812">
        <v>6842</v>
      </c>
      <c r="D2812">
        <v>2025</v>
      </c>
      <c r="E2812" t="s">
        <v>2814</v>
      </c>
    </row>
    <row r="2813" spans="1:5">
      <c r="A2813">
        <f>HYPERLINK("http://www.twitter.com/realDonaldTrump/status/722397728475582465", "722397728475582465")</f>
        <v>0</v>
      </c>
      <c r="B2813" s="2">
        <v>42479.5094212963</v>
      </c>
      <c r="C2813">
        <v>16812</v>
      </c>
      <c r="D2813">
        <v>6364</v>
      </c>
      <c r="E2813" t="s">
        <v>2815</v>
      </c>
    </row>
    <row r="2814" spans="1:5">
      <c r="A2814">
        <f>HYPERLINK("http://www.twitter.com/realDonaldTrump/status/722379509060788224", "722379509060788224")</f>
        <v>0</v>
      </c>
      <c r="B2814" s="2">
        <v>42479.4591435185</v>
      </c>
      <c r="C2814">
        <v>6719</v>
      </c>
      <c r="D2814">
        <v>1432</v>
      </c>
      <c r="E2814" t="s">
        <v>2816</v>
      </c>
    </row>
    <row r="2815" spans="1:5">
      <c r="A2815">
        <f>HYPERLINK("http://www.twitter.com/realDonaldTrump/status/722266479660556289", "722266479660556289")</f>
        <v>0</v>
      </c>
      <c r="B2815" s="2">
        <v>42479.1472453704</v>
      </c>
      <c r="C2815">
        <v>10514</v>
      </c>
      <c r="D2815">
        <v>3582</v>
      </c>
      <c r="E2815" t="s">
        <v>2817</v>
      </c>
    </row>
    <row r="2816" spans="1:5">
      <c r="A2816">
        <f>HYPERLINK("http://www.twitter.com/realDonaldTrump/status/722264735966748672", "722264735966748672")</f>
        <v>0</v>
      </c>
      <c r="B2816" s="2">
        <v>42479.1424305556</v>
      </c>
      <c r="C2816">
        <v>16840</v>
      </c>
      <c r="D2816">
        <v>8480</v>
      </c>
      <c r="E2816" t="s">
        <v>2818</v>
      </c>
    </row>
    <row r="2817" spans="1:5">
      <c r="A2817">
        <f>HYPERLINK("http://www.twitter.com/realDonaldTrump/status/722181629528141824", "722181629528141824")</f>
        <v>0</v>
      </c>
      <c r="B2817" s="2">
        <v>42478.9131018519</v>
      </c>
      <c r="C2817">
        <v>16782</v>
      </c>
      <c r="D2817">
        <v>6676</v>
      </c>
      <c r="E2817" t="s">
        <v>2819</v>
      </c>
    </row>
    <row r="2818" spans="1:5">
      <c r="A2818">
        <f>HYPERLINK("http://www.twitter.com/realDonaldTrump/status/722120138057740288", "722120138057740288")</f>
        <v>0</v>
      </c>
      <c r="B2818" s="2">
        <v>42478.7434143519</v>
      </c>
      <c r="C2818">
        <v>10878</v>
      </c>
      <c r="D2818">
        <v>3808</v>
      </c>
      <c r="E2818" t="s">
        <v>2820</v>
      </c>
    </row>
    <row r="2819" spans="1:5">
      <c r="A2819">
        <f>HYPERLINK("http://www.twitter.com/realDonaldTrump/status/722017428520243201", "722017428520243201")</f>
        <v>0</v>
      </c>
      <c r="B2819" s="2">
        <v>42478.46</v>
      </c>
      <c r="C2819">
        <v>15192</v>
      </c>
      <c r="D2819">
        <v>4674</v>
      </c>
      <c r="E2819" t="s">
        <v>2821</v>
      </c>
    </row>
    <row r="2820" spans="1:5">
      <c r="A2820">
        <f>HYPERLINK("http://www.twitter.com/realDonaldTrump/status/722016321119121409", "722016321119121409")</f>
        <v>0</v>
      </c>
      <c r="B2820" s="2">
        <v>42478.4569444444</v>
      </c>
      <c r="C2820">
        <v>15198</v>
      </c>
      <c r="D2820">
        <v>4973</v>
      </c>
      <c r="E2820" t="s">
        <v>2822</v>
      </c>
    </row>
    <row r="2821" spans="1:5">
      <c r="A2821">
        <f>HYPERLINK("http://www.twitter.com/realDonaldTrump/status/721987186732703744", "721987186732703744")</f>
        <v>0</v>
      </c>
      <c r="B2821" s="2">
        <v>42478.3765393519</v>
      </c>
      <c r="C2821">
        <v>10248</v>
      </c>
      <c r="D2821">
        <v>3470</v>
      </c>
      <c r="E2821" t="s">
        <v>2823</v>
      </c>
    </row>
    <row r="2822" spans="1:5">
      <c r="A2822">
        <f>HYPERLINK("http://www.twitter.com/realDonaldTrump/status/721836860356628482", "721836860356628482")</f>
        <v>0</v>
      </c>
      <c r="B2822" s="2">
        <v>42477.961724537</v>
      </c>
      <c r="C2822">
        <v>17690</v>
      </c>
      <c r="D2822">
        <v>6512</v>
      </c>
      <c r="E2822" t="s">
        <v>2824</v>
      </c>
    </row>
    <row r="2823" spans="1:5">
      <c r="A2823">
        <f>HYPERLINK("http://www.twitter.com/realDonaldTrump/status/721805701325172736", "721805701325172736")</f>
        <v>0</v>
      </c>
      <c r="B2823" s="2">
        <v>42477.8757407407</v>
      </c>
      <c r="C2823">
        <v>14010</v>
      </c>
      <c r="D2823">
        <v>5558</v>
      </c>
      <c r="E2823" t="s">
        <v>2825</v>
      </c>
    </row>
    <row r="2824" spans="1:5">
      <c r="A2824">
        <f>HYPERLINK("http://www.twitter.com/realDonaldTrump/status/721708342838747136", "721708342838747136")</f>
        <v>0</v>
      </c>
      <c r="B2824" s="2">
        <v>42477.6070833333</v>
      </c>
      <c r="C2824">
        <v>28081</v>
      </c>
      <c r="D2824">
        <v>9509</v>
      </c>
      <c r="E2824" t="s">
        <v>2826</v>
      </c>
    </row>
    <row r="2825" spans="1:5">
      <c r="A2825">
        <f>HYPERLINK("http://www.twitter.com/realDonaldTrump/status/721695114943442946", "721695114943442946")</f>
        <v>0</v>
      </c>
      <c r="B2825" s="2">
        <v>42477.5705787037</v>
      </c>
      <c r="C2825">
        <v>27339</v>
      </c>
      <c r="D2825">
        <v>9157</v>
      </c>
      <c r="E2825" t="s">
        <v>2827</v>
      </c>
    </row>
    <row r="2826" spans="1:5">
      <c r="A2826">
        <f>HYPERLINK("http://www.twitter.com/realDonaldTrump/status/721694330805755904", "721694330805755904")</f>
        <v>0</v>
      </c>
      <c r="B2826" s="2">
        <v>42477.5684143519</v>
      </c>
      <c r="C2826">
        <v>18825</v>
      </c>
      <c r="D2826">
        <v>6338</v>
      </c>
      <c r="E2826" t="s">
        <v>2828</v>
      </c>
    </row>
    <row r="2827" spans="1:5">
      <c r="A2827">
        <f>HYPERLINK("http://www.twitter.com/realDonaldTrump/status/721693297429901312", "721693297429901312")</f>
        <v>0</v>
      </c>
      <c r="B2827" s="2">
        <v>42477.5655671296</v>
      </c>
      <c r="C2827">
        <v>13855</v>
      </c>
      <c r="D2827">
        <v>4310</v>
      </c>
      <c r="E2827" t="s">
        <v>2829</v>
      </c>
    </row>
    <row r="2828" spans="1:5">
      <c r="A2828">
        <f>HYPERLINK("http://www.twitter.com/realDonaldTrump/status/721691854849318912", "721691854849318912")</f>
        <v>0</v>
      </c>
      <c r="B2828" s="2">
        <v>42477.5615856481</v>
      </c>
      <c r="C2828">
        <v>11789</v>
      </c>
      <c r="D2828">
        <v>3669</v>
      </c>
      <c r="E2828" t="s">
        <v>2830</v>
      </c>
    </row>
    <row r="2829" spans="1:5">
      <c r="A2829">
        <f>HYPERLINK("http://www.twitter.com/realDonaldTrump/status/721531225916223488", "721531225916223488")</f>
        <v>0</v>
      </c>
      <c r="B2829" s="2">
        <v>42477.1183333333</v>
      </c>
      <c r="C2829">
        <v>12720</v>
      </c>
      <c r="D2829">
        <v>5618</v>
      </c>
      <c r="E2829" t="s">
        <v>2831</v>
      </c>
    </row>
    <row r="2830" spans="1:5">
      <c r="A2830">
        <f>HYPERLINK("http://www.twitter.com/realDonaldTrump/status/721495328097042432", "721495328097042432")</f>
        <v>0</v>
      </c>
      <c r="B2830" s="2">
        <v>42477.0192708333</v>
      </c>
      <c r="C2830">
        <v>13086</v>
      </c>
      <c r="D2830">
        <v>5020</v>
      </c>
      <c r="E2830" t="s">
        <v>2832</v>
      </c>
    </row>
    <row r="2831" spans="1:5">
      <c r="A2831">
        <f>HYPERLINK("http://www.twitter.com/realDonaldTrump/status/721491758236962816", "721491758236962816")</f>
        <v>0</v>
      </c>
      <c r="B2831" s="2">
        <v>42477.0094212963</v>
      </c>
      <c r="C2831">
        <v>8086</v>
      </c>
      <c r="D2831">
        <v>2946</v>
      </c>
      <c r="E2831" t="s">
        <v>2833</v>
      </c>
    </row>
    <row r="2832" spans="1:5">
      <c r="A2832">
        <f>HYPERLINK("http://www.twitter.com/realDonaldTrump/status/721485578278203397", "721485578278203397")</f>
        <v>0</v>
      </c>
      <c r="B2832" s="2">
        <v>42476.9923726852</v>
      </c>
      <c r="C2832">
        <v>9717</v>
      </c>
      <c r="D2832">
        <v>2579</v>
      </c>
      <c r="E2832" t="s">
        <v>2834</v>
      </c>
    </row>
    <row r="2833" spans="1:5">
      <c r="A2833">
        <f>HYPERLINK("http://www.twitter.com/realDonaldTrump/status/721458878622363648", "721458878622363648")</f>
        <v>0</v>
      </c>
      <c r="B2833" s="2">
        <v>42476.9186921296</v>
      </c>
      <c r="C2833">
        <v>6841</v>
      </c>
      <c r="D2833">
        <v>2100</v>
      </c>
      <c r="E2833" t="s">
        <v>2835</v>
      </c>
    </row>
    <row r="2834" spans="1:5">
      <c r="A2834">
        <f>HYPERLINK("http://www.twitter.com/realDonaldTrump/status/721450634520584192", "721450634520584192")</f>
        <v>0</v>
      </c>
      <c r="B2834" s="2">
        <v>42476.8959375</v>
      </c>
      <c r="C2834">
        <v>10124</v>
      </c>
      <c r="D2834">
        <v>3769</v>
      </c>
      <c r="E2834" t="s">
        <v>2836</v>
      </c>
    </row>
    <row r="2835" spans="1:5">
      <c r="A2835">
        <f>HYPERLINK("http://www.twitter.com/realDonaldTrump/status/721450217384579076", "721450217384579076")</f>
        <v>0</v>
      </c>
      <c r="B2835" s="2">
        <v>42476.8947916667</v>
      </c>
      <c r="C2835">
        <v>14049</v>
      </c>
      <c r="D2835">
        <v>5293</v>
      </c>
      <c r="E2835" t="s">
        <v>2837</v>
      </c>
    </row>
    <row r="2836" spans="1:5">
      <c r="A2836">
        <f>HYPERLINK("http://www.twitter.com/realDonaldTrump/status/721450040552722433", "721450040552722433")</f>
        <v>0</v>
      </c>
      <c r="B2836" s="2">
        <v>42476.8943055556</v>
      </c>
      <c r="C2836">
        <v>8605</v>
      </c>
      <c r="D2836">
        <v>3411</v>
      </c>
      <c r="E2836" t="s">
        <v>2838</v>
      </c>
    </row>
    <row r="2837" spans="1:5">
      <c r="A2837">
        <f>HYPERLINK("http://www.twitter.com/realDonaldTrump/status/721401779276144640", "721401779276144640")</f>
        <v>0</v>
      </c>
      <c r="B2837" s="2">
        <v>42476.7611226852</v>
      </c>
      <c r="C2837">
        <v>6781</v>
      </c>
      <c r="D2837">
        <v>2245</v>
      </c>
      <c r="E2837" t="s">
        <v>2839</v>
      </c>
    </row>
    <row r="2838" spans="1:5">
      <c r="A2838">
        <f>HYPERLINK("http://www.twitter.com/realDonaldTrump/status/721371631118127104", "721371631118127104")</f>
        <v>0</v>
      </c>
      <c r="B2838" s="2">
        <v>42476.6779282407</v>
      </c>
      <c r="C2838">
        <v>15909</v>
      </c>
      <c r="D2838">
        <v>4108</v>
      </c>
      <c r="E2838" t="s">
        <v>2840</v>
      </c>
    </row>
    <row r="2839" spans="1:5">
      <c r="A2839">
        <f>HYPERLINK("http://www.twitter.com/realDonaldTrump/status/721344559205244928", "721344559205244928")</f>
        <v>0</v>
      </c>
      <c r="B2839" s="2">
        <v>42476.6032291667</v>
      </c>
      <c r="C2839">
        <v>7295</v>
      </c>
      <c r="D2839">
        <v>2645</v>
      </c>
      <c r="E2839" t="s">
        <v>2841</v>
      </c>
    </row>
    <row r="2840" spans="1:5">
      <c r="A2840">
        <f>HYPERLINK("http://www.twitter.com/realDonaldTrump/status/721307257472999424", "721307257472999424")</f>
        <v>0</v>
      </c>
      <c r="B2840" s="2">
        <v>42476.5003009259</v>
      </c>
      <c r="C2840">
        <v>9447</v>
      </c>
      <c r="D2840">
        <v>2536</v>
      </c>
      <c r="E2840" t="s">
        <v>2842</v>
      </c>
    </row>
    <row r="2841" spans="1:5">
      <c r="A2841">
        <f>HYPERLINK("http://www.twitter.com/realDonaldTrump/status/721306189867413504", "721306189867413504")</f>
        <v>0</v>
      </c>
      <c r="B2841" s="2">
        <v>42476.497349537</v>
      </c>
      <c r="C2841">
        <v>8638</v>
      </c>
      <c r="D2841">
        <v>2630</v>
      </c>
      <c r="E2841" t="s">
        <v>2843</v>
      </c>
    </row>
    <row r="2842" spans="1:5">
      <c r="A2842">
        <f>HYPERLINK("http://www.twitter.com/realDonaldTrump/status/721145563970936833", "721145563970936833")</f>
        <v>0</v>
      </c>
      <c r="B2842" s="2">
        <v>42476.0541087963</v>
      </c>
      <c r="C2842">
        <v>5611</v>
      </c>
      <c r="D2842">
        <v>1602</v>
      </c>
      <c r="E2842" t="s">
        <v>2844</v>
      </c>
    </row>
    <row r="2843" spans="1:5">
      <c r="A2843">
        <f>HYPERLINK("http://www.twitter.com/realDonaldTrump/status/721144953192247296", "721144953192247296")</f>
        <v>0</v>
      </c>
      <c r="B2843" s="2">
        <v>42476.0524189815</v>
      </c>
      <c r="C2843">
        <v>15762</v>
      </c>
      <c r="D2843">
        <v>5099</v>
      </c>
      <c r="E2843" t="s">
        <v>2845</v>
      </c>
    </row>
    <row r="2844" spans="1:5">
      <c r="A2844">
        <f>HYPERLINK("http://www.twitter.com/realDonaldTrump/status/721144689647316992", "721144689647316992")</f>
        <v>0</v>
      </c>
      <c r="B2844" s="2">
        <v>42476.0516898148</v>
      </c>
      <c r="C2844">
        <v>8072</v>
      </c>
      <c r="D2844">
        <v>2158</v>
      </c>
      <c r="E2844" t="s">
        <v>2846</v>
      </c>
    </row>
    <row r="2845" spans="1:5">
      <c r="A2845">
        <f>HYPERLINK("http://www.twitter.com/realDonaldTrump/status/721140843525050369", "721140843525050369")</f>
        <v>0</v>
      </c>
      <c r="B2845" s="2">
        <v>42476.0410763889</v>
      </c>
      <c r="C2845">
        <v>6162</v>
      </c>
      <c r="D2845">
        <v>2210</v>
      </c>
      <c r="E2845" t="s">
        <v>2847</v>
      </c>
    </row>
    <row r="2846" spans="1:5">
      <c r="A2846">
        <f>HYPERLINK("http://www.twitter.com/realDonaldTrump/status/721093904527925249", "721093904527925249")</f>
        <v>0</v>
      </c>
      <c r="B2846" s="2">
        <v>42475.9115509259</v>
      </c>
      <c r="C2846">
        <v>10859</v>
      </c>
      <c r="D2846">
        <v>3710</v>
      </c>
      <c r="E2846" t="s">
        <v>2848</v>
      </c>
    </row>
    <row r="2847" spans="1:5">
      <c r="A2847">
        <f>HYPERLINK("http://www.twitter.com/realDonaldTrump/status/721083678387003396", "721083678387003396")</f>
        <v>0</v>
      </c>
      <c r="B2847" s="2">
        <v>42475.8833333333</v>
      </c>
      <c r="C2847">
        <v>15027</v>
      </c>
      <c r="D2847">
        <v>5526</v>
      </c>
      <c r="E2847" t="s">
        <v>2849</v>
      </c>
    </row>
    <row r="2848" spans="1:5">
      <c r="A2848">
        <f>HYPERLINK("http://www.twitter.com/realDonaldTrump/status/720821603064524800", "720821603064524800")</f>
        <v>0</v>
      </c>
      <c r="B2848" s="2">
        <v>42475.160150463</v>
      </c>
      <c r="C2848">
        <v>12220</v>
      </c>
      <c r="D2848">
        <v>5259</v>
      </c>
      <c r="E2848" t="s">
        <v>2850</v>
      </c>
    </row>
    <row r="2849" spans="1:5">
      <c r="A2849">
        <f>HYPERLINK("http://www.twitter.com/realDonaldTrump/status/720671808861696003", "720671808861696003")</f>
        <v>0</v>
      </c>
      <c r="B2849" s="2">
        <v>42474.7467939815</v>
      </c>
      <c r="C2849">
        <v>8687</v>
      </c>
      <c r="D2849">
        <v>3514</v>
      </c>
      <c r="E2849" t="s">
        <v>2851</v>
      </c>
    </row>
    <row r="2850" spans="1:5">
      <c r="A2850">
        <f>HYPERLINK("http://www.twitter.com/realDonaldTrump/status/720473496187498496", "720473496187498496")</f>
        <v>0</v>
      </c>
      <c r="B2850" s="2">
        <v>42474.1995486111</v>
      </c>
      <c r="C2850">
        <v>14005</v>
      </c>
      <c r="D2850">
        <v>4616</v>
      </c>
      <c r="E2850" t="s">
        <v>2852</v>
      </c>
    </row>
    <row r="2851" spans="1:5">
      <c r="A2851">
        <f>HYPERLINK("http://www.twitter.com/realDonaldTrump/status/720464540375375873", "720464540375375873")</f>
        <v>0</v>
      </c>
      <c r="B2851" s="2">
        <v>42474.174837963</v>
      </c>
      <c r="C2851">
        <v>16861</v>
      </c>
      <c r="D2851">
        <v>6915</v>
      </c>
      <c r="E2851" t="s">
        <v>2853</v>
      </c>
    </row>
    <row r="2852" spans="1:5">
      <c r="A2852">
        <f>HYPERLINK("http://www.twitter.com/realDonaldTrump/status/720460065958989827", "720460065958989827")</f>
        <v>0</v>
      </c>
      <c r="B2852" s="2">
        <v>42474.1624884259</v>
      </c>
      <c r="C2852">
        <v>19201</v>
      </c>
      <c r="D2852">
        <v>6624</v>
      </c>
      <c r="E2852" t="s">
        <v>2854</v>
      </c>
    </row>
    <row r="2853" spans="1:5">
      <c r="A2853">
        <f>HYPERLINK("http://www.twitter.com/realDonaldTrump/status/720458178698338304", "720458178698338304")</f>
        <v>0</v>
      </c>
      <c r="B2853" s="2">
        <v>42474.1572800926</v>
      </c>
      <c r="C2853">
        <v>16842</v>
      </c>
      <c r="D2853">
        <v>6605</v>
      </c>
      <c r="E2853" t="s">
        <v>2855</v>
      </c>
    </row>
    <row r="2854" spans="1:5">
      <c r="A2854">
        <f>HYPERLINK("http://www.twitter.com/realDonaldTrump/status/720417893696040960", "720417893696040960")</f>
        <v>0</v>
      </c>
      <c r="B2854" s="2">
        <v>42474.0461226852</v>
      </c>
      <c r="C2854">
        <v>11251</v>
      </c>
      <c r="D2854">
        <v>3259</v>
      </c>
      <c r="E2854" t="s">
        <v>2856</v>
      </c>
    </row>
    <row r="2855" spans="1:5">
      <c r="A2855">
        <f>HYPERLINK("http://www.twitter.com/realDonaldTrump/status/720247344197820416", "720247344197820416")</f>
        <v>0</v>
      </c>
      <c r="B2855" s="2">
        <v>42473.5754976852</v>
      </c>
      <c r="C2855">
        <v>9966</v>
      </c>
      <c r="D2855">
        <v>3572</v>
      </c>
      <c r="E2855" t="s">
        <v>2857</v>
      </c>
    </row>
    <row r="2856" spans="1:5">
      <c r="A2856">
        <f>HYPERLINK("http://www.twitter.com/realDonaldTrump/status/720117231821156352", "720117231821156352")</f>
        <v>0</v>
      </c>
      <c r="B2856" s="2">
        <v>42473.2164467593</v>
      </c>
      <c r="C2856">
        <v>10729</v>
      </c>
      <c r="D2856">
        <v>3698</v>
      </c>
      <c r="E2856" t="s">
        <v>2858</v>
      </c>
    </row>
    <row r="2857" spans="1:5">
      <c r="A2857">
        <f>HYPERLINK("http://www.twitter.com/realDonaldTrump/status/720116836617072641", "720116836617072641")</f>
        <v>0</v>
      </c>
      <c r="B2857" s="2">
        <v>42473.2153587963</v>
      </c>
      <c r="C2857">
        <v>10129</v>
      </c>
      <c r="D2857">
        <v>3374</v>
      </c>
      <c r="E2857" t="s">
        <v>2859</v>
      </c>
    </row>
    <row r="2858" spans="1:5">
      <c r="A2858">
        <f>HYPERLINK("http://www.twitter.com/realDonaldTrump/status/720097594207268864", "720097594207268864")</f>
        <v>0</v>
      </c>
      <c r="B2858" s="2">
        <v>42473.1622569444</v>
      </c>
      <c r="C2858">
        <v>11538</v>
      </c>
      <c r="D2858">
        <v>2605</v>
      </c>
      <c r="E2858" t="s">
        <v>2860</v>
      </c>
    </row>
    <row r="2859" spans="1:5">
      <c r="A2859">
        <f>HYPERLINK("http://www.twitter.com/realDonaldTrump/status/720012484174811136", "720012484174811136")</f>
        <v>0</v>
      </c>
      <c r="B2859" s="2">
        <v>42472.9274074074</v>
      </c>
      <c r="C2859">
        <v>11835</v>
      </c>
      <c r="D2859">
        <v>3845</v>
      </c>
      <c r="E2859" t="s">
        <v>2861</v>
      </c>
    </row>
    <row r="2860" spans="1:5">
      <c r="A2860">
        <f>HYPERLINK("http://www.twitter.com/realDonaldTrump/status/719920610210615296", "719920610210615296")</f>
        <v>0</v>
      </c>
      <c r="B2860" s="2">
        <v>42472.6738773148</v>
      </c>
      <c r="C2860">
        <v>18451</v>
      </c>
      <c r="D2860">
        <v>7152</v>
      </c>
      <c r="E2860" t="s">
        <v>2862</v>
      </c>
    </row>
    <row r="2861" spans="1:5">
      <c r="A2861">
        <f>HYPERLINK("http://www.twitter.com/realDonaldTrump/status/719918725936373761", "719918725936373761")</f>
        <v>0</v>
      </c>
      <c r="B2861" s="2">
        <v>42472.6686805556</v>
      </c>
      <c r="C2861">
        <v>18202</v>
      </c>
      <c r="D2861">
        <v>6006</v>
      </c>
      <c r="E2861" t="s">
        <v>2863</v>
      </c>
    </row>
    <row r="2862" spans="1:5">
      <c r="A2862">
        <f>HYPERLINK("http://www.twitter.com/realDonaldTrump/status/719830679765270528", "719830679765270528")</f>
        <v>0</v>
      </c>
      <c r="B2862" s="2">
        <v>42472.4257175926</v>
      </c>
      <c r="C2862">
        <v>15520</v>
      </c>
      <c r="D2862">
        <v>6010</v>
      </c>
      <c r="E2862" t="s">
        <v>2864</v>
      </c>
    </row>
    <row r="2863" spans="1:5">
      <c r="A2863">
        <f>HYPERLINK("http://www.twitter.com/realDonaldTrump/status/719699403435585537", "719699403435585537")</f>
        <v>0</v>
      </c>
      <c r="B2863" s="2">
        <v>42472.0634606481</v>
      </c>
      <c r="C2863">
        <v>14050</v>
      </c>
      <c r="D2863">
        <v>5236</v>
      </c>
      <c r="E2863" t="s">
        <v>2865</v>
      </c>
    </row>
    <row r="2864" spans="1:5">
      <c r="A2864">
        <f>HYPERLINK("http://www.twitter.com/realDonaldTrump/status/719662034573504517", "719662034573504517")</f>
        <v>0</v>
      </c>
      <c r="B2864" s="2">
        <v>42471.9603472222</v>
      </c>
      <c r="C2864">
        <v>7723</v>
      </c>
      <c r="D2864">
        <v>2704</v>
      </c>
      <c r="E2864" t="s">
        <v>2866</v>
      </c>
    </row>
    <row r="2865" spans="1:5">
      <c r="A2865">
        <f>HYPERLINK("http://www.twitter.com/realDonaldTrump/status/719658640848723968", "719658640848723968")</f>
        <v>0</v>
      </c>
      <c r="B2865" s="2">
        <v>42471.9509837963</v>
      </c>
      <c r="C2865">
        <v>7894</v>
      </c>
      <c r="D2865">
        <v>2370</v>
      </c>
      <c r="E2865" t="s">
        <v>2867</v>
      </c>
    </row>
    <row r="2866" spans="1:5">
      <c r="A2866">
        <f>HYPERLINK("http://www.twitter.com/realDonaldTrump/status/719648132225699840", "719648132225699840")</f>
        <v>0</v>
      </c>
      <c r="B2866" s="2">
        <v>42471.9219791667</v>
      </c>
      <c r="C2866">
        <v>8585</v>
      </c>
      <c r="D2866">
        <v>3646</v>
      </c>
      <c r="E2866" t="s">
        <v>2868</v>
      </c>
    </row>
    <row r="2867" spans="1:5">
      <c r="A2867">
        <f>HYPERLINK("http://www.twitter.com/realDonaldTrump/status/719630850716000257", "719630850716000257")</f>
        <v>0</v>
      </c>
      <c r="B2867" s="2">
        <v>42471.8742939815</v>
      </c>
      <c r="C2867">
        <v>13068</v>
      </c>
      <c r="D2867">
        <v>3304</v>
      </c>
      <c r="E2867" t="s">
        <v>2869</v>
      </c>
    </row>
    <row r="2868" spans="1:5">
      <c r="A2868">
        <f>HYPERLINK("http://www.twitter.com/realDonaldTrump/status/719630780499128320", "719630780499128320")</f>
        <v>0</v>
      </c>
      <c r="B2868" s="2">
        <v>42471.8740972222</v>
      </c>
      <c r="C2868">
        <v>10143</v>
      </c>
      <c r="D2868">
        <v>2630</v>
      </c>
      <c r="E2868" t="s">
        <v>2870</v>
      </c>
    </row>
    <row r="2869" spans="1:5">
      <c r="A2869">
        <f>HYPERLINK("http://www.twitter.com/realDonaldTrump/status/719626295248863232", "719626295248863232")</f>
        <v>0</v>
      </c>
      <c r="B2869" s="2">
        <v>42471.861724537</v>
      </c>
      <c r="C2869">
        <v>8571</v>
      </c>
      <c r="D2869">
        <v>5023</v>
      </c>
      <c r="E2869" t="s">
        <v>2871</v>
      </c>
    </row>
    <row r="2870" spans="1:5">
      <c r="A2870">
        <f>HYPERLINK("http://www.twitter.com/realDonaldTrump/status/719548022871482370", "719548022871482370")</f>
        <v>0</v>
      </c>
      <c r="B2870" s="2">
        <v>42471.6457291667</v>
      </c>
      <c r="C2870">
        <v>14535</v>
      </c>
      <c r="D2870">
        <v>6941</v>
      </c>
      <c r="E2870" t="s">
        <v>2872</v>
      </c>
    </row>
    <row r="2871" spans="1:5">
      <c r="A2871">
        <f>HYPERLINK("http://www.twitter.com/realDonaldTrump/status/719500540657459201", "719500540657459201")</f>
        <v>0</v>
      </c>
      <c r="B2871" s="2">
        <v>42471.5147106481</v>
      </c>
      <c r="C2871">
        <v>8016</v>
      </c>
      <c r="D2871">
        <v>2209</v>
      </c>
      <c r="E2871" t="s">
        <v>2873</v>
      </c>
    </row>
    <row r="2872" spans="1:5">
      <c r="A2872">
        <f>HYPERLINK("http://www.twitter.com/realDonaldTrump/status/719484822834581504", "719484822834581504")</f>
        <v>0</v>
      </c>
      <c r="B2872" s="2">
        <v>42471.4713310185</v>
      </c>
      <c r="C2872">
        <v>7812</v>
      </c>
      <c r="D2872">
        <v>1925</v>
      </c>
      <c r="E2872" t="s">
        <v>2874</v>
      </c>
    </row>
    <row r="2873" spans="1:5">
      <c r="A2873">
        <f>HYPERLINK("http://www.twitter.com/realDonaldTrump/status/719484713182838784", "719484713182838784")</f>
        <v>0</v>
      </c>
      <c r="B2873" s="2">
        <v>42471.4710300926</v>
      </c>
      <c r="C2873">
        <v>8687</v>
      </c>
      <c r="D2873">
        <v>2358</v>
      </c>
      <c r="E2873" t="s">
        <v>2875</v>
      </c>
    </row>
    <row r="2874" spans="1:5">
      <c r="A2874">
        <f>HYPERLINK("http://www.twitter.com/realDonaldTrump/status/719484455556161538", "719484455556161538")</f>
        <v>0</v>
      </c>
      <c r="B2874" s="2">
        <v>42471.4703240741</v>
      </c>
      <c r="C2874">
        <v>10368</v>
      </c>
      <c r="D2874">
        <v>3891</v>
      </c>
      <c r="E2874" t="s">
        <v>2876</v>
      </c>
    </row>
    <row r="2875" spans="1:5">
      <c r="A2875">
        <f>HYPERLINK("http://www.twitter.com/realDonaldTrump/status/719476340576100353", "719476340576100353")</f>
        <v>0</v>
      </c>
      <c r="B2875" s="2">
        <v>42471.4479282407</v>
      </c>
      <c r="C2875">
        <v>7172</v>
      </c>
      <c r="D2875">
        <v>1508</v>
      </c>
      <c r="E2875" t="s">
        <v>2877</v>
      </c>
    </row>
    <row r="2876" spans="1:5">
      <c r="A2876">
        <f>HYPERLINK("http://www.twitter.com/realDonaldTrump/status/719326834538778625", "719326834538778625")</f>
        <v>0</v>
      </c>
      <c r="B2876" s="2">
        <v>42471.0353703704</v>
      </c>
      <c r="C2876">
        <v>26114</v>
      </c>
      <c r="D2876">
        <v>11083</v>
      </c>
      <c r="E2876" t="s">
        <v>2878</v>
      </c>
    </row>
    <row r="2877" spans="1:5">
      <c r="A2877">
        <f>HYPERLINK("http://www.twitter.com/realDonaldTrump/status/719321288301486081", "719321288301486081")</f>
        <v>0</v>
      </c>
      <c r="B2877" s="2">
        <v>42471.0200694444</v>
      </c>
      <c r="C2877">
        <v>27244</v>
      </c>
      <c r="D2877">
        <v>10212</v>
      </c>
      <c r="E2877" t="s">
        <v>2879</v>
      </c>
    </row>
    <row r="2878" spans="1:5">
      <c r="A2878">
        <f>HYPERLINK("http://www.twitter.com/realDonaldTrump/status/719244517929578496", "719244517929578496")</f>
        <v>0</v>
      </c>
      <c r="B2878" s="2">
        <v>42470.8082175926</v>
      </c>
      <c r="C2878">
        <v>8466</v>
      </c>
      <c r="D2878">
        <v>3421</v>
      </c>
      <c r="E2878" t="s">
        <v>2880</v>
      </c>
    </row>
    <row r="2879" spans="1:5">
      <c r="A2879">
        <f>HYPERLINK("http://www.twitter.com/realDonaldTrump/status/719159990834081794", "719159990834081794")</f>
        <v>0</v>
      </c>
      <c r="B2879" s="2">
        <v>42470.5749652778</v>
      </c>
      <c r="C2879">
        <v>25983</v>
      </c>
      <c r="D2879">
        <v>9804</v>
      </c>
      <c r="E2879" t="s">
        <v>2881</v>
      </c>
    </row>
    <row r="2880" spans="1:5">
      <c r="A2880">
        <f>HYPERLINK("http://www.twitter.com/realDonaldTrump/status/719158083684069376", "719158083684069376")</f>
        <v>0</v>
      </c>
      <c r="B2880" s="2">
        <v>42470.5697106481</v>
      </c>
      <c r="C2880">
        <v>14278</v>
      </c>
      <c r="D2880">
        <v>5174</v>
      </c>
      <c r="E2880" t="s">
        <v>2882</v>
      </c>
    </row>
    <row r="2881" spans="1:5">
      <c r="A2881">
        <f>HYPERLINK("http://www.twitter.com/realDonaldTrump/status/719125225728827396", "719125225728827396")</f>
        <v>0</v>
      </c>
      <c r="B2881" s="2">
        <v>42470.4790393518</v>
      </c>
      <c r="C2881">
        <v>8539</v>
      </c>
      <c r="D2881">
        <v>3528</v>
      </c>
      <c r="E2881" t="s">
        <v>2883</v>
      </c>
    </row>
    <row r="2882" spans="1:5">
      <c r="A2882">
        <f>HYPERLINK("http://www.twitter.com/realDonaldTrump/status/719124172903997441", "719124172903997441")</f>
        <v>0</v>
      </c>
      <c r="B2882" s="2">
        <v>42470.4761342593</v>
      </c>
      <c r="C2882">
        <v>6819</v>
      </c>
      <c r="D2882">
        <v>2026</v>
      </c>
      <c r="E2882" t="s">
        <v>2884</v>
      </c>
    </row>
    <row r="2883" spans="1:5">
      <c r="A2883">
        <f>HYPERLINK("http://www.twitter.com/realDonaldTrump/status/719001329759363072", "719001329759363072")</f>
        <v>0</v>
      </c>
      <c r="B2883" s="2">
        <v>42470.1371527778</v>
      </c>
      <c r="C2883">
        <v>8395</v>
      </c>
      <c r="D2883">
        <v>2554</v>
      </c>
      <c r="E2883" t="s">
        <v>2885</v>
      </c>
    </row>
    <row r="2884" spans="1:5">
      <c r="A2884">
        <f>HYPERLINK("http://www.twitter.com/realDonaldTrump/status/718999512283484160", "718999512283484160")</f>
        <v>0</v>
      </c>
      <c r="B2884" s="2">
        <v>42470.1321296296</v>
      </c>
      <c r="C2884">
        <v>12724</v>
      </c>
      <c r="D2884">
        <v>4938</v>
      </c>
      <c r="E2884" t="s">
        <v>2886</v>
      </c>
    </row>
    <row r="2885" spans="1:5">
      <c r="A2885">
        <f>HYPERLINK("http://www.twitter.com/realDonaldTrump/status/718998304810512385", "718998304810512385")</f>
        <v>0</v>
      </c>
      <c r="B2885" s="2">
        <v>42470.1287962963</v>
      </c>
      <c r="C2885">
        <v>12029</v>
      </c>
      <c r="D2885">
        <v>4302</v>
      </c>
      <c r="E2885" t="s">
        <v>2887</v>
      </c>
    </row>
    <row r="2886" spans="1:5">
      <c r="A2886">
        <f>HYPERLINK("http://www.twitter.com/realDonaldTrump/status/718998170315976708", "718998170315976708")</f>
        <v>0</v>
      </c>
      <c r="B2886" s="2">
        <v>42470.1284259259</v>
      </c>
      <c r="C2886">
        <v>9980</v>
      </c>
      <c r="D2886">
        <v>3494</v>
      </c>
      <c r="E2886" t="s">
        <v>2888</v>
      </c>
    </row>
    <row r="2887" spans="1:5">
      <c r="A2887">
        <f>HYPERLINK("http://www.twitter.com/realDonaldTrump/status/718997676747067392", "718997676747067392")</f>
        <v>0</v>
      </c>
      <c r="B2887" s="2">
        <v>42470.1270717593</v>
      </c>
      <c r="C2887">
        <v>10026</v>
      </c>
      <c r="D2887">
        <v>3268</v>
      </c>
      <c r="E2887" t="s">
        <v>2889</v>
      </c>
    </row>
    <row r="2888" spans="1:5">
      <c r="A2888">
        <f>HYPERLINK("http://www.twitter.com/realDonaldTrump/status/718997528923021312", "718997528923021312")</f>
        <v>0</v>
      </c>
      <c r="B2888" s="2">
        <v>42470.1266550926</v>
      </c>
      <c r="C2888">
        <v>8404</v>
      </c>
      <c r="D2888">
        <v>2645</v>
      </c>
      <c r="E2888" t="s">
        <v>2890</v>
      </c>
    </row>
    <row r="2889" spans="1:5">
      <c r="A2889">
        <f>HYPERLINK("http://www.twitter.com/realDonaldTrump/status/718996943100375040", "718996943100375040")</f>
        <v>0</v>
      </c>
      <c r="B2889" s="2">
        <v>42470.1250462963</v>
      </c>
      <c r="C2889">
        <v>7968</v>
      </c>
      <c r="D2889">
        <v>2546</v>
      </c>
      <c r="E2889" t="s">
        <v>2891</v>
      </c>
    </row>
    <row r="2890" spans="1:5">
      <c r="A2890">
        <f>HYPERLINK("http://www.twitter.com/realDonaldTrump/status/718993739348361216", "718993739348361216")</f>
        <v>0</v>
      </c>
      <c r="B2890" s="2">
        <v>42470.1162037037</v>
      </c>
      <c r="C2890">
        <v>6088</v>
      </c>
      <c r="D2890">
        <v>2046</v>
      </c>
      <c r="E2890" t="s">
        <v>2892</v>
      </c>
    </row>
    <row r="2891" spans="1:5">
      <c r="A2891">
        <f>HYPERLINK("http://www.twitter.com/realDonaldTrump/status/718993345197027328", "718993345197027328")</f>
        <v>0</v>
      </c>
      <c r="B2891" s="2">
        <v>42470.1151157407</v>
      </c>
      <c r="C2891">
        <v>15981</v>
      </c>
      <c r="D2891">
        <v>5933</v>
      </c>
      <c r="E2891" t="s">
        <v>2893</v>
      </c>
    </row>
    <row r="2892" spans="1:5">
      <c r="A2892">
        <f>HYPERLINK("http://www.twitter.com/realDonaldTrump/status/718992948193570816", "718992948193570816")</f>
        <v>0</v>
      </c>
      <c r="B2892" s="2">
        <v>42470.1140162037</v>
      </c>
      <c r="C2892">
        <v>5389</v>
      </c>
      <c r="D2892">
        <v>2148</v>
      </c>
      <c r="E2892" t="s">
        <v>2894</v>
      </c>
    </row>
    <row r="2893" spans="1:5">
      <c r="A2893">
        <f>HYPERLINK("http://www.twitter.com/realDonaldTrump/status/718913705111613440", "718913705111613440")</f>
        <v>0</v>
      </c>
      <c r="B2893" s="2">
        <v>42469.8953472222</v>
      </c>
      <c r="C2893">
        <v>20667</v>
      </c>
      <c r="D2893">
        <v>6419</v>
      </c>
      <c r="E2893" t="s">
        <v>2895</v>
      </c>
    </row>
    <row r="2894" spans="1:5">
      <c r="A2894">
        <f>HYPERLINK("http://www.twitter.com/realDonaldTrump/status/718771185757077504", "718771185757077504")</f>
        <v>0</v>
      </c>
      <c r="B2894" s="2">
        <v>42469.5020717593</v>
      </c>
      <c r="C2894">
        <v>14980</v>
      </c>
      <c r="D2894">
        <v>5530</v>
      </c>
      <c r="E2894" t="s">
        <v>2896</v>
      </c>
    </row>
    <row r="2895" spans="1:5">
      <c r="A2895">
        <f>HYPERLINK("http://www.twitter.com/realDonaldTrump/status/718766507199766528", "718766507199766528")</f>
        <v>0</v>
      </c>
      <c r="B2895" s="2">
        <v>42469.4891666667</v>
      </c>
      <c r="C2895">
        <v>15095</v>
      </c>
      <c r="D2895">
        <v>4890</v>
      </c>
      <c r="E2895" t="s">
        <v>2897</v>
      </c>
    </row>
    <row r="2896" spans="1:5">
      <c r="A2896">
        <f>HYPERLINK("http://www.twitter.com/realDonaldTrump/status/718761006068051968", "718761006068051968")</f>
        <v>0</v>
      </c>
      <c r="B2896" s="2">
        <v>42469.4739814815</v>
      </c>
      <c r="C2896">
        <v>29811</v>
      </c>
      <c r="D2896">
        <v>10419</v>
      </c>
      <c r="E2896" t="s">
        <v>2898</v>
      </c>
    </row>
    <row r="2897" spans="1:5">
      <c r="A2897">
        <f>HYPERLINK("http://www.twitter.com/realDonaldTrump/status/718636301587771392", "718636301587771392")</f>
        <v>0</v>
      </c>
      <c r="B2897" s="2">
        <v>42469.1298611111</v>
      </c>
      <c r="C2897">
        <v>27933</v>
      </c>
      <c r="D2897">
        <v>8921</v>
      </c>
      <c r="E2897" t="s">
        <v>2899</v>
      </c>
    </row>
    <row r="2898" spans="1:5">
      <c r="A2898">
        <f>HYPERLINK("http://www.twitter.com/realDonaldTrump/status/718634255107166208", "718634255107166208")</f>
        <v>0</v>
      </c>
      <c r="B2898" s="2">
        <v>42469.124212963</v>
      </c>
      <c r="C2898">
        <v>6981</v>
      </c>
      <c r="D2898">
        <v>1762</v>
      </c>
      <c r="E2898" t="s">
        <v>2900</v>
      </c>
    </row>
    <row r="2899" spans="1:5">
      <c r="A2899">
        <f>HYPERLINK("http://www.twitter.com/realDonaldTrump/status/718632666057285632", "718632666057285632")</f>
        <v>0</v>
      </c>
      <c r="B2899" s="2">
        <v>42469.1198263889</v>
      </c>
      <c r="C2899">
        <v>9167</v>
      </c>
      <c r="D2899">
        <v>2671</v>
      </c>
      <c r="E2899" t="s">
        <v>2901</v>
      </c>
    </row>
    <row r="2900" spans="1:5">
      <c r="A2900">
        <f>HYPERLINK("http://www.twitter.com/realDonaldTrump/status/718628272188309505", "718628272188309505")</f>
        <v>0</v>
      </c>
      <c r="B2900" s="2">
        <v>42469.1077083333</v>
      </c>
      <c r="C2900">
        <v>10466</v>
      </c>
      <c r="D2900">
        <v>3204</v>
      </c>
      <c r="E2900" t="s">
        <v>2902</v>
      </c>
    </row>
    <row r="2901" spans="1:5">
      <c r="A2901">
        <f>HYPERLINK("http://www.twitter.com/realDonaldTrump/status/718627776178360323", "718627776178360323")</f>
        <v>0</v>
      </c>
      <c r="B2901" s="2">
        <v>42469.1063310185</v>
      </c>
      <c r="C2901">
        <v>7659</v>
      </c>
      <c r="D2901">
        <v>2067</v>
      </c>
      <c r="E2901" t="s">
        <v>2903</v>
      </c>
    </row>
    <row r="2902" spans="1:5">
      <c r="A2902">
        <f>HYPERLINK("http://www.twitter.com/realDonaldTrump/status/718627523417010178", "718627523417010178")</f>
        <v>0</v>
      </c>
      <c r="B2902" s="2">
        <v>42469.1056365741</v>
      </c>
      <c r="C2902">
        <v>10688</v>
      </c>
      <c r="D2902">
        <v>3484</v>
      </c>
      <c r="E2902" t="s">
        <v>2904</v>
      </c>
    </row>
    <row r="2903" spans="1:5">
      <c r="A2903">
        <f>HYPERLINK("http://www.twitter.com/realDonaldTrump/status/718626552704077824", "718626552704077824")</f>
        <v>0</v>
      </c>
      <c r="B2903" s="2">
        <v>42469.102962963</v>
      </c>
      <c r="C2903">
        <v>6315</v>
      </c>
      <c r="D2903">
        <v>1938</v>
      </c>
      <c r="E2903" t="s">
        <v>2905</v>
      </c>
    </row>
    <row r="2904" spans="1:5">
      <c r="A2904">
        <f>HYPERLINK("http://www.twitter.com/realDonaldTrump/status/718618061683703808", "718618061683703808")</f>
        <v>0</v>
      </c>
      <c r="B2904" s="2">
        <v>42469.079525463</v>
      </c>
      <c r="C2904">
        <v>12372</v>
      </c>
      <c r="D2904">
        <v>4034</v>
      </c>
      <c r="E2904" t="s">
        <v>2906</v>
      </c>
    </row>
    <row r="2905" spans="1:5">
      <c r="A2905">
        <f>HYPERLINK("http://www.twitter.com/realDonaldTrump/status/718617242422939649", "718617242422939649")</f>
        <v>0</v>
      </c>
      <c r="B2905" s="2">
        <v>42469.0772685185</v>
      </c>
      <c r="C2905">
        <v>11620</v>
      </c>
      <c r="D2905">
        <v>4304</v>
      </c>
      <c r="E2905" t="s">
        <v>2907</v>
      </c>
    </row>
    <row r="2906" spans="1:5">
      <c r="A2906">
        <f>HYPERLINK("http://www.twitter.com/realDonaldTrump/status/718546390390071296", "718546390390071296")</f>
        <v>0</v>
      </c>
      <c r="B2906" s="2">
        <v>42468.8817592593</v>
      </c>
      <c r="C2906">
        <v>8108</v>
      </c>
      <c r="D2906">
        <v>3044</v>
      </c>
      <c r="E2906" t="s">
        <v>2908</v>
      </c>
    </row>
    <row r="2907" spans="1:5">
      <c r="A2907">
        <f>HYPERLINK("http://www.twitter.com/realDonaldTrump/status/718530443272970240", "718530443272970240")</f>
        <v>0</v>
      </c>
      <c r="B2907" s="2">
        <v>42468.8377430556</v>
      </c>
      <c r="C2907">
        <v>10860</v>
      </c>
      <c r="D2907">
        <v>3926</v>
      </c>
      <c r="E2907" t="s">
        <v>2909</v>
      </c>
    </row>
    <row r="2908" spans="1:5">
      <c r="A2908">
        <f>HYPERLINK("http://www.twitter.com/realDonaldTrump/status/718518072861192192", "718518072861192192")</f>
        <v>0</v>
      </c>
      <c r="B2908" s="2">
        <v>42468.8036111111</v>
      </c>
      <c r="C2908">
        <v>11764</v>
      </c>
      <c r="D2908">
        <v>5662</v>
      </c>
      <c r="E2908" t="s">
        <v>2910</v>
      </c>
    </row>
    <row r="2909" spans="1:5">
      <c r="A2909">
        <f>HYPERLINK("http://www.twitter.com/realDonaldTrump/status/718516815782088704", "718516815782088704")</f>
        <v>0</v>
      </c>
      <c r="B2909" s="2">
        <v>42468.8001388889</v>
      </c>
      <c r="C2909">
        <v>8885</v>
      </c>
      <c r="D2909">
        <v>3377</v>
      </c>
      <c r="E2909" t="s">
        <v>2911</v>
      </c>
    </row>
    <row r="2910" spans="1:5">
      <c r="A2910">
        <f>HYPERLINK("http://www.twitter.com/realDonaldTrump/status/718410936562925568", "718410936562925568")</f>
        <v>0</v>
      </c>
      <c r="B2910" s="2">
        <v>42468.507974537</v>
      </c>
      <c r="C2910">
        <v>10537</v>
      </c>
      <c r="D2910">
        <v>4042</v>
      </c>
      <c r="E2910" t="s">
        <v>2912</v>
      </c>
    </row>
    <row r="2911" spans="1:5">
      <c r="A2911">
        <f>HYPERLINK("http://www.twitter.com/realDonaldTrump/status/718410250437705729", "718410250437705729")</f>
        <v>0</v>
      </c>
      <c r="B2911" s="2">
        <v>42468.5060763889</v>
      </c>
      <c r="C2911">
        <v>7200</v>
      </c>
      <c r="D2911">
        <v>2223</v>
      </c>
      <c r="E2911" t="s">
        <v>2913</v>
      </c>
    </row>
    <row r="2912" spans="1:5">
      <c r="A2912">
        <f>HYPERLINK("http://www.twitter.com/realDonaldTrump/status/718409541273194497", "718409541273194497")</f>
        <v>0</v>
      </c>
      <c r="B2912" s="2">
        <v>42468.5041203704</v>
      </c>
      <c r="C2912">
        <v>7937</v>
      </c>
      <c r="D2912">
        <v>2440</v>
      </c>
      <c r="E2912" t="s">
        <v>2914</v>
      </c>
    </row>
    <row r="2913" spans="1:5">
      <c r="A2913">
        <f>HYPERLINK("http://www.twitter.com/realDonaldTrump/status/718408900375154688", "718408900375154688")</f>
        <v>0</v>
      </c>
      <c r="B2913" s="2">
        <v>42468.502349537</v>
      </c>
      <c r="C2913">
        <v>17349</v>
      </c>
      <c r="D2913">
        <v>4498</v>
      </c>
      <c r="E2913" t="s">
        <v>2915</v>
      </c>
    </row>
    <row r="2914" spans="1:5">
      <c r="A2914">
        <f>HYPERLINK("http://www.twitter.com/realDonaldTrump/status/718269634814865410", "718269634814865410")</f>
        <v>0</v>
      </c>
      <c r="B2914" s="2">
        <v>42468.1180555556</v>
      </c>
      <c r="C2914">
        <v>8241</v>
      </c>
      <c r="D2914">
        <v>2668</v>
      </c>
      <c r="E2914" t="s">
        <v>2916</v>
      </c>
    </row>
    <row r="2915" spans="1:5">
      <c r="A2915">
        <f>HYPERLINK("http://www.twitter.com/realDonaldTrump/status/718269255872081922", "718269255872081922")</f>
        <v>0</v>
      </c>
      <c r="B2915" s="2">
        <v>42468.1170138889</v>
      </c>
      <c r="C2915">
        <v>23970</v>
      </c>
      <c r="D2915">
        <v>9662</v>
      </c>
      <c r="E2915" t="s">
        <v>2917</v>
      </c>
    </row>
    <row r="2916" spans="1:5">
      <c r="A2916">
        <f>HYPERLINK("http://www.twitter.com/realDonaldTrump/status/718268906176122881", "718268906176122881")</f>
        <v>0</v>
      </c>
      <c r="B2916" s="2">
        <v>42468.1160416667</v>
      </c>
      <c r="C2916">
        <v>9225</v>
      </c>
      <c r="D2916">
        <v>2876</v>
      </c>
      <c r="E2916" t="s">
        <v>2918</v>
      </c>
    </row>
    <row r="2917" spans="1:5">
      <c r="A2917">
        <f>HYPERLINK("http://www.twitter.com/realDonaldTrump/status/718268624012754944", "718268624012754944")</f>
        <v>0</v>
      </c>
      <c r="B2917" s="2">
        <v>42468.1152662037</v>
      </c>
      <c r="C2917">
        <v>17109</v>
      </c>
      <c r="D2917">
        <v>7261</v>
      </c>
      <c r="E2917" t="s">
        <v>2919</v>
      </c>
    </row>
    <row r="2918" spans="1:5">
      <c r="A2918">
        <f>HYPERLINK("http://www.twitter.com/realDonaldTrump/status/718259314197164034", "718259314197164034")</f>
        <v>0</v>
      </c>
      <c r="B2918" s="2">
        <v>42468.0895717593</v>
      </c>
      <c r="C2918">
        <v>10921</v>
      </c>
      <c r="D2918">
        <v>3642</v>
      </c>
      <c r="E2918" t="s">
        <v>2920</v>
      </c>
    </row>
    <row r="2919" spans="1:5">
      <c r="A2919">
        <f>HYPERLINK("http://www.twitter.com/realDonaldTrump/status/718159369033162752", "718159369033162752")</f>
        <v>0</v>
      </c>
      <c r="B2919" s="2">
        <v>42467.8137731481</v>
      </c>
      <c r="C2919">
        <v>14323</v>
      </c>
      <c r="D2919">
        <v>5675</v>
      </c>
      <c r="E2919" t="s">
        <v>2921</v>
      </c>
    </row>
    <row r="2920" spans="1:5">
      <c r="A2920">
        <f>HYPERLINK("http://www.twitter.com/realDonaldTrump/status/717910383491751936", "717910383491751936")</f>
        <v>0</v>
      </c>
      <c r="B2920" s="2">
        <v>42467.126712963</v>
      </c>
      <c r="C2920">
        <v>17578</v>
      </c>
      <c r="D2920">
        <v>6440</v>
      </c>
      <c r="E2920" t="s">
        <v>2922</v>
      </c>
    </row>
    <row r="2921" spans="1:5">
      <c r="A2921">
        <f>HYPERLINK("http://www.twitter.com/realDonaldTrump/status/717872274569822208", "717872274569822208")</f>
        <v>0</v>
      </c>
      <c r="B2921" s="2">
        <v>42467.0215509259</v>
      </c>
      <c r="C2921">
        <v>27285</v>
      </c>
      <c r="D2921">
        <v>7558</v>
      </c>
      <c r="E2921" t="s">
        <v>2923</v>
      </c>
    </row>
    <row r="2922" spans="1:5">
      <c r="A2922">
        <f>HYPERLINK("http://www.twitter.com/realDonaldTrump/status/717872177782124545", "717872177782124545")</f>
        <v>0</v>
      </c>
      <c r="B2922" s="2">
        <v>42467.0212847222</v>
      </c>
      <c r="C2922">
        <v>10453</v>
      </c>
      <c r="D2922">
        <v>3037</v>
      </c>
      <c r="E2922" t="s">
        <v>2924</v>
      </c>
    </row>
    <row r="2923" spans="1:5">
      <c r="A2923">
        <f>HYPERLINK("http://www.twitter.com/realDonaldTrump/status/717753959176396801", "717753959176396801")</f>
        <v>0</v>
      </c>
      <c r="B2923" s="2">
        <v>42466.6950578704</v>
      </c>
      <c r="C2923">
        <v>24856</v>
      </c>
      <c r="D2923">
        <v>7065</v>
      </c>
      <c r="E2923" t="s">
        <v>2925</v>
      </c>
    </row>
    <row r="2924" spans="1:5">
      <c r="A2924">
        <f>HYPERLINK("http://www.twitter.com/realDonaldTrump/status/717483825446707200", "717483825446707200")</f>
        <v>0</v>
      </c>
      <c r="B2924" s="2">
        <v>42465.9496296296</v>
      </c>
      <c r="C2924">
        <v>11711</v>
      </c>
      <c r="D2924">
        <v>3984</v>
      </c>
      <c r="E2924" t="s">
        <v>2926</v>
      </c>
    </row>
    <row r="2925" spans="1:5">
      <c r="A2925">
        <f>HYPERLINK("http://www.twitter.com/realDonaldTrump/status/717455981047914496", "717455981047914496")</f>
        <v>0</v>
      </c>
      <c r="B2925" s="2">
        <v>42465.8728009259</v>
      </c>
      <c r="C2925">
        <v>0</v>
      </c>
      <c r="D2925">
        <v>2371</v>
      </c>
      <c r="E2925" t="s">
        <v>2927</v>
      </c>
    </row>
    <row r="2926" spans="1:5">
      <c r="A2926">
        <f>HYPERLINK("http://www.twitter.com/realDonaldTrump/status/717433113882787840", "717433113882787840")</f>
        <v>0</v>
      </c>
      <c r="B2926" s="2">
        <v>42465.8096990741</v>
      </c>
      <c r="C2926">
        <v>8436</v>
      </c>
      <c r="D2926">
        <v>3333</v>
      </c>
      <c r="E2926" t="s">
        <v>2928</v>
      </c>
    </row>
    <row r="2927" spans="1:5">
      <c r="A2927">
        <f>HYPERLINK("http://www.twitter.com/realDonaldTrump/status/717401379443195911", "717401379443195911")</f>
        <v>0</v>
      </c>
      <c r="B2927" s="2">
        <v>42465.7221296296</v>
      </c>
      <c r="C2927">
        <v>0</v>
      </c>
      <c r="D2927">
        <v>2892</v>
      </c>
      <c r="E2927" t="s">
        <v>2929</v>
      </c>
    </row>
    <row r="2928" spans="1:5">
      <c r="A2928">
        <f>HYPERLINK("http://www.twitter.com/realDonaldTrump/status/717400207898591232", "717400207898591232")</f>
        <v>0</v>
      </c>
      <c r="B2928" s="2">
        <v>42465.7188888889</v>
      </c>
      <c r="C2928">
        <v>8850</v>
      </c>
      <c r="D2928">
        <v>3231</v>
      </c>
      <c r="E2928" t="s">
        <v>2930</v>
      </c>
    </row>
    <row r="2929" spans="1:5">
      <c r="A2929">
        <f>HYPERLINK("http://www.twitter.com/realDonaldTrump/status/717395599633563648", "717395599633563648")</f>
        <v>0</v>
      </c>
      <c r="B2929" s="2">
        <v>42465.7061805556</v>
      </c>
      <c r="C2929">
        <v>14573</v>
      </c>
      <c r="D2929">
        <v>4567</v>
      </c>
      <c r="E2929" t="s">
        <v>2931</v>
      </c>
    </row>
    <row r="2930" spans="1:5">
      <c r="A2930">
        <f>HYPERLINK("http://www.twitter.com/realDonaldTrump/status/717321031321432064", "717321031321432064")</f>
        <v>0</v>
      </c>
      <c r="B2930" s="2">
        <v>42465.5004050926</v>
      </c>
      <c r="C2930">
        <v>20470</v>
      </c>
      <c r="D2930">
        <v>9276</v>
      </c>
      <c r="E2930" t="s">
        <v>2932</v>
      </c>
    </row>
    <row r="2931" spans="1:5">
      <c r="A2931">
        <f>HYPERLINK("http://www.twitter.com/realDonaldTrump/status/717192412213420032", "717192412213420032")</f>
        <v>0</v>
      </c>
      <c r="B2931" s="2">
        <v>42465.1454861111</v>
      </c>
      <c r="C2931">
        <v>16252</v>
      </c>
      <c r="D2931">
        <v>7565</v>
      </c>
      <c r="E2931" t="s">
        <v>2933</v>
      </c>
    </row>
    <row r="2932" spans="1:5">
      <c r="A2932">
        <f>HYPERLINK("http://www.twitter.com/realDonaldTrump/status/717189147497091072", "717189147497091072")</f>
        <v>0</v>
      </c>
      <c r="B2932" s="2">
        <v>42465.1364814815</v>
      </c>
      <c r="C2932">
        <v>17849</v>
      </c>
      <c r="D2932">
        <v>6843</v>
      </c>
      <c r="E2932" t="s">
        <v>2934</v>
      </c>
    </row>
    <row r="2933" spans="1:5">
      <c r="A2933">
        <f>HYPERLINK("http://www.twitter.com/realDonaldTrump/status/717170068430397440", "717170068430397440")</f>
        <v>0</v>
      </c>
      <c r="B2933" s="2">
        <v>42465.0838310185</v>
      </c>
      <c r="C2933">
        <v>10714</v>
      </c>
      <c r="D2933">
        <v>3615</v>
      </c>
      <c r="E2933" t="s">
        <v>2935</v>
      </c>
    </row>
    <row r="2934" spans="1:5">
      <c r="A2934">
        <f>HYPERLINK("http://www.twitter.com/realDonaldTrump/status/717158349008011264", "717158349008011264")</f>
        <v>0</v>
      </c>
      <c r="B2934" s="2">
        <v>42465.0514930556</v>
      </c>
      <c r="C2934">
        <v>10246</v>
      </c>
      <c r="D2934">
        <v>2802</v>
      </c>
      <c r="E2934" t="s">
        <v>2936</v>
      </c>
    </row>
    <row r="2935" spans="1:5">
      <c r="A2935">
        <f>HYPERLINK("http://www.twitter.com/realDonaldTrump/status/717140417469349888", "717140417469349888")</f>
        <v>0</v>
      </c>
      <c r="B2935" s="2">
        <v>42465.0020138889</v>
      </c>
      <c r="C2935">
        <v>21162</v>
      </c>
      <c r="D2935">
        <v>11838</v>
      </c>
      <c r="E2935" t="s">
        <v>2937</v>
      </c>
    </row>
    <row r="2936" spans="1:5">
      <c r="A2936">
        <f>HYPERLINK("http://www.twitter.com/realDonaldTrump/status/717096171068661761", "717096171068661761")</f>
        <v>0</v>
      </c>
      <c r="B2936" s="2">
        <v>42464.8799074074</v>
      </c>
      <c r="C2936">
        <v>11220</v>
      </c>
      <c r="D2936">
        <v>3676</v>
      </c>
      <c r="E2936" t="s">
        <v>2938</v>
      </c>
    </row>
    <row r="2937" spans="1:5">
      <c r="A2937">
        <f>HYPERLINK("http://www.twitter.com/realDonaldTrump/status/717092823326064640", "717092823326064640")</f>
        <v>0</v>
      </c>
      <c r="B2937" s="2">
        <v>42464.8706712963</v>
      </c>
      <c r="C2937">
        <v>12134</v>
      </c>
      <c r="D2937">
        <v>4339</v>
      </c>
      <c r="E2937" t="s">
        <v>2939</v>
      </c>
    </row>
    <row r="2938" spans="1:5">
      <c r="A2938">
        <f>HYPERLINK("http://www.twitter.com/realDonaldTrump/status/717088318068891648", "717088318068891648")</f>
        <v>0</v>
      </c>
      <c r="B2938" s="2">
        <v>42464.8582407407</v>
      </c>
      <c r="C2938">
        <v>11287</v>
      </c>
      <c r="D2938">
        <v>3633</v>
      </c>
      <c r="E2938" t="s">
        <v>2940</v>
      </c>
    </row>
    <row r="2939" spans="1:5">
      <c r="A2939">
        <f>HYPERLINK("http://www.twitter.com/realDonaldTrump/status/717050067840929792", "717050067840929792")</f>
        <v>0</v>
      </c>
      <c r="B2939" s="2">
        <v>42464.7526851852</v>
      </c>
      <c r="C2939">
        <v>7042</v>
      </c>
      <c r="D2939">
        <v>1969</v>
      </c>
      <c r="E2939" t="s">
        <v>2941</v>
      </c>
    </row>
    <row r="2940" spans="1:5">
      <c r="A2940">
        <f>HYPERLINK("http://www.twitter.com/realDonaldTrump/status/717027537990365186", "717027537990365186")</f>
        <v>0</v>
      </c>
      <c r="B2940" s="2">
        <v>42464.6905208333</v>
      </c>
      <c r="C2940">
        <v>10209</v>
      </c>
      <c r="D2940">
        <v>3148</v>
      </c>
      <c r="E2940" t="s">
        <v>2942</v>
      </c>
    </row>
    <row r="2941" spans="1:5">
      <c r="A2941">
        <f>HYPERLINK("http://www.twitter.com/realDonaldTrump/status/717003103871115267", "717003103871115267")</f>
        <v>0</v>
      </c>
      <c r="B2941" s="2">
        <v>42464.6230902778</v>
      </c>
      <c r="C2941">
        <v>22770</v>
      </c>
      <c r="D2941">
        <v>12728</v>
      </c>
      <c r="E2941" t="s">
        <v>2943</v>
      </c>
    </row>
    <row r="2942" spans="1:5">
      <c r="A2942">
        <f>HYPERLINK("http://www.twitter.com/realDonaldTrump/status/716826069777645568", "716826069777645568")</f>
        <v>0</v>
      </c>
      <c r="B2942" s="2">
        <v>42464.1345717593</v>
      </c>
      <c r="C2942">
        <v>17440</v>
      </c>
      <c r="D2942">
        <v>5152</v>
      </c>
      <c r="E2942" t="s">
        <v>2944</v>
      </c>
    </row>
    <row r="2943" spans="1:5">
      <c r="A2943">
        <f>HYPERLINK("http://www.twitter.com/realDonaldTrump/status/716811670031581185", "716811670031581185")</f>
        <v>0</v>
      </c>
      <c r="B2943" s="2">
        <v>42464.094837963</v>
      </c>
      <c r="C2943">
        <v>13625</v>
      </c>
      <c r="D2943">
        <v>4807</v>
      </c>
      <c r="E2943" t="s">
        <v>2945</v>
      </c>
    </row>
    <row r="2944" spans="1:5">
      <c r="A2944">
        <f>HYPERLINK("http://www.twitter.com/realDonaldTrump/status/716780878777556994", "716780878777556994")</f>
        <v>0</v>
      </c>
      <c r="B2944" s="2">
        <v>42464.0098726852</v>
      </c>
      <c r="C2944">
        <v>11134</v>
      </c>
      <c r="D2944">
        <v>2625</v>
      </c>
      <c r="E2944" t="s">
        <v>2946</v>
      </c>
    </row>
    <row r="2945" spans="1:5">
      <c r="A2945">
        <f>HYPERLINK("http://www.twitter.com/realDonaldTrump/status/716774329837420544", "716774329837420544")</f>
        <v>0</v>
      </c>
      <c r="B2945" s="2">
        <v>42463.9917939815</v>
      </c>
      <c r="C2945">
        <v>8852</v>
      </c>
      <c r="D2945">
        <v>2171</v>
      </c>
      <c r="E2945" t="s">
        <v>2947</v>
      </c>
    </row>
    <row r="2946" spans="1:5">
      <c r="A2946">
        <f>HYPERLINK("http://www.twitter.com/realDonaldTrump/status/716727859876917248", "716727859876917248")</f>
        <v>0</v>
      </c>
      <c r="B2946" s="2">
        <v>42463.8635648148</v>
      </c>
      <c r="C2946">
        <v>9846</v>
      </c>
      <c r="D2946">
        <v>3509</v>
      </c>
      <c r="E2946" t="s">
        <v>2948</v>
      </c>
    </row>
    <row r="2947" spans="1:5">
      <c r="A2947">
        <f>HYPERLINK("http://www.twitter.com/realDonaldTrump/status/716688097237458945", "716688097237458945")</f>
        <v>0</v>
      </c>
      <c r="B2947" s="2">
        <v>42463.7538425926</v>
      </c>
      <c r="C2947">
        <v>11671</v>
      </c>
      <c r="D2947">
        <v>3968</v>
      </c>
      <c r="E2947" t="s">
        <v>2949</v>
      </c>
    </row>
    <row r="2948" spans="1:5">
      <c r="A2948">
        <f>HYPERLINK("http://www.twitter.com/realDonaldTrump/status/716683752227913728", "716683752227913728")</f>
        <v>0</v>
      </c>
      <c r="B2948" s="2">
        <v>42463.7418518519</v>
      </c>
      <c r="C2948">
        <v>15282</v>
      </c>
      <c r="D2948">
        <v>5941</v>
      </c>
      <c r="E2948" t="s">
        <v>2950</v>
      </c>
    </row>
    <row r="2949" spans="1:5">
      <c r="A2949">
        <f>HYPERLINK("http://www.twitter.com/realDonaldTrump/status/716639648873844740", "716639648873844740")</f>
        <v>0</v>
      </c>
      <c r="B2949" s="2">
        <v>42463.620150463</v>
      </c>
      <c r="C2949">
        <v>13087</v>
      </c>
      <c r="D2949">
        <v>4727</v>
      </c>
      <c r="E2949" t="s">
        <v>2951</v>
      </c>
    </row>
    <row r="2950" spans="1:5">
      <c r="A2950">
        <f>HYPERLINK("http://www.twitter.com/realDonaldTrump/status/716622947901915136", "716622947901915136")</f>
        <v>0</v>
      </c>
      <c r="B2950" s="2">
        <v>42463.5740625</v>
      </c>
      <c r="C2950">
        <v>15222</v>
      </c>
      <c r="D2950">
        <v>5644</v>
      </c>
      <c r="E2950" t="s">
        <v>2952</v>
      </c>
    </row>
    <row r="2951" spans="1:5">
      <c r="A2951">
        <f>HYPERLINK("http://www.twitter.com/realDonaldTrump/status/716621639564324865", "716621639564324865")</f>
        <v>0</v>
      </c>
      <c r="B2951" s="2">
        <v>42463.5704513889</v>
      </c>
      <c r="C2951">
        <v>7120</v>
      </c>
      <c r="D2951">
        <v>2504</v>
      </c>
      <c r="E2951" t="s">
        <v>2953</v>
      </c>
    </row>
    <row r="2952" spans="1:5">
      <c r="A2952">
        <f>HYPERLINK("http://www.twitter.com/realDonaldTrump/status/716621438535471104", "716621438535471104")</f>
        <v>0</v>
      </c>
      <c r="B2952" s="2">
        <v>42463.5698958333</v>
      </c>
      <c r="C2952">
        <v>12704</v>
      </c>
      <c r="D2952">
        <v>6562</v>
      </c>
      <c r="E2952" t="s">
        <v>2954</v>
      </c>
    </row>
    <row r="2953" spans="1:5">
      <c r="A2953">
        <f>HYPERLINK("http://www.twitter.com/realDonaldTrump/status/716620675071537152", "716620675071537152")</f>
        <v>0</v>
      </c>
      <c r="B2953" s="2">
        <v>42463.5677893519</v>
      </c>
      <c r="C2953">
        <v>7960</v>
      </c>
      <c r="D2953">
        <v>2424</v>
      </c>
      <c r="E2953" t="s">
        <v>2955</v>
      </c>
    </row>
    <row r="2954" spans="1:5">
      <c r="A2954">
        <f>HYPERLINK("http://www.twitter.com/realDonaldTrump/status/716600252934041601", "716600252934041601")</f>
        <v>0</v>
      </c>
      <c r="B2954" s="2">
        <v>42463.5114351852</v>
      </c>
      <c r="C2954">
        <v>7876</v>
      </c>
      <c r="D2954">
        <v>2135</v>
      </c>
      <c r="E2954" t="s">
        <v>2956</v>
      </c>
    </row>
    <row r="2955" spans="1:5">
      <c r="A2955">
        <f>HYPERLINK("http://www.twitter.com/realDonaldTrump/status/716590192413507584", "716590192413507584")</f>
        <v>0</v>
      </c>
      <c r="B2955" s="2">
        <v>42463.4836805556</v>
      </c>
      <c r="C2955">
        <v>8862</v>
      </c>
      <c r="D2955">
        <v>2617</v>
      </c>
      <c r="E2955" t="s">
        <v>2957</v>
      </c>
    </row>
    <row r="2956" spans="1:5">
      <c r="A2956">
        <f>HYPERLINK("http://www.twitter.com/realDonaldTrump/status/716464023273910273", "716464023273910273")</f>
        <v>0</v>
      </c>
      <c r="B2956" s="2">
        <v>42463.1355208333</v>
      </c>
      <c r="C2956">
        <v>14558</v>
      </c>
      <c r="D2956">
        <v>4755</v>
      </c>
      <c r="E2956" t="s">
        <v>2958</v>
      </c>
    </row>
    <row r="2957" spans="1:5">
      <c r="A2957">
        <f>HYPERLINK("http://www.twitter.com/realDonaldTrump/status/716462678802345984", "716462678802345984")</f>
        <v>0</v>
      </c>
      <c r="B2957" s="2">
        <v>42463.1318055556</v>
      </c>
      <c r="C2957">
        <v>8670</v>
      </c>
      <c r="D2957">
        <v>2651</v>
      </c>
      <c r="E2957" t="s">
        <v>2959</v>
      </c>
    </row>
    <row r="2958" spans="1:5">
      <c r="A2958">
        <f>HYPERLINK("http://www.twitter.com/realDonaldTrump/status/716412682581053440", "716412682581053440")</f>
        <v>0</v>
      </c>
      <c r="B2958" s="2">
        <v>42462.9938425926</v>
      </c>
      <c r="C2958">
        <v>14029</v>
      </c>
      <c r="D2958">
        <v>4718</v>
      </c>
      <c r="E2958" t="s">
        <v>2960</v>
      </c>
    </row>
    <row r="2959" spans="1:5">
      <c r="A2959">
        <f>HYPERLINK("http://www.twitter.com/realDonaldTrump/status/716362367119069185", "716362367119069185")</f>
        <v>0</v>
      </c>
      <c r="B2959" s="2">
        <v>42462.855</v>
      </c>
      <c r="C2959">
        <v>13581</v>
      </c>
      <c r="D2959">
        <v>4764</v>
      </c>
      <c r="E2959" t="s">
        <v>2961</v>
      </c>
    </row>
    <row r="2960" spans="1:5">
      <c r="A2960">
        <f>HYPERLINK("http://www.twitter.com/realDonaldTrump/status/716362171404435458", "716362171404435458")</f>
        <v>0</v>
      </c>
      <c r="B2960" s="2">
        <v>42462.8544560185</v>
      </c>
      <c r="C2960">
        <v>12680</v>
      </c>
      <c r="D2960">
        <v>3734</v>
      </c>
      <c r="E2960" t="s">
        <v>2962</v>
      </c>
    </row>
    <row r="2961" spans="1:5">
      <c r="A2961">
        <f>HYPERLINK("http://www.twitter.com/realDonaldTrump/status/716359318828769280", "716359318828769280")</f>
        <v>0</v>
      </c>
      <c r="B2961" s="2">
        <v>42462.8465856481</v>
      </c>
      <c r="C2961">
        <v>13457</v>
      </c>
      <c r="D2961">
        <v>4816</v>
      </c>
      <c r="E2961" t="s">
        <v>2963</v>
      </c>
    </row>
    <row r="2962" spans="1:5">
      <c r="A2962">
        <f>HYPERLINK("http://www.twitter.com/realDonaldTrump/status/716344003789266944", "716344003789266944")</f>
        <v>0</v>
      </c>
      <c r="B2962" s="2">
        <v>42462.8043287037</v>
      </c>
      <c r="C2962">
        <v>9310</v>
      </c>
      <c r="D2962">
        <v>3878</v>
      </c>
      <c r="E2962" t="s">
        <v>2964</v>
      </c>
    </row>
    <row r="2963" spans="1:5">
      <c r="A2963">
        <f>HYPERLINK("http://www.twitter.com/realDonaldTrump/status/716222480738869248", "716222480738869248")</f>
        <v>0</v>
      </c>
      <c r="B2963" s="2">
        <v>42462.4689814815</v>
      </c>
      <c r="C2963">
        <v>23092</v>
      </c>
      <c r="D2963">
        <v>7969</v>
      </c>
      <c r="E2963" t="s">
        <v>2965</v>
      </c>
    </row>
    <row r="2964" spans="1:5">
      <c r="A2964">
        <f>HYPERLINK("http://www.twitter.com/realDonaldTrump/status/716088246258651136", "716088246258651136")</f>
        <v>0</v>
      </c>
      <c r="B2964" s="2">
        <v>42462.0985648148</v>
      </c>
      <c r="C2964">
        <v>19498</v>
      </c>
      <c r="D2964">
        <v>6587</v>
      </c>
      <c r="E2964" t="s">
        <v>2966</v>
      </c>
    </row>
    <row r="2965" spans="1:5">
      <c r="A2965">
        <f>HYPERLINK("http://www.twitter.com/realDonaldTrump/status/716085112610426880", "716085112610426880")</f>
        <v>0</v>
      </c>
      <c r="B2965" s="2">
        <v>42462.0899189815</v>
      </c>
      <c r="C2965">
        <v>14359</v>
      </c>
      <c r="D2965">
        <v>4008</v>
      </c>
      <c r="E2965" t="s">
        <v>2967</v>
      </c>
    </row>
    <row r="2966" spans="1:5">
      <c r="A2966">
        <f>HYPERLINK("http://www.twitter.com/realDonaldTrump/status/716078699175682053", "716078699175682053")</f>
        <v>0</v>
      </c>
      <c r="B2966" s="2">
        <v>42462.0722222222</v>
      </c>
      <c r="C2966">
        <v>22312</v>
      </c>
      <c r="D2966">
        <v>6319</v>
      </c>
      <c r="E2966" t="s">
        <v>2968</v>
      </c>
    </row>
    <row r="2967" spans="1:5">
      <c r="A2967">
        <f>HYPERLINK("http://www.twitter.com/realDonaldTrump/status/716031548382773248", "716031548382773248")</f>
        <v>0</v>
      </c>
      <c r="B2967" s="2">
        <v>42461.9421180556</v>
      </c>
      <c r="C2967">
        <v>11844</v>
      </c>
      <c r="D2967">
        <v>3840</v>
      </c>
      <c r="E2967" t="s">
        <v>2969</v>
      </c>
    </row>
    <row r="2968" spans="1:5">
      <c r="A2968">
        <f>HYPERLINK("http://www.twitter.com/realDonaldTrump/status/716020373045841920", "716020373045841920")</f>
        <v>0</v>
      </c>
      <c r="B2968" s="2">
        <v>42461.9112731482</v>
      </c>
      <c r="C2968">
        <v>15913</v>
      </c>
      <c r="D2968">
        <v>5904</v>
      </c>
      <c r="E2968" t="s">
        <v>2970</v>
      </c>
    </row>
    <row r="2969" spans="1:5">
      <c r="A2969">
        <f>HYPERLINK("http://www.twitter.com/realDonaldTrump/status/716019755682045952", "716019755682045952")</f>
        <v>0</v>
      </c>
      <c r="B2969" s="2">
        <v>42461.9095717593</v>
      </c>
      <c r="C2969">
        <v>15862</v>
      </c>
      <c r="D2969">
        <v>7259</v>
      </c>
      <c r="E2969" t="s">
        <v>2971</v>
      </c>
    </row>
    <row r="2970" spans="1:5">
      <c r="A2970">
        <f>HYPERLINK("http://www.twitter.com/realDonaldTrump/status/715980291672829953", "715980291672829953")</f>
        <v>0</v>
      </c>
      <c r="B2970" s="2">
        <v>42461.8006712963</v>
      </c>
      <c r="C2970">
        <v>11558</v>
      </c>
      <c r="D2970">
        <v>4811</v>
      </c>
      <c r="E2970" t="s">
        <v>2972</v>
      </c>
    </row>
    <row r="2971" spans="1:5">
      <c r="A2971">
        <f>HYPERLINK("http://www.twitter.com/realDonaldTrump/status/715973328868085761", "715973328868085761")</f>
        <v>0</v>
      </c>
      <c r="B2971" s="2">
        <v>42461.7814583333</v>
      </c>
      <c r="C2971">
        <v>10005</v>
      </c>
      <c r="D2971">
        <v>3679</v>
      </c>
      <c r="E2971" t="s">
        <v>2973</v>
      </c>
    </row>
    <row r="2972" spans="1:5">
      <c r="A2972">
        <f>HYPERLINK("http://www.twitter.com/realDonaldTrump/status/715907894584197120", "715907894584197120")</f>
        <v>0</v>
      </c>
      <c r="B2972" s="2">
        <v>42461.6008912037</v>
      </c>
      <c r="C2972">
        <v>34389</v>
      </c>
      <c r="D2972">
        <v>12843</v>
      </c>
      <c r="E2972" t="s">
        <v>2974</v>
      </c>
    </row>
    <row r="2973" spans="1:5">
      <c r="A2973">
        <f>HYPERLINK("http://www.twitter.com/realDonaldTrump/status/715907761926750208", "715907761926750208")</f>
        <v>0</v>
      </c>
      <c r="B2973" s="2">
        <v>42461.6005324074</v>
      </c>
      <c r="C2973">
        <v>19183</v>
      </c>
      <c r="D2973">
        <v>7101</v>
      </c>
      <c r="E2973" t="s">
        <v>2975</v>
      </c>
    </row>
    <row r="2974" spans="1:5">
      <c r="A2974">
        <f>HYPERLINK("http://www.twitter.com/realDonaldTrump/status/715758039836594176", "715758039836594176")</f>
        <v>0</v>
      </c>
      <c r="B2974" s="2">
        <v>42461.1873726852</v>
      </c>
      <c r="C2974">
        <v>14901</v>
      </c>
      <c r="D2974">
        <v>5097</v>
      </c>
      <c r="E2974" t="s">
        <v>2976</v>
      </c>
    </row>
    <row r="2975" spans="1:5">
      <c r="A2975">
        <f>HYPERLINK("http://www.twitter.com/realDonaldTrump/status/715756428447858688", "715756428447858688")</f>
        <v>0</v>
      </c>
      <c r="B2975" s="2">
        <v>42461.1829282407</v>
      </c>
      <c r="C2975">
        <v>16273</v>
      </c>
      <c r="D2975">
        <v>5531</v>
      </c>
      <c r="E2975" t="s">
        <v>2977</v>
      </c>
    </row>
    <row r="2976" spans="1:5">
      <c r="A2976">
        <f>HYPERLINK("http://www.twitter.com/realDonaldTrump/status/715725628465680386", "715725628465680386")</f>
        <v>0</v>
      </c>
      <c r="B2976" s="2">
        <v>42461.0979398148</v>
      </c>
      <c r="C2976">
        <v>15043</v>
      </c>
      <c r="D2976">
        <v>6162</v>
      </c>
      <c r="E2976" t="s">
        <v>2978</v>
      </c>
    </row>
    <row r="2977" spans="1:5">
      <c r="A2977">
        <f>HYPERLINK("http://www.twitter.com/realDonaldTrump/status/715668280153911296", "715668280153911296")</f>
        <v>0</v>
      </c>
      <c r="B2977" s="2">
        <v>42460.9396875</v>
      </c>
      <c r="C2977">
        <v>13237</v>
      </c>
      <c r="D2977">
        <v>4916</v>
      </c>
      <c r="E2977" t="s">
        <v>2979</v>
      </c>
    </row>
    <row r="2978" spans="1:5">
      <c r="A2978">
        <f>HYPERLINK("http://www.twitter.com/realDonaldTrump/status/715664091893731329", "715664091893731329")</f>
        <v>0</v>
      </c>
      <c r="B2978" s="2">
        <v>42460.928125</v>
      </c>
      <c r="C2978">
        <v>14694</v>
      </c>
      <c r="D2978">
        <v>5444</v>
      </c>
      <c r="E2978" t="s">
        <v>2980</v>
      </c>
    </row>
    <row r="2979" spans="1:5">
      <c r="A2979">
        <f>HYPERLINK("http://www.twitter.com/realDonaldTrump/status/715636703369691136", "715636703369691136")</f>
        <v>0</v>
      </c>
      <c r="B2979" s="2">
        <v>42460.8525462963</v>
      </c>
      <c r="C2979">
        <v>13590</v>
      </c>
      <c r="D2979">
        <v>5429</v>
      </c>
      <c r="E2979" t="s">
        <v>2981</v>
      </c>
    </row>
    <row r="2980" spans="1:5">
      <c r="A2980">
        <f>HYPERLINK("http://www.twitter.com/realDonaldTrump/status/715616148335759360", "715616148335759360")</f>
        <v>0</v>
      </c>
      <c r="B2980" s="2">
        <v>42460.7958217593</v>
      </c>
      <c r="C2980">
        <v>25396</v>
      </c>
      <c r="D2980">
        <v>8885</v>
      </c>
      <c r="E2980" t="s">
        <v>2982</v>
      </c>
    </row>
    <row r="2981" spans="1:5">
      <c r="A2981">
        <f>HYPERLINK("http://www.twitter.com/realDonaldTrump/status/715536209385115649", "715536209385115649")</f>
        <v>0</v>
      </c>
      <c r="B2981" s="2">
        <v>42460.5752314815</v>
      </c>
      <c r="C2981">
        <v>15513</v>
      </c>
      <c r="D2981">
        <v>6264</v>
      </c>
      <c r="E2981" t="s">
        <v>2983</v>
      </c>
    </row>
    <row r="2982" spans="1:5">
      <c r="A2982">
        <f>HYPERLINK("http://www.twitter.com/realDonaldTrump/status/715372505486245888", "715372505486245888")</f>
        <v>0</v>
      </c>
      <c r="B2982" s="2">
        <v>42460.1234953704</v>
      </c>
      <c r="C2982">
        <v>13949</v>
      </c>
      <c r="D2982">
        <v>5792</v>
      </c>
      <c r="E2982" t="s">
        <v>2984</v>
      </c>
    </row>
    <row r="2983" spans="1:5">
      <c r="A2983">
        <f>HYPERLINK("http://www.twitter.com/realDonaldTrump/status/715369991214866432", "715369991214866432")</f>
        <v>0</v>
      </c>
      <c r="B2983" s="2">
        <v>42460.1165625</v>
      </c>
      <c r="C2983">
        <v>15074</v>
      </c>
      <c r="D2983">
        <v>4507</v>
      </c>
      <c r="E2983" t="s">
        <v>2985</v>
      </c>
    </row>
    <row r="2984" spans="1:5">
      <c r="A2984">
        <f>HYPERLINK("http://www.twitter.com/realDonaldTrump/status/715291320563146752", "715291320563146752")</f>
        <v>0</v>
      </c>
      <c r="B2984" s="2">
        <v>42459.8994675926</v>
      </c>
      <c r="C2984">
        <v>16810</v>
      </c>
      <c r="D2984">
        <v>6168</v>
      </c>
      <c r="E2984" t="s">
        <v>2986</v>
      </c>
    </row>
    <row r="2985" spans="1:5">
      <c r="A2985">
        <f>HYPERLINK("http://www.twitter.com/realDonaldTrump/status/715286909824663552", "715286909824663552")</f>
        <v>0</v>
      </c>
      <c r="B2985" s="2">
        <v>42459.8873032407</v>
      </c>
      <c r="C2985">
        <v>14213</v>
      </c>
      <c r="D2985">
        <v>4860</v>
      </c>
      <c r="E2985" t="s">
        <v>2987</v>
      </c>
    </row>
    <row r="2986" spans="1:5">
      <c r="A2986">
        <f>HYPERLINK("http://www.twitter.com/realDonaldTrump/status/715223526635094016", "715223526635094016")</f>
        <v>0</v>
      </c>
      <c r="B2986" s="2">
        <v>42459.7123958333</v>
      </c>
      <c r="C2986">
        <v>18217</v>
      </c>
      <c r="D2986">
        <v>7519</v>
      </c>
      <c r="E2986" t="s">
        <v>2988</v>
      </c>
    </row>
    <row r="2987" spans="1:5">
      <c r="A2987">
        <f>HYPERLINK("http://www.twitter.com/realDonaldTrump/status/715216002347360256", "715216002347360256")</f>
        <v>0</v>
      </c>
      <c r="B2987" s="2">
        <v>42459.6916319444</v>
      </c>
      <c r="C2987">
        <v>18014</v>
      </c>
      <c r="D2987">
        <v>6992</v>
      </c>
      <c r="E2987" t="s">
        <v>2989</v>
      </c>
    </row>
    <row r="2988" spans="1:5">
      <c r="A2988">
        <f>HYPERLINK("http://www.twitter.com/realDonaldTrump/status/715215099082878977", "715215099082878977")</f>
        <v>0</v>
      </c>
      <c r="B2988" s="2">
        <v>42459.6891435185</v>
      </c>
      <c r="C2988">
        <v>0</v>
      </c>
      <c r="D2988">
        <v>3552</v>
      </c>
      <c r="E2988" t="s">
        <v>2990</v>
      </c>
    </row>
    <row r="2989" spans="1:5">
      <c r="A2989">
        <f>HYPERLINK("http://www.twitter.com/realDonaldTrump/status/715013260462960642", "715013260462960642")</f>
        <v>0</v>
      </c>
      <c r="B2989" s="2">
        <v>42459.1321759259</v>
      </c>
      <c r="C2989">
        <v>13434</v>
      </c>
      <c r="D2989">
        <v>4151</v>
      </c>
      <c r="E2989" t="s">
        <v>2991</v>
      </c>
    </row>
    <row r="2990" spans="1:5">
      <c r="A2990">
        <f>HYPERLINK("http://www.twitter.com/realDonaldTrump/status/714967208439451650", "714967208439451650")</f>
        <v>0</v>
      </c>
      <c r="B2990" s="2">
        <v>42459.0050925926</v>
      </c>
      <c r="C2990">
        <v>24233</v>
      </c>
      <c r="D2990">
        <v>8391</v>
      </c>
      <c r="E2990" t="s">
        <v>2992</v>
      </c>
    </row>
    <row r="2991" spans="1:5">
      <c r="A2991">
        <f>HYPERLINK("http://www.twitter.com/realDonaldTrump/status/714926538714660866", "714926538714660866")</f>
        <v>0</v>
      </c>
      <c r="B2991" s="2">
        <v>42458.8928703704</v>
      </c>
      <c r="C2991">
        <v>17837</v>
      </c>
      <c r="D2991">
        <v>7000</v>
      </c>
      <c r="E2991" t="s">
        <v>2993</v>
      </c>
    </row>
    <row r="2992" spans="1:5">
      <c r="A2992">
        <f>HYPERLINK("http://www.twitter.com/realDonaldTrump/status/714925079247847424", "714925079247847424")</f>
        <v>0</v>
      </c>
      <c r="B2992" s="2">
        <v>42458.8888425926</v>
      </c>
      <c r="C2992">
        <v>10580</v>
      </c>
      <c r="D2992">
        <v>3366</v>
      </c>
      <c r="E2992" t="s">
        <v>2994</v>
      </c>
    </row>
    <row r="2993" spans="1:5">
      <c r="A2993">
        <f>HYPERLINK("http://www.twitter.com/realDonaldTrump/status/714911110575562753", "714911110575562753")</f>
        <v>0</v>
      </c>
      <c r="B2993" s="2">
        <v>42458.8502893519</v>
      </c>
      <c r="C2993">
        <v>14596</v>
      </c>
      <c r="D2993">
        <v>5495</v>
      </c>
      <c r="E2993" t="s">
        <v>2995</v>
      </c>
    </row>
    <row r="2994" spans="1:5">
      <c r="A2994">
        <f>HYPERLINK("http://www.twitter.com/realDonaldTrump/status/714899439706574848", "714899439706574848")</f>
        <v>0</v>
      </c>
      <c r="B2994" s="2">
        <v>42458.8180902778</v>
      </c>
      <c r="C2994">
        <v>13897</v>
      </c>
      <c r="D2994">
        <v>6065</v>
      </c>
      <c r="E2994" t="s">
        <v>2996</v>
      </c>
    </row>
    <row r="2995" spans="1:5">
      <c r="A2995">
        <f>HYPERLINK("http://www.twitter.com/realDonaldTrump/status/714898756420939780", "714898756420939780")</f>
        <v>0</v>
      </c>
      <c r="B2995" s="2">
        <v>42458.8162037037</v>
      </c>
      <c r="C2995">
        <v>27698</v>
      </c>
      <c r="D2995">
        <v>12809</v>
      </c>
      <c r="E2995" t="s">
        <v>2997</v>
      </c>
    </row>
    <row r="2996" spans="1:5">
      <c r="A2996">
        <f>HYPERLINK("http://www.twitter.com/realDonaldTrump/status/714894618333212675", "714894618333212675")</f>
        <v>0</v>
      </c>
      <c r="B2996" s="2">
        <v>42458.8047800926</v>
      </c>
      <c r="C2996">
        <v>14617</v>
      </c>
      <c r="D2996">
        <v>6635</v>
      </c>
      <c r="E2996" t="s">
        <v>2998</v>
      </c>
    </row>
    <row r="2997" spans="1:5">
      <c r="A2997">
        <f>HYPERLINK("http://www.twitter.com/realDonaldTrump/status/714891184867508224", "714891184867508224")</f>
        <v>0</v>
      </c>
      <c r="B2997" s="2">
        <v>42458.7953125</v>
      </c>
      <c r="C2997">
        <v>27707</v>
      </c>
      <c r="D2997">
        <v>10952</v>
      </c>
      <c r="E2997" t="s">
        <v>2999</v>
      </c>
    </row>
    <row r="2998" spans="1:5">
      <c r="A2998">
        <f>HYPERLINK("http://www.twitter.com/realDonaldTrump/status/714855791199719424", "714855791199719424")</f>
        <v>0</v>
      </c>
      <c r="B2998" s="2">
        <v>42458.6976388889</v>
      </c>
      <c r="C2998">
        <v>14710</v>
      </c>
      <c r="D2998">
        <v>5448</v>
      </c>
      <c r="E2998" t="s">
        <v>3000</v>
      </c>
    </row>
    <row r="2999" spans="1:5">
      <c r="A2999">
        <f>HYPERLINK("http://www.twitter.com/realDonaldTrump/status/714855025055514624", "714855025055514624")</f>
        <v>0</v>
      </c>
      <c r="B2999" s="2">
        <v>42458.6955208333</v>
      </c>
      <c r="C2999">
        <v>17591</v>
      </c>
      <c r="D2999">
        <v>6316</v>
      </c>
      <c r="E2999" t="s">
        <v>3001</v>
      </c>
    </row>
    <row r="3000" spans="1:5">
      <c r="A3000">
        <f>HYPERLINK("http://www.twitter.com/realDonaldTrump/status/714825845504942080", "714825845504942080")</f>
        <v>0</v>
      </c>
      <c r="B3000" s="2">
        <v>42458.6150115741</v>
      </c>
      <c r="C3000">
        <v>12853</v>
      </c>
      <c r="D3000">
        <v>4415</v>
      </c>
      <c r="E3000" t="s">
        <v>3002</v>
      </c>
    </row>
    <row r="3001" spans="1:5">
      <c r="A3001">
        <f>HYPERLINK("http://www.twitter.com/realDonaldTrump/status/714818473382248448", "714818473382248448")</f>
        <v>0</v>
      </c>
      <c r="B3001" s="2">
        <v>42458.5946643519</v>
      </c>
      <c r="C3001">
        <v>24204</v>
      </c>
      <c r="D3001">
        <v>7502</v>
      </c>
      <c r="E3001" t="s">
        <v>3003</v>
      </c>
    </row>
    <row r="3002" spans="1:5">
      <c r="A3002">
        <f>HYPERLINK("http://www.twitter.com/realDonaldTrump/status/714807977052610569", "714807977052610569")</f>
        <v>0</v>
      </c>
      <c r="B3002" s="2">
        <v>42458.5656944444</v>
      </c>
      <c r="C3002">
        <v>19682</v>
      </c>
      <c r="D3002">
        <v>5630</v>
      </c>
      <c r="E3002" t="s">
        <v>3004</v>
      </c>
    </row>
    <row r="3003" spans="1:5">
      <c r="A3003">
        <f>HYPERLINK("http://www.twitter.com/realDonaldTrump/status/714619931938197504", "714619931938197504")</f>
        <v>0</v>
      </c>
      <c r="B3003" s="2">
        <v>42458.0467939815</v>
      </c>
      <c r="C3003">
        <v>24519</v>
      </c>
      <c r="D3003">
        <v>9633</v>
      </c>
      <c r="E3003" t="s">
        <v>3005</v>
      </c>
    </row>
    <row r="3004" spans="1:5">
      <c r="A3004">
        <f>HYPERLINK("http://www.twitter.com/realDonaldTrump/status/714619106151030784", "714619106151030784")</f>
        <v>0</v>
      </c>
      <c r="B3004" s="2">
        <v>42458.0445138889</v>
      </c>
      <c r="C3004">
        <v>18012</v>
      </c>
      <c r="D3004">
        <v>5402</v>
      </c>
      <c r="E3004" t="s">
        <v>3006</v>
      </c>
    </row>
    <row r="3005" spans="1:5">
      <c r="A3005">
        <f>HYPERLINK("http://www.twitter.com/realDonaldTrump/status/714617467839111173", "714617467839111173")</f>
        <v>0</v>
      </c>
      <c r="B3005" s="2">
        <v>42458.0399884259</v>
      </c>
      <c r="C3005">
        <v>16869</v>
      </c>
      <c r="D3005">
        <v>4934</v>
      </c>
      <c r="E3005" t="s">
        <v>3007</v>
      </c>
    </row>
    <row r="3006" spans="1:5">
      <c r="A3006">
        <f>HYPERLINK("http://www.twitter.com/realDonaldTrump/status/714591260791713792", "714591260791713792")</f>
        <v>0</v>
      </c>
      <c r="B3006" s="2">
        <v>42457.9676736111</v>
      </c>
      <c r="C3006">
        <v>14003</v>
      </c>
      <c r="D3006">
        <v>4392</v>
      </c>
      <c r="E3006" t="s">
        <v>3008</v>
      </c>
    </row>
    <row r="3007" spans="1:5">
      <c r="A3007">
        <f>HYPERLINK("http://www.twitter.com/realDonaldTrump/status/714581499362803713", "714581499362803713")</f>
        <v>0</v>
      </c>
      <c r="B3007" s="2">
        <v>42457.9407407407</v>
      </c>
      <c r="C3007">
        <v>9834</v>
      </c>
      <c r="D3007">
        <v>2775</v>
      </c>
      <c r="E3007" t="s">
        <v>3009</v>
      </c>
    </row>
    <row r="3008" spans="1:5">
      <c r="A3008">
        <f>HYPERLINK("http://www.twitter.com/realDonaldTrump/status/714581379351252996", "714581379351252996")</f>
        <v>0</v>
      </c>
      <c r="B3008" s="2">
        <v>42457.9404050926</v>
      </c>
      <c r="C3008">
        <v>15958</v>
      </c>
      <c r="D3008">
        <v>5955</v>
      </c>
      <c r="E3008" t="s">
        <v>3010</v>
      </c>
    </row>
    <row r="3009" spans="1:5">
      <c r="A3009">
        <f>HYPERLINK("http://www.twitter.com/realDonaldTrump/status/714578358022090752", "714578358022090752")</f>
        <v>0</v>
      </c>
      <c r="B3009" s="2">
        <v>42457.9320717593</v>
      </c>
      <c r="C3009">
        <v>10202</v>
      </c>
      <c r="D3009">
        <v>3576</v>
      </c>
      <c r="E3009" t="s">
        <v>3011</v>
      </c>
    </row>
    <row r="3010" spans="1:5">
      <c r="A3010">
        <f>HYPERLINK("http://www.twitter.com/realDonaldTrump/status/714577392367443970", "714577392367443970")</f>
        <v>0</v>
      </c>
      <c r="B3010" s="2">
        <v>42457.9294097222</v>
      </c>
      <c r="C3010">
        <v>12839</v>
      </c>
      <c r="D3010">
        <v>4395</v>
      </c>
      <c r="E3010" t="s">
        <v>3012</v>
      </c>
    </row>
    <row r="3011" spans="1:5">
      <c r="A3011">
        <f>HYPERLINK("http://www.twitter.com/realDonaldTrump/status/714503667261562880", "714503667261562880")</f>
        <v>0</v>
      </c>
      <c r="B3011" s="2">
        <v>42457.7259606481</v>
      </c>
      <c r="C3011">
        <v>20805</v>
      </c>
      <c r="D3011">
        <v>9149</v>
      </c>
      <c r="E3011" t="s">
        <v>3013</v>
      </c>
    </row>
    <row r="3012" spans="1:5">
      <c r="A3012">
        <f>HYPERLINK("http://www.twitter.com/realDonaldTrump/status/714463489503404032", "714463489503404032")</f>
        <v>0</v>
      </c>
      <c r="B3012" s="2">
        <v>42457.6150925926</v>
      </c>
      <c r="C3012">
        <v>8585</v>
      </c>
      <c r="D3012">
        <v>4241</v>
      </c>
      <c r="E3012" t="s">
        <v>3014</v>
      </c>
    </row>
    <row r="3013" spans="1:5">
      <c r="A3013">
        <f>HYPERLINK("http://www.twitter.com/realDonaldTrump/status/714423264039317505", "714423264039317505")</f>
        <v>0</v>
      </c>
      <c r="B3013" s="2">
        <v>42457.5040972222</v>
      </c>
      <c r="C3013">
        <v>12590</v>
      </c>
      <c r="D3013">
        <v>3603</v>
      </c>
      <c r="E3013" t="s">
        <v>3015</v>
      </c>
    </row>
    <row r="3014" spans="1:5">
      <c r="A3014">
        <f>HYPERLINK("http://www.twitter.com/realDonaldTrump/status/714411420104925184", "714411420104925184")</f>
        <v>0</v>
      </c>
      <c r="B3014" s="2">
        <v>42457.471412037</v>
      </c>
      <c r="C3014">
        <v>13997</v>
      </c>
      <c r="D3014">
        <v>3457</v>
      </c>
      <c r="E3014" t="s">
        <v>3016</v>
      </c>
    </row>
    <row r="3015" spans="1:5">
      <c r="A3015">
        <f>HYPERLINK("http://www.twitter.com/realDonaldTrump/status/714264864575922177", "714264864575922177")</f>
        <v>0</v>
      </c>
      <c r="B3015" s="2">
        <v>42457.0669907407</v>
      </c>
      <c r="C3015">
        <v>8713</v>
      </c>
      <c r="D3015">
        <v>3195</v>
      </c>
      <c r="E3015" t="s">
        <v>3017</v>
      </c>
    </row>
    <row r="3016" spans="1:5">
      <c r="A3016">
        <f>HYPERLINK("http://www.twitter.com/realDonaldTrump/status/714260201927520256", "714260201927520256")</f>
        <v>0</v>
      </c>
      <c r="B3016" s="2">
        <v>42457.0541319444</v>
      </c>
      <c r="C3016">
        <v>22204</v>
      </c>
      <c r="D3016">
        <v>7132</v>
      </c>
      <c r="E3016" t="s">
        <v>3018</v>
      </c>
    </row>
    <row r="3017" spans="1:5">
      <c r="A3017">
        <f>HYPERLINK("http://www.twitter.com/realDonaldTrump/status/714214633016573953", "714214633016573953")</f>
        <v>0</v>
      </c>
      <c r="B3017" s="2">
        <v>42456.9283796296</v>
      </c>
      <c r="C3017">
        <v>14440</v>
      </c>
      <c r="D3017">
        <v>7272</v>
      </c>
      <c r="E3017" t="s">
        <v>3019</v>
      </c>
    </row>
    <row r="3018" spans="1:5">
      <c r="A3018">
        <f>HYPERLINK("http://www.twitter.com/realDonaldTrump/status/714198237675003904", "714198237675003904")</f>
        <v>0</v>
      </c>
      <c r="B3018" s="2">
        <v>42456.8831365741</v>
      </c>
      <c r="C3018">
        <v>27678</v>
      </c>
      <c r="D3018">
        <v>10271</v>
      </c>
      <c r="E3018" t="s">
        <v>3020</v>
      </c>
    </row>
    <row r="3019" spans="1:5">
      <c r="A3019">
        <f>HYPERLINK("http://www.twitter.com/realDonaldTrump/status/714194279409848320", "714194279409848320")</f>
        <v>0</v>
      </c>
      <c r="B3019" s="2">
        <v>42456.8722106482</v>
      </c>
      <c r="C3019">
        <v>17316</v>
      </c>
      <c r="D3019">
        <v>5565</v>
      </c>
      <c r="E3019" t="s">
        <v>3021</v>
      </c>
    </row>
    <row r="3020" spans="1:5">
      <c r="A3020">
        <f>HYPERLINK("http://www.twitter.com/realDonaldTrump/status/714189569793646597", "714189569793646597")</f>
        <v>0</v>
      </c>
      <c r="B3020" s="2">
        <v>42456.859224537</v>
      </c>
      <c r="C3020">
        <v>27204</v>
      </c>
      <c r="D3020">
        <v>11251</v>
      </c>
      <c r="E3020" t="s">
        <v>3022</v>
      </c>
    </row>
    <row r="3021" spans="1:5">
      <c r="A3021">
        <f>HYPERLINK("http://www.twitter.com/realDonaldTrump/status/714175472557424640", "714175472557424640")</f>
        <v>0</v>
      </c>
      <c r="B3021" s="2">
        <v>42456.8203240741</v>
      </c>
      <c r="C3021">
        <v>32155</v>
      </c>
      <c r="D3021">
        <v>9313</v>
      </c>
      <c r="E3021" t="s">
        <v>3023</v>
      </c>
    </row>
    <row r="3022" spans="1:5">
      <c r="A3022">
        <f>HYPERLINK("http://www.twitter.com/realDonaldTrump/status/714095595888238592", "714095595888238592")</f>
        <v>0</v>
      </c>
      <c r="B3022" s="2">
        <v>42456.5998958333</v>
      </c>
      <c r="C3022">
        <v>18637</v>
      </c>
      <c r="D3022">
        <v>6488</v>
      </c>
      <c r="E3022" t="s">
        <v>3024</v>
      </c>
    </row>
    <row r="3023" spans="1:5">
      <c r="A3023">
        <f>HYPERLINK("http://www.twitter.com/realDonaldTrump/status/714093135857631232", "714093135857631232")</f>
        <v>0</v>
      </c>
      <c r="B3023" s="2">
        <v>42456.5931134259</v>
      </c>
      <c r="C3023">
        <v>13414</v>
      </c>
      <c r="D3023">
        <v>3784</v>
      </c>
      <c r="E3023" t="s">
        <v>3025</v>
      </c>
    </row>
    <row r="3024" spans="1:5">
      <c r="A3024">
        <f>HYPERLINK("http://www.twitter.com/realDonaldTrump/status/714075020113240066", "714075020113240066")</f>
        <v>0</v>
      </c>
      <c r="B3024" s="2">
        <v>42456.543125</v>
      </c>
      <c r="C3024">
        <v>10128</v>
      </c>
      <c r="D3024">
        <v>2476</v>
      </c>
      <c r="E3024" t="s">
        <v>3026</v>
      </c>
    </row>
    <row r="3025" spans="1:5">
      <c r="A3025">
        <f>HYPERLINK("http://www.twitter.com/realDonaldTrump/status/713821835402616833", "713821835402616833")</f>
        <v>0</v>
      </c>
      <c r="B3025" s="2">
        <v>42455.8444675926</v>
      </c>
      <c r="C3025">
        <v>34430</v>
      </c>
      <c r="D3025">
        <v>10664</v>
      </c>
      <c r="E3025" t="s">
        <v>3027</v>
      </c>
    </row>
    <row r="3026" spans="1:5">
      <c r="A3026">
        <f>HYPERLINK("http://www.twitter.com/realDonaldTrump/status/713820823665119232", "713820823665119232")</f>
        <v>0</v>
      </c>
      <c r="B3026" s="2">
        <v>42455.8416782407</v>
      </c>
      <c r="C3026">
        <v>29254</v>
      </c>
      <c r="D3026">
        <v>9040</v>
      </c>
      <c r="E3026" t="s">
        <v>3028</v>
      </c>
    </row>
    <row r="3027" spans="1:5">
      <c r="A3027">
        <f>HYPERLINK("http://www.twitter.com/realDonaldTrump/status/713809729764589568", "713809729764589568")</f>
        <v>0</v>
      </c>
      <c r="B3027" s="2">
        <v>42455.8110648148</v>
      </c>
      <c r="C3027">
        <v>18985</v>
      </c>
      <c r="D3027">
        <v>6183</v>
      </c>
      <c r="E3027" t="s">
        <v>3029</v>
      </c>
    </row>
    <row r="3028" spans="1:5">
      <c r="A3028">
        <f>HYPERLINK("http://www.twitter.com/realDonaldTrump/status/713807872388440069", "713807872388440069")</f>
        <v>0</v>
      </c>
      <c r="B3028" s="2">
        <v>42455.8059375</v>
      </c>
      <c r="C3028">
        <v>26952</v>
      </c>
      <c r="D3028">
        <v>9474</v>
      </c>
      <c r="E3028" t="s">
        <v>3030</v>
      </c>
    </row>
    <row r="3029" spans="1:5">
      <c r="A3029">
        <f>HYPERLINK("http://www.twitter.com/realDonaldTrump/status/713806176274804736", "713806176274804736")</f>
        <v>0</v>
      </c>
      <c r="B3029" s="2">
        <v>42455.80125</v>
      </c>
      <c r="C3029">
        <v>19508</v>
      </c>
      <c r="D3029">
        <v>6344</v>
      </c>
      <c r="E3029" t="s">
        <v>3031</v>
      </c>
    </row>
    <row r="3030" spans="1:5">
      <c r="A3030">
        <f>HYPERLINK("http://www.twitter.com/realDonaldTrump/status/713803130417324032", "713803130417324032")</f>
        <v>0</v>
      </c>
      <c r="B3030" s="2">
        <v>42455.7928472222</v>
      </c>
      <c r="C3030">
        <v>22833</v>
      </c>
      <c r="D3030">
        <v>7735</v>
      </c>
      <c r="E3030" t="s">
        <v>3032</v>
      </c>
    </row>
    <row r="3031" spans="1:5">
      <c r="A3031">
        <f>HYPERLINK("http://www.twitter.com/realDonaldTrump/status/713747213801938946", "713747213801938946")</f>
        <v>0</v>
      </c>
      <c r="B3031" s="2">
        <v>42455.6385532407</v>
      </c>
      <c r="C3031">
        <v>30811</v>
      </c>
      <c r="D3031">
        <v>12518</v>
      </c>
      <c r="E3031" t="s">
        <v>3033</v>
      </c>
    </row>
    <row r="3032" spans="1:5">
      <c r="A3032">
        <f>HYPERLINK("http://www.twitter.com/realDonaldTrump/status/713687943278424064", "713687943278424064")</f>
        <v>0</v>
      </c>
      <c r="B3032" s="2">
        <v>42455.475</v>
      </c>
      <c r="C3032">
        <v>14031</v>
      </c>
      <c r="D3032">
        <v>5057</v>
      </c>
      <c r="E3032" t="s">
        <v>3034</v>
      </c>
    </row>
    <row r="3033" spans="1:5">
      <c r="A3033">
        <f>HYPERLINK("http://www.twitter.com/realDonaldTrump/status/713676890750509056", "713676890750509056")</f>
        <v>0</v>
      </c>
      <c r="B3033" s="2">
        <v>42455.4444907407</v>
      </c>
      <c r="C3033">
        <v>18444</v>
      </c>
      <c r="D3033">
        <v>7604</v>
      </c>
      <c r="E3033" t="s">
        <v>3035</v>
      </c>
    </row>
    <row r="3034" spans="1:5">
      <c r="A3034">
        <f>HYPERLINK("http://www.twitter.com/realDonaldTrump/status/713675903797174272", "713675903797174272")</f>
        <v>0</v>
      </c>
      <c r="B3034" s="2">
        <v>42455.4417708333</v>
      </c>
      <c r="C3034">
        <v>8671</v>
      </c>
      <c r="D3034">
        <v>2659</v>
      </c>
      <c r="E3034" t="s">
        <v>3036</v>
      </c>
    </row>
    <row r="3035" spans="1:5">
      <c r="A3035">
        <f>HYPERLINK("http://www.twitter.com/realDonaldTrump/status/713558941662322688", "713558941662322688")</f>
        <v>0</v>
      </c>
      <c r="B3035" s="2">
        <v>42455.1190162037</v>
      </c>
      <c r="C3035">
        <v>10961</v>
      </c>
      <c r="D3035">
        <v>4919</v>
      </c>
      <c r="E3035" t="s">
        <v>3037</v>
      </c>
    </row>
    <row r="3036" spans="1:5">
      <c r="A3036">
        <f>HYPERLINK("http://www.twitter.com/realDonaldTrump/status/713558033129930752", "713558033129930752")</f>
        <v>0</v>
      </c>
      <c r="B3036" s="2">
        <v>42455.1165162037</v>
      </c>
      <c r="C3036">
        <v>12881</v>
      </c>
      <c r="D3036">
        <v>3895</v>
      </c>
      <c r="E3036" t="s">
        <v>3038</v>
      </c>
    </row>
    <row r="3037" spans="1:5">
      <c r="A3037">
        <f>HYPERLINK("http://www.twitter.com/realDonaldTrump/status/713556905550069761", "713556905550069761")</f>
        <v>0</v>
      </c>
      <c r="B3037" s="2">
        <v>42455.1134027778</v>
      </c>
      <c r="C3037">
        <v>17544</v>
      </c>
      <c r="D3037">
        <v>6152</v>
      </c>
      <c r="E3037" t="s">
        <v>3039</v>
      </c>
    </row>
    <row r="3038" spans="1:5">
      <c r="A3038">
        <f>HYPERLINK("http://www.twitter.com/realDonaldTrump/status/713471400082874368", "713471400082874368")</f>
        <v>0</v>
      </c>
      <c r="B3038" s="2">
        <v>42454.8774537037</v>
      </c>
      <c r="C3038">
        <v>16501</v>
      </c>
      <c r="D3038">
        <v>5761</v>
      </c>
      <c r="E3038" t="s">
        <v>3040</v>
      </c>
    </row>
    <row r="3039" spans="1:5">
      <c r="A3039">
        <f>HYPERLINK("http://www.twitter.com/realDonaldTrump/status/713133907567329285", "713133907567329285")</f>
        <v>0</v>
      </c>
      <c r="B3039" s="2">
        <v>42453.9461458333</v>
      </c>
      <c r="C3039">
        <v>32624</v>
      </c>
      <c r="D3039">
        <v>10818</v>
      </c>
      <c r="E3039" t="s">
        <v>3041</v>
      </c>
    </row>
    <row r="3040" spans="1:5">
      <c r="A3040">
        <f>HYPERLINK("http://www.twitter.com/realDonaldTrump/status/713131098969083904", "713131098969083904")</f>
        <v>0</v>
      </c>
      <c r="B3040" s="2">
        <v>42453.9383912037</v>
      </c>
      <c r="C3040">
        <v>27197</v>
      </c>
      <c r="D3040">
        <v>9405</v>
      </c>
      <c r="E3040" t="s">
        <v>3042</v>
      </c>
    </row>
    <row r="3041" spans="1:5">
      <c r="A3041">
        <f>HYPERLINK("http://www.twitter.com/realDonaldTrump/status/713120275299229697", "713120275299229697")</f>
        <v>0</v>
      </c>
      <c r="B3041" s="2">
        <v>42453.9085300926</v>
      </c>
      <c r="C3041">
        <v>26415</v>
      </c>
      <c r="D3041">
        <v>8183</v>
      </c>
      <c r="E3041" t="s">
        <v>3043</v>
      </c>
    </row>
    <row r="3042" spans="1:5">
      <c r="A3042">
        <f>HYPERLINK("http://www.twitter.com/realDonaldTrump/status/713066424563052544", "713066424563052544")</f>
        <v>0</v>
      </c>
      <c r="B3042" s="2">
        <v>42453.7599305556</v>
      </c>
      <c r="C3042">
        <v>21363</v>
      </c>
      <c r="D3042">
        <v>8282</v>
      </c>
      <c r="E3042" t="s">
        <v>3044</v>
      </c>
    </row>
    <row r="3043" spans="1:5">
      <c r="A3043">
        <f>HYPERLINK("http://www.twitter.com/realDonaldTrump/status/713033155989610496", "713033155989610496")</f>
        <v>0</v>
      </c>
      <c r="B3043" s="2">
        <v>42453.668125</v>
      </c>
      <c r="C3043">
        <v>10196</v>
      </c>
      <c r="D3043">
        <v>3935</v>
      </c>
      <c r="E3043" t="s">
        <v>3045</v>
      </c>
    </row>
    <row r="3044" spans="1:5">
      <c r="A3044">
        <f>HYPERLINK("http://www.twitter.com/realDonaldTrump/status/713032429297078274", "713032429297078274")</f>
        <v>0</v>
      </c>
      <c r="B3044" s="2">
        <v>42453.6661226852</v>
      </c>
      <c r="C3044">
        <v>7471</v>
      </c>
      <c r="D3044">
        <v>3074</v>
      </c>
      <c r="E3044" t="s">
        <v>3046</v>
      </c>
    </row>
    <row r="3045" spans="1:5">
      <c r="A3045">
        <f>HYPERLINK("http://www.twitter.com/realDonaldTrump/status/713031504415338497", "713031504415338497")</f>
        <v>0</v>
      </c>
      <c r="B3045" s="2">
        <v>42453.6635648148</v>
      </c>
      <c r="C3045">
        <v>24984</v>
      </c>
      <c r="D3045">
        <v>9842</v>
      </c>
      <c r="E3045" t="s">
        <v>3047</v>
      </c>
    </row>
    <row r="3046" spans="1:5">
      <c r="A3046">
        <f>HYPERLINK("http://www.twitter.com/realDonaldTrump/status/713030660475240448", "713030660475240448")</f>
        <v>0</v>
      </c>
      <c r="B3046" s="2">
        <v>42453.6612384259</v>
      </c>
      <c r="C3046">
        <v>22463</v>
      </c>
      <c r="D3046">
        <v>9397</v>
      </c>
      <c r="E3046" t="s">
        <v>3048</v>
      </c>
    </row>
    <row r="3047" spans="1:5">
      <c r="A3047">
        <f>HYPERLINK("http://www.twitter.com/realDonaldTrump/status/713029867810463744", "713029867810463744")</f>
        <v>0</v>
      </c>
      <c r="B3047" s="2">
        <v>42453.6590509259</v>
      </c>
      <c r="C3047">
        <v>9697</v>
      </c>
      <c r="D3047">
        <v>2570</v>
      </c>
      <c r="E3047" t="s">
        <v>3049</v>
      </c>
    </row>
    <row r="3048" spans="1:5">
      <c r="A3048">
        <f>HYPERLINK("http://www.twitter.com/realDonaldTrump/status/713027407742177280", "713027407742177280")</f>
        <v>0</v>
      </c>
      <c r="B3048" s="2">
        <v>42453.6522685185</v>
      </c>
      <c r="C3048">
        <v>17588</v>
      </c>
      <c r="D3048">
        <v>4451</v>
      </c>
      <c r="E3048" t="s">
        <v>3050</v>
      </c>
    </row>
    <row r="3049" spans="1:5">
      <c r="A3049">
        <f>HYPERLINK("http://www.twitter.com/realDonaldTrump/status/713025973751529472", "713025973751529472")</f>
        <v>0</v>
      </c>
      <c r="B3049" s="2">
        <v>42453.6483101852</v>
      </c>
      <c r="C3049">
        <v>13911</v>
      </c>
      <c r="D3049">
        <v>3422</v>
      </c>
      <c r="E3049" t="s">
        <v>3051</v>
      </c>
    </row>
    <row r="3050" spans="1:5">
      <c r="A3050">
        <f>HYPERLINK("http://www.twitter.com/realDonaldTrump/status/713014127061544961", "713014127061544961")</f>
        <v>0</v>
      </c>
      <c r="B3050" s="2">
        <v>42453.6156134259</v>
      </c>
      <c r="C3050">
        <v>15076</v>
      </c>
      <c r="D3050">
        <v>5950</v>
      </c>
      <c r="E3050" t="s">
        <v>3052</v>
      </c>
    </row>
    <row r="3051" spans="1:5">
      <c r="A3051">
        <f>HYPERLINK("http://www.twitter.com/realDonaldTrump/status/713012937787588609", "713012937787588609")</f>
        <v>0</v>
      </c>
      <c r="B3051" s="2">
        <v>42453.612337963</v>
      </c>
      <c r="C3051">
        <v>16692</v>
      </c>
      <c r="D3051">
        <v>5447</v>
      </c>
      <c r="E3051" t="s">
        <v>3053</v>
      </c>
    </row>
    <row r="3052" spans="1:5">
      <c r="A3052">
        <f>HYPERLINK("http://www.twitter.com/realDonaldTrump/status/713012045214531584", "713012045214531584")</f>
        <v>0</v>
      </c>
      <c r="B3052" s="2">
        <v>42453.6098726852</v>
      </c>
      <c r="C3052">
        <v>21817</v>
      </c>
      <c r="D3052">
        <v>7343</v>
      </c>
      <c r="E3052" t="s">
        <v>3054</v>
      </c>
    </row>
    <row r="3053" spans="1:5">
      <c r="A3053">
        <f>HYPERLINK("http://www.twitter.com/realDonaldTrump/status/713006944047534081", "713006944047534081")</f>
        <v>0</v>
      </c>
      <c r="B3053" s="2">
        <v>42453.5957986111</v>
      </c>
      <c r="C3053">
        <v>15969</v>
      </c>
      <c r="D3053">
        <v>5664</v>
      </c>
      <c r="E3053" t="s">
        <v>3055</v>
      </c>
    </row>
    <row r="3054" spans="1:5">
      <c r="A3054">
        <f>HYPERLINK("http://www.twitter.com/realDonaldTrump/status/713006012085760001", "713006012085760001")</f>
        <v>0</v>
      </c>
      <c r="B3054" s="2">
        <v>42453.5932175926</v>
      </c>
      <c r="C3054">
        <v>14684</v>
      </c>
      <c r="D3054">
        <v>4901</v>
      </c>
      <c r="E3054" t="s">
        <v>3056</v>
      </c>
    </row>
    <row r="3055" spans="1:5">
      <c r="A3055">
        <f>HYPERLINK("http://www.twitter.com/realDonaldTrump/status/713004219234709505", "713004219234709505")</f>
        <v>0</v>
      </c>
      <c r="B3055" s="2">
        <v>42453.588275463</v>
      </c>
      <c r="C3055">
        <v>10758</v>
      </c>
      <c r="D3055">
        <v>3519</v>
      </c>
      <c r="E3055" t="s">
        <v>3057</v>
      </c>
    </row>
    <row r="3056" spans="1:5">
      <c r="A3056">
        <f>HYPERLINK("http://www.twitter.com/realDonaldTrump/status/713003045827780609", "713003045827780609")</f>
        <v>0</v>
      </c>
      <c r="B3056" s="2">
        <v>42453.5850347222</v>
      </c>
      <c r="C3056">
        <v>10765</v>
      </c>
      <c r="D3056">
        <v>3066</v>
      </c>
      <c r="E3056" t="s">
        <v>3058</v>
      </c>
    </row>
    <row r="3057" spans="1:5">
      <c r="A3057">
        <f>HYPERLINK("http://www.twitter.com/realDonaldTrump/status/712997502769872897", "712997502769872897")</f>
        <v>0</v>
      </c>
      <c r="B3057" s="2">
        <v>42453.5697453704</v>
      </c>
      <c r="C3057">
        <v>9791</v>
      </c>
      <c r="D3057">
        <v>2914</v>
      </c>
      <c r="E3057" t="s">
        <v>3059</v>
      </c>
    </row>
    <row r="3058" spans="1:5">
      <c r="A3058">
        <f>HYPERLINK("http://www.twitter.com/realDonaldTrump/status/712972000927551488", "712972000927551488")</f>
        <v>0</v>
      </c>
      <c r="B3058" s="2">
        <v>42453.499375</v>
      </c>
      <c r="C3058">
        <v>14120</v>
      </c>
      <c r="D3058">
        <v>5286</v>
      </c>
      <c r="E3058" t="s">
        <v>3060</v>
      </c>
    </row>
    <row r="3059" spans="1:5">
      <c r="A3059">
        <f>HYPERLINK("http://www.twitter.com/realDonaldTrump/status/712969068396093440", "712969068396093440")</f>
        <v>0</v>
      </c>
      <c r="B3059" s="2">
        <v>42453.4912731481</v>
      </c>
      <c r="C3059">
        <v>15003</v>
      </c>
      <c r="D3059">
        <v>4941</v>
      </c>
      <c r="E3059" t="s">
        <v>3061</v>
      </c>
    </row>
    <row r="3060" spans="1:5">
      <c r="A3060">
        <f>HYPERLINK("http://www.twitter.com/realDonaldTrump/status/712850174838771712", "712850174838771712")</f>
        <v>0</v>
      </c>
      <c r="B3060" s="2">
        <v>42453.1631944444</v>
      </c>
      <c r="C3060">
        <v>24763</v>
      </c>
      <c r="D3060">
        <v>10111</v>
      </c>
      <c r="E3060" t="s">
        <v>3062</v>
      </c>
    </row>
    <row r="3061" spans="1:5">
      <c r="A3061">
        <f>HYPERLINK("http://www.twitter.com/realDonaldTrump/status/712845229674668032", "712845229674668032")</f>
        <v>0</v>
      </c>
      <c r="B3061" s="2">
        <v>42453.1495486111</v>
      </c>
      <c r="C3061">
        <v>10496</v>
      </c>
      <c r="D3061">
        <v>2991</v>
      </c>
      <c r="E3061" t="s">
        <v>3063</v>
      </c>
    </row>
    <row r="3062" spans="1:5">
      <c r="A3062">
        <f>HYPERLINK("http://www.twitter.com/realDonaldTrump/status/712837228272164864", "712837228272164864")</f>
        <v>0</v>
      </c>
      <c r="B3062" s="2">
        <v>42453.1274652778</v>
      </c>
      <c r="C3062">
        <v>9803</v>
      </c>
      <c r="D3062">
        <v>2926</v>
      </c>
      <c r="E3062" t="s">
        <v>3064</v>
      </c>
    </row>
    <row r="3063" spans="1:5">
      <c r="A3063">
        <f>HYPERLINK("http://www.twitter.com/realDonaldTrump/status/712829601081384962", "712829601081384962")</f>
        <v>0</v>
      </c>
      <c r="B3063" s="2">
        <v>42453.1064236111</v>
      </c>
      <c r="C3063">
        <v>13591</v>
      </c>
      <c r="D3063">
        <v>3884</v>
      </c>
      <c r="E3063" t="s">
        <v>3065</v>
      </c>
    </row>
    <row r="3064" spans="1:5">
      <c r="A3064">
        <f>HYPERLINK("http://www.twitter.com/realDonaldTrump/status/712782227747311616", "712782227747311616")</f>
        <v>0</v>
      </c>
      <c r="B3064" s="2">
        <v>42452.9756944444</v>
      </c>
      <c r="C3064">
        <v>30363</v>
      </c>
      <c r="D3064">
        <v>13089</v>
      </c>
      <c r="E3064" t="s">
        <v>10</v>
      </c>
    </row>
    <row r="3065" spans="1:5">
      <c r="A3065">
        <f>HYPERLINK("http://www.twitter.com/realDonaldTrump/status/712756995330281473", "712756995330281473")</f>
        <v>0</v>
      </c>
      <c r="B3065" s="2">
        <v>42452.9060648148</v>
      </c>
      <c r="C3065">
        <v>17848</v>
      </c>
      <c r="D3065">
        <v>4699</v>
      </c>
      <c r="E3065" t="s">
        <v>3066</v>
      </c>
    </row>
    <row r="3066" spans="1:5">
      <c r="A3066">
        <f>HYPERLINK("http://www.twitter.com/realDonaldTrump/status/712748982531977216", "712748982531977216")</f>
        <v>0</v>
      </c>
      <c r="B3066" s="2">
        <v>42452.8839583333</v>
      </c>
      <c r="C3066">
        <v>16746</v>
      </c>
      <c r="D3066">
        <v>3991</v>
      </c>
      <c r="E3066" t="s">
        <v>3067</v>
      </c>
    </row>
    <row r="3067" spans="1:5">
      <c r="A3067">
        <f>HYPERLINK("http://www.twitter.com/realDonaldTrump/status/712731263929618433", "712731263929618433")</f>
        <v>0</v>
      </c>
      <c r="B3067" s="2">
        <v>42452.8350578704</v>
      </c>
      <c r="C3067">
        <v>18944</v>
      </c>
      <c r="D3067">
        <v>5816</v>
      </c>
      <c r="E3067" t="s">
        <v>3068</v>
      </c>
    </row>
    <row r="3068" spans="1:5">
      <c r="A3068">
        <f>HYPERLINK("http://www.twitter.com/realDonaldTrump/status/712729376207540226", "712729376207540226")</f>
        <v>0</v>
      </c>
      <c r="B3068" s="2">
        <v>42452.829849537</v>
      </c>
      <c r="C3068">
        <v>22077</v>
      </c>
      <c r="D3068">
        <v>7160</v>
      </c>
      <c r="E3068" t="s">
        <v>3069</v>
      </c>
    </row>
    <row r="3069" spans="1:5">
      <c r="A3069">
        <f>HYPERLINK("http://www.twitter.com/realDonaldTrump/status/712729040352882690", "712729040352882690")</f>
        <v>0</v>
      </c>
      <c r="B3069" s="2">
        <v>42452.8289236111</v>
      </c>
      <c r="C3069">
        <v>27182</v>
      </c>
      <c r="D3069">
        <v>11012</v>
      </c>
      <c r="E3069" t="s">
        <v>3070</v>
      </c>
    </row>
    <row r="3070" spans="1:5">
      <c r="A3070">
        <f>HYPERLINK("http://www.twitter.com/realDonaldTrump/status/712728075532943361", "712728075532943361")</f>
        <v>0</v>
      </c>
      <c r="B3070" s="2">
        <v>42452.8262615741</v>
      </c>
      <c r="C3070">
        <v>17755</v>
      </c>
      <c r="D3070">
        <v>5329</v>
      </c>
      <c r="E3070" t="s">
        <v>3071</v>
      </c>
    </row>
    <row r="3071" spans="1:5">
      <c r="A3071">
        <f>HYPERLINK("http://www.twitter.com/realDonaldTrump/status/712727046913462272", "712727046913462272")</f>
        <v>0</v>
      </c>
      <c r="B3071" s="2">
        <v>42452.8234259259</v>
      </c>
      <c r="C3071">
        <v>15559</v>
      </c>
      <c r="D3071">
        <v>5388</v>
      </c>
      <c r="E3071" t="s">
        <v>3072</v>
      </c>
    </row>
    <row r="3072" spans="1:5">
      <c r="A3072">
        <f>HYPERLINK("http://www.twitter.com/realDonaldTrump/status/712709458187694080", "712709458187694080")</f>
        <v>0</v>
      </c>
      <c r="B3072" s="2">
        <v>42452.7748842593</v>
      </c>
      <c r="C3072">
        <v>13971</v>
      </c>
      <c r="D3072">
        <v>4270</v>
      </c>
      <c r="E3072" t="s">
        <v>3073</v>
      </c>
    </row>
    <row r="3073" spans="1:5">
      <c r="A3073">
        <f>HYPERLINK("http://www.twitter.com/realDonaldTrump/status/712645789953167360", "712645789953167360")</f>
        <v>0</v>
      </c>
      <c r="B3073" s="2">
        <v>42452.5992013889</v>
      </c>
      <c r="C3073">
        <v>25618</v>
      </c>
      <c r="D3073">
        <v>8125</v>
      </c>
      <c r="E3073" t="s">
        <v>3074</v>
      </c>
    </row>
    <row r="3074" spans="1:5">
      <c r="A3074">
        <f>HYPERLINK("http://www.twitter.com/realDonaldTrump/status/712490195778727936", "712490195778727936")</f>
        <v>0</v>
      </c>
      <c r="B3074" s="2">
        <v>42452.169837963</v>
      </c>
      <c r="C3074">
        <v>25778</v>
      </c>
      <c r="D3074">
        <v>7403</v>
      </c>
      <c r="E3074" t="s">
        <v>3075</v>
      </c>
    </row>
    <row r="3075" spans="1:5">
      <c r="A3075">
        <f>HYPERLINK("http://www.twitter.com/realDonaldTrump/status/712484978735448065", "712484978735448065")</f>
        <v>0</v>
      </c>
      <c r="B3075" s="2">
        <v>42452.1554398148</v>
      </c>
      <c r="C3075">
        <v>25225</v>
      </c>
      <c r="D3075">
        <v>6887</v>
      </c>
      <c r="E3075" t="s">
        <v>3076</v>
      </c>
    </row>
    <row r="3076" spans="1:5">
      <c r="A3076">
        <f>HYPERLINK("http://www.twitter.com/realDonaldTrump/status/712481536470360064", "712481536470360064")</f>
        <v>0</v>
      </c>
      <c r="B3076" s="2">
        <v>42452.1459490741</v>
      </c>
      <c r="C3076">
        <v>21483</v>
      </c>
      <c r="D3076">
        <v>6990</v>
      </c>
      <c r="E3076" t="s">
        <v>3077</v>
      </c>
    </row>
    <row r="3077" spans="1:5">
      <c r="A3077">
        <f>HYPERLINK("http://www.twitter.com/realDonaldTrump/status/712473816614772736", "712473816614772736")</f>
        <v>0</v>
      </c>
      <c r="B3077" s="2">
        <v>42452.1246412037</v>
      </c>
      <c r="C3077">
        <v>36340</v>
      </c>
      <c r="D3077">
        <v>13252</v>
      </c>
      <c r="E3077" t="s">
        <v>3078</v>
      </c>
    </row>
    <row r="3078" spans="1:5">
      <c r="A3078">
        <f>HYPERLINK("http://www.twitter.com/realDonaldTrump/status/712457104515317764", "712457104515317764")</f>
        <v>0</v>
      </c>
      <c r="B3078" s="2">
        <v>42452.0785300926</v>
      </c>
      <c r="C3078">
        <v>36342</v>
      </c>
      <c r="D3078">
        <v>16424</v>
      </c>
      <c r="E3078" t="s">
        <v>3079</v>
      </c>
    </row>
    <row r="3079" spans="1:5">
      <c r="A3079">
        <f>HYPERLINK("http://www.twitter.com/realDonaldTrump/status/712408960918265857", "712408960918265857")</f>
        <v>0</v>
      </c>
      <c r="B3079" s="2">
        <v>42451.9456712963</v>
      </c>
      <c r="C3079">
        <v>34606</v>
      </c>
      <c r="D3079">
        <v>11622</v>
      </c>
      <c r="E3079" t="s">
        <v>3080</v>
      </c>
    </row>
    <row r="3080" spans="1:5">
      <c r="A3080">
        <f>HYPERLINK("http://www.twitter.com/realDonaldTrump/status/712357600621432832", "712357600621432832")</f>
        <v>0</v>
      </c>
      <c r="B3080" s="2">
        <v>42451.8039467593</v>
      </c>
      <c r="C3080">
        <v>29221</v>
      </c>
      <c r="D3080">
        <v>11439</v>
      </c>
      <c r="E3080" t="s">
        <v>3081</v>
      </c>
    </row>
    <row r="3081" spans="1:5">
      <c r="A3081">
        <f>HYPERLINK("http://www.twitter.com/realDonaldTrump/status/712357352972939265", "712357352972939265")</f>
        <v>0</v>
      </c>
      <c r="B3081" s="2">
        <v>42451.8032638889</v>
      </c>
      <c r="C3081">
        <v>8481</v>
      </c>
      <c r="D3081">
        <v>2766</v>
      </c>
      <c r="E3081" t="s">
        <v>3082</v>
      </c>
    </row>
    <row r="3082" spans="1:5">
      <c r="A3082">
        <f>HYPERLINK("http://www.twitter.com/realDonaldTrump/status/712354185988202496", "712354185988202496")</f>
        <v>0</v>
      </c>
      <c r="B3082" s="2">
        <v>42451.794525463</v>
      </c>
      <c r="C3082">
        <v>7865</v>
      </c>
      <c r="D3082">
        <v>2391</v>
      </c>
      <c r="E3082" t="s">
        <v>3083</v>
      </c>
    </row>
    <row r="3083" spans="1:5">
      <c r="A3083">
        <f>HYPERLINK("http://www.twitter.com/realDonaldTrump/status/712351366925180929", "712351366925180929")</f>
        <v>0</v>
      </c>
      <c r="B3083" s="2">
        <v>42451.7867476852</v>
      </c>
      <c r="C3083">
        <v>8575</v>
      </c>
      <c r="D3083">
        <v>2929</v>
      </c>
      <c r="E3083" t="s">
        <v>3084</v>
      </c>
    </row>
    <row r="3084" spans="1:5">
      <c r="A3084">
        <f>HYPERLINK("http://www.twitter.com/realDonaldTrump/status/712343435387260928", "712343435387260928")</f>
        <v>0</v>
      </c>
      <c r="B3084" s="2">
        <v>42451.7648611111</v>
      </c>
      <c r="C3084">
        <v>44779</v>
      </c>
      <c r="D3084">
        <v>17196</v>
      </c>
      <c r="E3084" t="s">
        <v>3085</v>
      </c>
    </row>
    <row r="3085" spans="1:5">
      <c r="A3085">
        <f>HYPERLINK("http://www.twitter.com/realDonaldTrump/status/712311921542873088", "712311921542873088")</f>
        <v>0</v>
      </c>
      <c r="B3085" s="2">
        <v>42451.6778935185</v>
      </c>
      <c r="C3085">
        <v>17080</v>
      </c>
      <c r="D3085">
        <v>7295</v>
      </c>
      <c r="E3085" t="s">
        <v>3086</v>
      </c>
    </row>
    <row r="3086" spans="1:5">
      <c r="A3086">
        <f>HYPERLINK("http://www.twitter.com/realDonaldTrump/status/712300954775887876", "712300954775887876")</f>
        <v>0</v>
      </c>
      <c r="B3086" s="2">
        <v>42451.6476388889</v>
      </c>
      <c r="C3086">
        <v>25777</v>
      </c>
      <c r="D3086">
        <v>8092</v>
      </c>
      <c r="E3086" t="s">
        <v>3087</v>
      </c>
    </row>
    <row r="3087" spans="1:5">
      <c r="A3087">
        <f>HYPERLINK("http://www.twitter.com/realDonaldTrump/status/712294898972680192", "712294898972680192")</f>
        <v>0</v>
      </c>
      <c r="B3087" s="2">
        <v>42451.6309259259</v>
      </c>
      <c r="C3087">
        <v>0</v>
      </c>
      <c r="D3087">
        <v>2891</v>
      </c>
      <c r="E3087" t="s">
        <v>3088</v>
      </c>
    </row>
    <row r="3088" spans="1:5">
      <c r="A3088">
        <f>HYPERLINK("http://www.twitter.com/realDonaldTrump/status/712291375958659072", "712291375958659072")</f>
        <v>0</v>
      </c>
      <c r="B3088" s="2">
        <v>42451.6212037037</v>
      </c>
      <c r="C3088">
        <v>27170</v>
      </c>
      <c r="D3088">
        <v>12281</v>
      </c>
      <c r="E3088" t="s">
        <v>10</v>
      </c>
    </row>
    <row r="3089" spans="1:5">
      <c r="A3089">
        <f>HYPERLINK("http://www.twitter.com/realDonaldTrump/status/712291134991691777", "712291134991691777")</f>
        <v>0</v>
      </c>
      <c r="B3089" s="2">
        <v>42451.6205324074</v>
      </c>
      <c r="C3089">
        <v>20669</v>
      </c>
      <c r="D3089">
        <v>5963</v>
      </c>
      <c r="E3089" t="s">
        <v>3089</v>
      </c>
    </row>
    <row r="3090" spans="1:5">
      <c r="A3090">
        <f>HYPERLINK("http://www.twitter.com/realDonaldTrump/status/712248639947730944", "712248639947730944")</f>
        <v>0</v>
      </c>
      <c r="B3090" s="2">
        <v>42451.503275463</v>
      </c>
      <c r="C3090">
        <v>46803</v>
      </c>
      <c r="D3090">
        <v>17596</v>
      </c>
      <c r="E3090" t="s">
        <v>3090</v>
      </c>
    </row>
    <row r="3091" spans="1:5">
      <c r="A3091">
        <f>HYPERLINK("http://www.twitter.com/realDonaldTrump/status/712235345287516160", "712235345287516160")</f>
        <v>0</v>
      </c>
      <c r="B3091" s="2">
        <v>42451.4665856482</v>
      </c>
      <c r="C3091">
        <v>9508</v>
      </c>
      <c r="D3091">
        <v>3446</v>
      </c>
      <c r="E3091" t="s">
        <v>3091</v>
      </c>
    </row>
    <row r="3092" spans="1:5">
      <c r="A3092">
        <f>HYPERLINK("http://www.twitter.com/realDonaldTrump/status/711742734508421120", "711742734508421120")</f>
        <v>0</v>
      </c>
      <c r="B3092" s="2">
        <v>42450.1072453704</v>
      </c>
      <c r="C3092">
        <v>17589</v>
      </c>
      <c r="D3092">
        <v>5476</v>
      </c>
      <c r="E3092" t="s">
        <v>3092</v>
      </c>
    </row>
    <row r="3093" spans="1:5">
      <c r="A3093">
        <f>HYPERLINK("http://www.twitter.com/realDonaldTrump/status/711653804983361536", "711653804983361536")</f>
        <v>0</v>
      </c>
      <c r="B3093" s="2">
        <v>42449.8618402778</v>
      </c>
      <c r="C3093">
        <v>34780</v>
      </c>
      <c r="D3093">
        <v>12441</v>
      </c>
      <c r="E3093" t="s">
        <v>3093</v>
      </c>
    </row>
    <row r="3094" spans="1:5">
      <c r="A3094">
        <f>HYPERLINK("http://www.twitter.com/realDonaldTrump/status/711639836810203142", "711639836810203142")</f>
        <v>0</v>
      </c>
      <c r="B3094" s="2">
        <v>42449.8232986111</v>
      </c>
      <c r="C3094">
        <v>15134</v>
      </c>
      <c r="D3094">
        <v>3574</v>
      </c>
      <c r="E3094" t="s">
        <v>3094</v>
      </c>
    </row>
    <row r="3095" spans="1:5">
      <c r="A3095">
        <f>HYPERLINK("http://www.twitter.com/realDonaldTrump/status/711638301111939072", "711638301111939072")</f>
        <v>0</v>
      </c>
      <c r="B3095" s="2">
        <v>42449.8190625</v>
      </c>
      <c r="C3095">
        <v>12116</v>
      </c>
      <c r="D3095">
        <v>3254</v>
      </c>
      <c r="E3095" t="s">
        <v>3095</v>
      </c>
    </row>
    <row r="3096" spans="1:5">
      <c r="A3096">
        <f>HYPERLINK("http://www.twitter.com/realDonaldTrump/status/711631122036293632", "711631122036293632")</f>
        <v>0</v>
      </c>
      <c r="B3096" s="2">
        <v>42449.7992476852</v>
      </c>
      <c r="C3096">
        <v>26666</v>
      </c>
      <c r="D3096">
        <v>7519</v>
      </c>
      <c r="E3096" t="s">
        <v>3096</v>
      </c>
    </row>
    <row r="3097" spans="1:5">
      <c r="A3097">
        <f>HYPERLINK("http://www.twitter.com/realDonaldTrump/status/711626493626093573", "711626493626093573")</f>
        <v>0</v>
      </c>
      <c r="B3097" s="2">
        <v>42449.7864814815</v>
      </c>
      <c r="C3097">
        <v>23057</v>
      </c>
      <c r="D3097">
        <v>8255</v>
      </c>
      <c r="E3097" t="s">
        <v>3097</v>
      </c>
    </row>
    <row r="3098" spans="1:5">
      <c r="A3098">
        <f>HYPERLINK("http://www.twitter.com/realDonaldTrump/status/711586556688146434", "711586556688146434")</f>
        <v>0</v>
      </c>
      <c r="B3098" s="2">
        <v>42449.6762731482</v>
      </c>
      <c r="C3098">
        <v>46496</v>
      </c>
      <c r="D3098">
        <v>17512</v>
      </c>
      <c r="E3098" t="s">
        <v>3098</v>
      </c>
    </row>
    <row r="3099" spans="1:5">
      <c r="A3099">
        <f>HYPERLINK("http://www.twitter.com/realDonaldTrump/status/711521532149895168", "711521532149895168")</f>
        <v>0</v>
      </c>
      <c r="B3099" s="2">
        <v>42449.4968402778</v>
      </c>
      <c r="C3099">
        <v>9012</v>
      </c>
      <c r="D3099">
        <v>2157</v>
      </c>
      <c r="E3099" t="s">
        <v>3099</v>
      </c>
    </row>
    <row r="3100" spans="1:5">
      <c r="A3100">
        <f>HYPERLINK("http://www.twitter.com/realDonaldTrump/status/711520501856866304", "711520501856866304")</f>
        <v>0</v>
      </c>
      <c r="B3100" s="2">
        <v>42449.4939930556</v>
      </c>
      <c r="C3100">
        <v>7587</v>
      </c>
      <c r="D3100">
        <v>1946</v>
      </c>
      <c r="E3100" t="s">
        <v>3100</v>
      </c>
    </row>
    <row r="3101" spans="1:5">
      <c r="A3101">
        <f>HYPERLINK("http://www.twitter.com/realDonaldTrump/status/711418254556852224", "711418254556852224")</f>
        <v>0</v>
      </c>
      <c r="B3101" s="2">
        <v>42449.2118518519</v>
      </c>
      <c r="C3101">
        <v>16516</v>
      </c>
      <c r="D3101">
        <v>4094</v>
      </c>
      <c r="E3101" t="s">
        <v>3101</v>
      </c>
    </row>
    <row r="3102" spans="1:5">
      <c r="A3102">
        <f>HYPERLINK("http://www.twitter.com/realDonaldTrump/status/711414965224259586", "711414965224259586")</f>
        <v>0</v>
      </c>
      <c r="B3102" s="2">
        <v>42449.2027662037</v>
      </c>
      <c r="C3102">
        <v>16734</v>
      </c>
      <c r="D3102">
        <v>5406</v>
      </c>
      <c r="E3102" t="s">
        <v>3102</v>
      </c>
    </row>
    <row r="3103" spans="1:5">
      <c r="A3103">
        <f>HYPERLINK("http://www.twitter.com/realDonaldTrump/status/711388380668493824", "711388380668493824")</f>
        <v>0</v>
      </c>
      <c r="B3103" s="2">
        <v>42449.1294097222</v>
      </c>
      <c r="C3103">
        <v>15654</v>
      </c>
      <c r="D3103">
        <v>5286</v>
      </c>
      <c r="E3103" t="s">
        <v>3103</v>
      </c>
    </row>
    <row r="3104" spans="1:5">
      <c r="A3104">
        <f>HYPERLINK("http://www.twitter.com/realDonaldTrump/status/711366483872522240", "711366483872522240")</f>
        <v>0</v>
      </c>
      <c r="B3104" s="2">
        <v>42449.0689814815</v>
      </c>
      <c r="C3104">
        <v>18317</v>
      </c>
      <c r="D3104">
        <v>5364</v>
      </c>
      <c r="E3104" t="s">
        <v>3104</v>
      </c>
    </row>
    <row r="3105" spans="1:5">
      <c r="A3105">
        <f>HYPERLINK("http://www.twitter.com/realDonaldTrump/status/711353589394972674", "711353589394972674")</f>
        <v>0</v>
      </c>
      <c r="B3105" s="2">
        <v>42449.0334027778</v>
      </c>
      <c r="C3105">
        <v>14335</v>
      </c>
      <c r="D3105">
        <v>4601</v>
      </c>
      <c r="E3105" t="s">
        <v>3105</v>
      </c>
    </row>
    <row r="3106" spans="1:5">
      <c r="A3106">
        <f>HYPERLINK("http://www.twitter.com/realDonaldTrump/status/711350170798178304", "711350170798178304")</f>
        <v>0</v>
      </c>
      <c r="B3106" s="2">
        <v>42449.0239699074</v>
      </c>
      <c r="C3106">
        <v>11969</v>
      </c>
      <c r="D3106">
        <v>3232</v>
      </c>
      <c r="E3106" t="s">
        <v>3106</v>
      </c>
    </row>
    <row r="3107" spans="1:5">
      <c r="A3107">
        <f>HYPERLINK("http://www.twitter.com/realDonaldTrump/status/711349494701494272", "711349494701494272")</f>
        <v>0</v>
      </c>
      <c r="B3107" s="2">
        <v>42449.0221064815</v>
      </c>
      <c r="C3107">
        <v>12834</v>
      </c>
      <c r="D3107">
        <v>3995</v>
      </c>
      <c r="E3107" t="s">
        <v>3107</v>
      </c>
    </row>
    <row r="3108" spans="1:5">
      <c r="A3108">
        <f>HYPERLINK("http://www.twitter.com/realDonaldTrump/status/711275596626665472", "711275596626665472")</f>
        <v>0</v>
      </c>
      <c r="B3108" s="2">
        <v>42448.8181828704</v>
      </c>
      <c r="C3108">
        <v>24578</v>
      </c>
      <c r="D3108">
        <v>8481</v>
      </c>
      <c r="E3108" t="s">
        <v>3108</v>
      </c>
    </row>
    <row r="3109" spans="1:5">
      <c r="A3109">
        <f>HYPERLINK("http://www.twitter.com/realDonaldTrump/status/711218418775498752", "711218418775498752")</f>
        <v>0</v>
      </c>
      <c r="B3109" s="2">
        <v>42448.6604050926</v>
      </c>
      <c r="C3109">
        <v>18919</v>
      </c>
      <c r="D3109">
        <v>6493</v>
      </c>
      <c r="E3109" t="s">
        <v>3109</v>
      </c>
    </row>
    <row r="3110" spans="1:5">
      <c r="A3110">
        <f>HYPERLINK("http://www.twitter.com/realDonaldTrump/status/711215886909050881", "711215886909050881")</f>
        <v>0</v>
      </c>
      <c r="B3110" s="2">
        <v>42448.6534143519</v>
      </c>
      <c r="C3110">
        <v>16641</v>
      </c>
      <c r="D3110">
        <v>6011</v>
      </c>
      <c r="E3110" t="s">
        <v>3110</v>
      </c>
    </row>
    <row r="3111" spans="1:5">
      <c r="A3111">
        <f>HYPERLINK("http://www.twitter.com/realDonaldTrump/status/711209847702749184", "711209847702749184")</f>
        <v>0</v>
      </c>
      <c r="B3111" s="2">
        <v>42448.6367476852</v>
      </c>
      <c r="C3111">
        <v>16722</v>
      </c>
      <c r="D3111">
        <v>4209</v>
      </c>
      <c r="E3111" t="s">
        <v>3111</v>
      </c>
    </row>
    <row r="3112" spans="1:5">
      <c r="A3112">
        <f>HYPERLINK("http://www.twitter.com/realDonaldTrump/status/711209246419845120", "711209246419845120")</f>
        <v>0</v>
      </c>
      <c r="B3112" s="2">
        <v>42448.6350925926</v>
      </c>
      <c r="C3112">
        <v>11951</v>
      </c>
      <c r="D3112">
        <v>3175</v>
      </c>
      <c r="E3112" t="s">
        <v>3112</v>
      </c>
    </row>
    <row r="3113" spans="1:5">
      <c r="A3113">
        <f>HYPERLINK("http://www.twitter.com/realDonaldTrump/status/711175267599802368", "711175267599802368")</f>
        <v>0</v>
      </c>
      <c r="B3113" s="2">
        <v>42448.5413310185</v>
      </c>
      <c r="C3113">
        <v>9767</v>
      </c>
      <c r="D3113">
        <v>3344</v>
      </c>
      <c r="E3113" t="s">
        <v>3113</v>
      </c>
    </row>
    <row r="3114" spans="1:5">
      <c r="A3114">
        <f>HYPERLINK("http://www.twitter.com/realDonaldTrump/status/711164424971661312", "711164424971661312")</f>
        <v>0</v>
      </c>
      <c r="B3114" s="2">
        <v>42448.511412037</v>
      </c>
      <c r="C3114">
        <v>7780</v>
      </c>
      <c r="D3114">
        <v>2631</v>
      </c>
      <c r="E3114" t="s">
        <v>3114</v>
      </c>
    </row>
    <row r="3115" spans="1:5">
      <c r="A3115">
        <f>HYPERLINK("http://www.twitter.com/realDonaldTrump/status/711164130384674816", "711164130384674816")</f>
        <v>0</v>
      </c>
      <c r="B3115" s="2">
        <v>42448.5106018518</v>
      </c>
      <c r="C3115">
        <v>11642</v>
      </c>
      <c r="D3115">
        <v>3469</v>
      </c>
      <c r="E3115" t="s">
        <v>3115</v>
      </c>
    </row>
    <row r="3116" spans="1:5">
      <c r="A3116">
        <f>HYPERLINK("http://www.twitter.com/realDonaldTrump/status/711163293365198848", "711163293365198848")</f>
        <v>0</v>
      </c>
      <c r="B3116" s="2">
        <v>42448.508287037</v>
      </c>
      <c r="C3116">
        <v>10801</v>
      </c>
      <c r="D3116">
        <v>3423</v>
      </c>
      <c r="E3116" t="s">
        <v>3116</v>
      </c>
    </row>
    <row r="3117" spans="1:5">
      <c r="A3117">
        <f>HYPERLINK("http://www.twitter.com/realDonaldTrump/status/711088013560778752", "711088013560778752")</f>
        <v>0</v>
      </c>
      <c r="B3117" s="2">
        <v>42448.3005555556</v>
      </c>
      <c r="C3117">
        <v>8477</v>
      </c>
      <c r="D3117">
        <v>2181</v>
      </c>
      <c r="E3117" t="s">
        <v>3117</v>
      </c>
    </row>
    <row r="3118" spans="1:5">
      <c r="A3118">
        <f>HYPERLINK("http://www.twitter.com/realDonaldTrump/status/711087670412185601", "711087670412185601")</f>
        <v>0</v>
      </c>
      <c r="B3118" s="2">
        <v>42448.2996064815</v>
      </c>
      <c r="C3118">
        <v>8801</v>
      </c>
      <c r="D3118">
        <v>2455</v>
      </c>
      <c r="E3118" t="s">
        <v>3118</v>
      </c>
    </row>
    <row r="3119" spans="1:5">
      <c r="A3119">
        <f>HYPERLINK("http://www.twitter.com/realDonaldTrump/status/711087132052295680", "711087132052295680")</f>
        <v>0</v>
      </c>
      <c r="B3119" s="2">
        <v>42448.298125</v>
      </c>
      <c r="C3119">
        <v>10429</v>
      </c>
      <c r="D3119">
        <v>4003</v>
      </c>
      <c r="E3119" t="s">
        <v>3119</v>
      </c>
    </row>
    <row r="3120" spans="1:5">
      <c r="A3120">
        <f>HYPERLINK("http://www.twitter.com/realDonaldTrump/status/711085025857372161", "711085025857372161")</f>
        <v>0</v>
      </c>
      <c r="B3120" s="2">
        <v>42448.2923148148</v>
      </c>
      <c r="C3120">
        <v>15132</v>
      </c>
      <c r="D3120">
        <v>4472</v>
      </c>
      <c r="E3120" t="s">
        <v>3120</v>
      </c>
    </row>
    <row r="3121" spans="1:5">
      <c r="A3121">
        <f>HYPERLINK("http://www.twitter.com/realDonaldTrump/status/711084345356738560", "711084345356738560")</f>
        <v>0</v>
      </c>
      <c r="B3121" s="2">
        <v>42448.2904282407</v>
      </c>
      <c r="C3121">
        <v>9345</v>
      </c>
      <c r="D3121">
        <v>3020</v>
      </c>
      <c r="E3121" t="s">
        <v>3121</v>
      </c>
    </row>
    <row r="3122" spans="1:5">
      <c r="A3122">
        <f>HYPERLINK("http://www.twitter.com/realDonaldTrump/status/711051718608326658", "711051718608326658")</f>
        <v>0</v>
      </c>
      <c r="B3122" s="2">
        <v>42448.2004050926</v>
      </c>
      <c r="C3122">
        <v>5578</v>
      </c>
      <c r="D3122">
        <v>1519</v>
      </c>
      <c r="E3122" t="s">
        <v>3122</v>
      </c>
    </row>
    <row r="3123" spans="1:5">
      <c r="A3123">
        <f>HYPERLINK("http://www.twitter.com/realDonaldTrump/status/711049674782674947", "711049674782674947")</f>
        <v>0</v>
      </c>
      <c r="B3123" s="2">
        <v>42448.1947569444</v>
      </c>
      <c r="C3123">
        <v>15484</v>
      </c>
      <c r="D3123">
        <v>5796</v>
      </c>
      <c r="E3123" t="s">
        <v>3123</v>
      </c>
    </row>
    <row r="3124" spans="1:5">
      <c r="A3124">
        <f>HYPERLINK("http://www.twitter.com/realDonaldTrump/status/711046719421550592", "711046719421550592")</f>
        <v>0</v>
      </c>
      <c r="B3124" s="2">
        <v>42448.1866087963</v>
      </c>
      <c r="C3124">
        <v>9713</v>
      </c>
      <c r="D3124">
        <v>2486</v>
      </c>
      <c r="E3124" t="s">
        <v>3124</v>
      </c>
    </row>
    <row r="3125" spans="1:5">
      <c r="A3125">
        <f>HYPERLINK("http://www.twitter.com/realDonaldTrump/status/711046009992798208", "711046009992798208")</f>
        <v>0</v>
      </c>
      <c r="B3125" s="2">
        <v>42448.1846527778</v>
      </c>
      <c r="C3125">
        <v>7975</v>
      </c>
      <c r="D3125">
        <v>2225</v>
      </c>
      <c r="E3125" t="s">
        <v>3125</v>
      </c>
    </row>
    <row r="3126" spans="1:5">
      <c r="A3126">
        <f>HYPERLINK("http://www.twitter.com/realDonaldTrump/status/711042337158340608", "711042337158340608")</f>
        <v>0</v>
      </c>
      <c r="B3126" s="2">
        <v>42448.1745138889</v>
      </c>
      <c r="C3126">
        <v>9422</v>
      </c>
      <c r="D3126">
        <v>2579</v>
      </c>
      <c r="E3126" t="s">
        <v>3126</v>
      </c>
    </row>
    <row r="3127" spans="1:5">
      <c r="A3127">
        <f>HYPERLINK("http://www.twitter.com/realDonaldTrump/status/711040837036154880", "711040837036154880")</f>
        <v>0</v>
      </c>
      <c r="B3127" s="2">
        <v>42448.1703703704</v>
      </c>
      <c r="C3127">
        <v>9861</v>
      </c>
      <c r="D3127">
        <v>2563</v>
      </c>
      <c r="E3127" t="s">
        <v>3127</v>
      </c>
    </row>
    <row r="3128" spans="1:5">
      <c r="A3128">
        <f>HYPERLINK("http://www.twitter.com/realDonaldTrump/status/711035814164230145", "711035814164230145")</f>
        <v>0</v>
      </c>
      <c r="B3128" s="2">
        <v>42448.1565162037</v>
      </c>
      <c r="C3128">
        <v>8416</v>
      </c>
      <c r="D3128">
        <v>2436</v>
      </c>
      <c r="E3128" t="s">
        <v>3128</v>
      </c>
    </row>
    <row r="3129" spans="1:5">
      <c r="A3129">
        <f>HYPERLINK("http://www.twitter.com/realDonaldTrump/status/711035391302889472", "711035391302889472")</f>
        <v>0</v>
      </c>
      <c r="B3129" s="2">
        <v>42448.1553472222</v>
      </c>
      <c r="C3129">
        <v>13255</v>
      </c>
      <c r="D3129">
        <v>3549</v>
      </c>
      <c r="E3129" t="s">
        <v>3129</v>
      </c>
    </row>
    <row r="3130" spans="1:5">
      <c r="A3130">
        <f>HYPERLINK("http://www.twitter.com/realDonaldTrump/status/711007886558633986", "711007886558633986")</f>
        <v>0</v>
      </c>
      <c r="B3130" s="2">
        <v>42448.0794444444</v>
      </c>
      <c r="C3130">
        <v>0</v>
      </c>
      <c r="D3130">
        <v>3432</v>
      </c>
      <c r="E3130" t="s">
        <v>3130</v>
      </c>
    </row>
    <row r="3131" spans="1:5">
      <c r="A3131">
        <f>HYPERLINK("http://www.twitter.com/realDonaldTrump/status/711007773052559360", "711007773052559360")</f>
        <v>0</v>
      </c>
      <c r="B3131" s="2">
        <v>42448.0791319444</v>
      </c>
      <c r="C3131">
        <v>12716</v>
      </c>
      <c r="D3131">
        <v>3985</v>
      </c>
      <c r="E3131" t="s">
        <v>3131</v>
      </c>
    </row>
    <row r="3132" spans="1:5">
      <c r="A3132">
        <f>HYPERLINK("http://www.twitter.com/realDonaldTrump/status/710995683860484097", "710995683860484097")</f>
        <v>0</v>
      </c>
      <c r="B3132" s="2">
        <v>42448.045775463</v>
      </c>
      <c r="C3132">
        <v>20097</v>
      </c>
      <c r="D3132">
        <v>6712</v>
      </c>
      <c r="E3132" t="s">
        <v>3132</v>
      </c>
    </row>
    <row r="3133" spans="1:5">
      <c r="A3133">
        <f>HYPERLINK("http://www.twitter.com/realDonaldTrump/status/710989203388162050", "710989203388162050")</f>
        <v>0</v>
      </c>
      <c r="B3133" s="2">
        <v>42448.0278935185</v>
      </c>
      <c r="C3133">
        <v>27549</v>
      </c>
      <c r="D3133">
        <v>11380</v>
      </c>
      <c r="E3133" t="s">
        <v>3133</v>
      </c>
    </row>
    <row r="3134" spans="1:5">
      <c r="A3134">
        <f>HYPERLINK("http://www.twitter.com/realDonaldTrump/status/710947686879531008", "710947686879531008")</f>
        <v>0</v>
      </c>
      <c r="B3134" s="2">
        <v>42447.9133217593</v>
      </c>
      <c r="C3134">
        <v>27025</v>
      </c>
      <c r="D3134">
        <v>8476</v>
      </c>
      <c r="E3134" t="s">
        <v>3134</v>
      </c>
    </row>
    <row r="3135" spans="1:5">
      <c r="A3135">
        <f>HYPERLINK("http://www.twitter.com/realDonaldTrump/status/710929239269203968", "710929239269203968")</f>
        <v>0</v>
      </c>
      <c r="B3135" s="2">
        <v>42447.8624189815</v>
      </c>
      <c r="C3135">
        <v>14372</v>
      </c>
      <c r="D3135">
        <v>5080</v>
      </c>
      <c r="E3135" t="s">
        <v>3135</v>
      </c>
    </row>
    <row r="3136" spans="1:5">
      <c r="A3136">
        <f>HYPERLINK("http://www.twitter.com/realDonaldTrump/status/710928532461883392", "710928532461883392")</f>
        <v>0</v>
      </c>
      <c r="B3136" s="2">
        <v>42447.860474537</v>
      </c>
      <c r="C3136">
        <v>8013</v>
      </c>
      <c r="D3136">
        <v>2562</v>
      </c>
      <c r="E3136" t="s">
        <v>3136</v>
      </c>
    </row>
    <row r="3137" spans="1:5">
      <c r="A3137">
        <f>HYPERLINK("http://www.twitter.com/realDonaldTrump/status/710928141112332288", "710928141112332288")</f>
        <v>0</v>
      </c>
      <c r="B3137" s="2">
        <v>42447.8593865741</v>
      </c>
      <c r="C3137">
        <v>14490</v>
      </c>
      <c r="D3137">
        <v>4493</v>
      </c>
      <c r="E3137" t="s">
        <v>3137</v>
      </c>
    </row>
    <row r="3138" spans="1:5">
      <c r="A3138">
        <f>HYPERLINK("http://www.twitter.com/realDonaldTrump/status/710924053981188096", "710924053981188096")</f>
        <v>0</v>
      </c>
      <c r="B3138" s="2">
        <v>42447.8481134259</v>
      </c>
      <c r="C3138">
        <v>12452</v>
      </c>
      <c r="D3138">
        <v>3953</v>
      </c>
      <c r="E3138" t="s">
        <v>3138</v>
      </c>
    </row>
    <row r="3139" spans="1:5">
      <c r="A3139">
        <f>HYPERLINK("http://www.twitter.com/realDonaldTrump/status/710923287430357001", "710923287430357001")</f>
        <v>0</v>
      </c>
      <c r="B3139" s="2">
        <v>42447.8459953704</v>
      </c>
      <c r="C3139">
        <v>20954</v>
      </c>
      <c r="D3139">
        <v>5767</v>
      </c>
      <c r="E3139" t="s">
        <v>3139</v>
      </c>
    </row>
    <row r="3140" spans="1:5">
      <c r="A3140">
        <f>HYPERLINK("http://www.twitter.com/realDonaldTrump/status/710920670608236544", "710920670608236544")</f>
        <v>0</v>
      </c>
      <c r="B3140" s="2">
        <v>42447.8387731481</v>
      </c>
      <c r="C3140">
        <v>14485</v>
      </c>
      <c r="D3140">
        <v>4594</v>
      </c>
      <c r="E3140" t="s">
        <v>3140</v>
      </c>
    </row>
    <row r="3141" spans="1:5">
      <c r="A3141">
        <f>HYPERLINK("http://www.twitter.com/realDonaldTrump/status/710920172106850304", "710920172106850304")</f>
        <v>0</v>
      </c>
      <c r="B3141" s="2">
        <v>42447.8373958333</v>
      </c>
      <c r="C3141">
        <v>11503</v>
      </c>
      <c r="D3141">
        <v>4732</v>
      </c>
      <c r="E3141" t="s">
        <v>3141</v>
      </c>
    </row>
    <row r="3142" spans="1:5">
      <c r="A3142">
        <f>HYPERLINK("http://www.twitter.com/realDonaldTrump/status/710918088460517376", "710918088460517376")</f>
        <v>0</v>
      </c>
      <c r="B3142" s="2">
        <v>42447.8316550926</v>
      </c>
      <c r="C3142">
        <v>9653</v>
      </c>
      <c r="D3142">
        <v>3261</v>
      </c>
      <c r="E3142" t="s">
        <v>3142</v>
      </c>
    </row>
    <row r="3143" spans="1:5">
      <c r="A3143">
        <f>HYPERLINK("http://www.twitter.com/realDonaldTrump/status/710914741321998336", "710914741321998336")</f>
        <v>0</v>
      </c>
      <c r="B3143" s="2">
        <v>42447.8224189815</v>
      </c>
      <c r="C3143">
        <v>18756</v>
      </c>
      <c r="D3143">
        <v>6258</v>
      </c>
      <c r="E3143" t="s">
        <v>3143</v>
      </c>
    </row>
    <row r="3144" spans="1:5">
      <c r="A3144">
        <f>HYPERLINK("http://www.twitter.com/realDonaldTrump/status/710905631008546816", "710905631008546816")</f>
        <v>0</v>
      </c>
      <c r="B3144" s="2">
        <v>42447.7972800926</v>
      </c>
      <c r="C3144">
        <v>7954</v>
      </c>
      <c r="D3144">
        <v>3033</v>
      </c>
      <c r="E3144" t="s">
        <v>3144</v>
      </c>
    </row>
    <row r="3145" spans="1:5">
      <c r="A3145">
        <f>HYPERLINK("http://www.twitter.com/realDonaldTrump/status/710904553219219456", "710904553219219456")</f>
        <v>0</v>
      </c>
      <c r="B3145" s="2">
        <v>42447.7943055556</v>
      </c>
      <c r="C3145">
        <v>13553</v>
      </c>
      <c r="D3145">
        <v>5111</v>
      </c>
      <c r="E3145" t="s">
        <v>3145</v>
      </c>
    </row>
    <row r="3146" spans="1:5">
      <c r="A3146">
        <f>HYPERLINK("http://www.twitter.com/realDonaldTrump/status/710868991309443072", "710868991309443072")</f>
        <v>0</v>
      </c>
      <c r="B3146" s="2">
        <v>42447.6961689815</v>
      </c>
      <c r="C3146">
        <v>16314</v>
      </c>
      <c r="D3146">
        <v>5227</v>
      </c>
      <c r="E3146" t="s">
        <v>3146</v>
      </c>
    </row>
    <row r="3147" spans="1:5">
      <c r="A3147">
        <f>HYPERLINK("http://www.twitter.com/realDonaldTrump/status/710857360399400960", "710857360399400960")</f>
        <v>0</v>
      </c>
      <c r="B3147" s="2">
        <v>42447.6640740741</v>
      </c>
      <c r="C3147">
        <v>9408</v>
      </c>
      <c r="D3147">
        <v>3244</v>
      </c>
      <c r="E3147" t="s">
        <v>3147</v>
      </c>
    </row>
    <row r="3148" spans="1:5">
      <c r="A3148">
        <f>HYPERLINK("http://www.twitter.com/realDonaldTrump/status/710626092114120708", "710626092114120708")</f>
        <v>0</v>
      </c>
      <c r="B3148" s="2">
        <v>42447.0258912037</v>
      </c>
      <c r="C3148">
        <v>34876</v>
      </c>
      <c r="D3148">
        <v>14048</v>
      </c>
      <c r="E3148" t="s">
        <v>3148</v>
      </c>
    </row>
    <row r="3149" spans="1:5">
      <c r="A3149">
        <f>HYPERLINK("http://www.twitter.com/realDonaldTrump/status/710563892687196160", "710563892687196160")</f>
        <v>0</v>
      </c>
      <c r="B3149" s="2">
        <v>42446.8542592593</v>
      </c>
      <c r="C3149">
        <v>32320</v>
      </c>
      <c r="D3149">
        <v>14399</v>
      </c>
      <c r="E3149" t="s">
        <v>10</v>
      </c>
    </row>
    <row r="3150" spans="1:5">
      <c r="A3150">
        <f>HYPERLINK("http://www.twitter.com/realDonaldTrump/status/710534544865239040", "710534544865239040")</f>
        <v>0</v>
      </c>
      <c r="B3150" s="2">
        <v>42446.773275463</v>
      </c>
      <c r="C3150">
        <v>11436</v>
      </c>
      <c r="D3150">
        <v>6365</v>
      </c>
      <c r="E3150" t="s">
        <v>3149</v>
      </c>
    </row>
    <row r="3151" spans="1:5">
      <c r="A3151">
        <f>HYPERLINK("http://www.twitter.com/realDonaldTrump/status/710510524031746052", "710510524031746052")</f>
        <v>0</v>
      </c>
      <c r="B3151" s="2">
        <v>42446.7069907407</v>
      </c>
      <c r="C3151">
        <v>21400</v>
      </c>
      <c r="D3151">
        <v>5875</v>
      </c>
      <c r="E3151" t="s">
        <v>3150</v>
      </c>
    </row>
    <row r="3152" spans="1:5">
      <c r="A3152">
        <f>HYPERLINK("http://www.twitter.com/realDonaldTrump/status/710509591122075648", "710509591122075648")</f>
        <v>0</v>
      </c>
      <c r="B3152" s="2">
        <v>42446.7044097222</v>
      </c>
      <c r="C3152">
        <v>13459</v>
      </c>
      <c r="D3152">
        <v>3321</v>
      </c>
      <c r="E3152" t="s">
        <v>3151</v>
      </c>
    </row>
    <row r="3153" spans="1:5">
      <c r="A3153">
        <f>HYPERLINK("http://www.twitter.com/realDonaldTrump/status/710507173072269314", "710507173072269314")</f>
        <v>0</v>
      </c>
      <c r="B3153" s="2">
        <v>42446.6977430556</v>
      </c>
      <c r="C3153">
        <v>10127</v>
      </c>
      <c r="D3153">
        <v>3638</v>
      </c>
      <c r="E3153" t="s">
        <v>3152</v>
      </c>
    </row>
    <row r="3154" spans="1:5">
      <c r="A3154">
        <f>HYPERLINK("http://www.twitter.com/realDonaldTrump/status/710456179173040128", "710456179173040128")</f>
        <v>0</v>
      </c>
      <c r="B3154" s="2">
        <v>42446.557025463</v>
      </c>
      <c r="C3154">
        <v>13650</v>
      </c>
      <c r="D3154">
        <v>4223</v>
      </c>
      <c r="E3154" t="s">
        <v>3153</v>
      </c>
    </row>
    <row r="3155" spans="1:5">
      <c r="A3155">
        <f>HYPERLINK("http://www.twitter.com/realDonaldTrump/status/710453513155960834", "710453513155960834")</f>
        <v>0</v>
      </c>
      <c r="B3155" s="2">
        <v>42446.5496643518</v>
      </c>
      <c r="C3155">
        <v>12890</v>
      </c>
      <c r="D3155">
        <v>3818</v>
      </c>
      <c r="E3155" t="s">
        <v>3154</v>
      </c>
    </row>
    <row r="3156" spans="1:5">
      <c r="A3156">
        <f>HYPERLINK("http://www.twitter.com/realDonaldTrump/status/710452858043416577", "710452858043416577")</f>
        <v>0</v>
      </c>
      <c r="B3156" s="2">
        <v>42446.5478587963</v>
      </c>
      <c r="C3156">
        <v>16467</v>
      </c>
      <c r="D3156">
        <v>5312</v>
      </c>
      <c r="E3156" t="s">
        <v>3155</v>
      </c>
    </row>
    <row r="3157" spans="1:5">
      <c r="A3157">
        <f>HYPERLINK("http://www.twitter.com/realDonaldTrump/status/710442630207901696", "710442630207901696")</f>
        <v>0</v>
      </c>
      <c r="B3157" s="2">
        <v>42446.5196412037</v>
      </c>
      <c r="C3157">
        <v>14607</v>
      </c>
      <c r="D3157">
        <v>4602</v>
      </c>
      <c r="E3157" t="s">
        <v>3156</v>
      </c>
    </row>
    <row r="3158" spans="1:5">
      <c r="A3158">
        <f>HYPERLINK("http://www.twitter.com/realDonaldTrump/status/710440524524691456", "710440524524691456")</f>
        <v>0</v>
      </c>
      <c r="B3158" s="2">
        <v>42446.5138310185</v>
      </c>
      <c r="C3158">
        <v>13576</v>
      </c>
      <c r="D3158">
        <v>4104</v>
      </c>
      <c r="E3158" t="s">
        <v>3157</v>
      </c>
    </row>
    <row r="3159" spans="1:5">
      <c r="A3159">
        <f>HYPERLINK("http://www.twitter.com/realDonaldTrump/status/710415602851172352", "710415602851172352")</f>
        <v>0</v>
      </c>
      <c r="B3159" s="2">
        <v>42446.4450578704</v>
      </c>
      <c r="C3159">
        <v>21259</v>
      </c>
      <c r="D3159">
        <v>5724</v>
      </c>
      <c r="E3159" t="s">
        <v>3158</v>
      </c>
    </row>
    <row r="3160" spans="1:5">
      <c r="A3160">
        <f>HYPERLINK("http://www.twitter.com/realDonaldTrump/status/710409594204524544", "710409594204524544")</f>
        <v>0</v>
      </c>
      <c r="B3160" s="2">
        <v>42446.4284722222</v>
      </c>
      <c r="C3160">
        <v>14225</v>
      </c>
      <c r="D3160">
        <v>4326</v>
      </c>
      <c r="E3160" t="s">
        <v>3159</v>
      </c>
    </row>
    <row r="3161" spans="1:5">
      <c r="A3161">
        <f>HYPERLINK("http://www.twitter.com/realDonaldTrump/status/710407581899079680", "710407581899079680")</f>
        <v>0</v>
      </c>
      <c r="B3161" s="2">
        <v>42446.4229166667</v>
      </c>
      <c r="C3161">
        <v>13390</v>
      </c>
      <c r="D3161">
        <v>4380</v>
      </c>
      <c r="E3161" t="s">
        <v>3160</v>
      </c>
    </row>
    <row r="3162" spans="1:5">
      <c r="A3162">
        <f>HYPERLINK("http://www.twitter.com/realDonaldTrump/status/710215733477822465", "710215733477822465")</f>
        <v>0</v>
      </c>
      <c r="B3162" s="2">
        <v>42445.8935185185</v>
      </c>
      <c r="C3162">
        <v>12127</v>
      </c>
      <c r="D3162">
        <v>3161</v>
      </c>
      <c r="E3162" t="s">
        <v>3161</v>
      </c>
    </row>
    <row r="3163" spans="1:5">
      <c r="A3163">
        <f>HYPERLINK("http://www.twitter.com/realDonaldTrump/status/710214487643693058", "710214487643693058")</f>
        <v>0</v>
      </c>
      <c r="B3163" s="2">
        <v>42445.8900810185</v>
      </c>
      <c r="C3163">
        <v>17132</v>
      </c>
      <c r="D3163">
        <v>5004</v>
      </c>
      <c r="E3163" t="s">
        <v>3162</v>
      </c>
    </row>
    <row r="3164" spans="1:5">
      <c r="A3164">
        <f>HYPERLINK("http://www.twitter.com/realDonaldTrump/status/710177855796350977", "710177855796350977")</f>
        <v>0</v>
      </c>
      <c r="B3164" s="2">
        <v>42445.7889930556</v>
      </c>
      <c r="C3164">
        <v>27353</v>
      </c>
      <c r="D3164">
        <v>7627</v>
      </c>
      <c r="E3164" t="s">
        <v>3163</v>
      </c>
    </row>
    <row r="3165" spans="1:5">
      <c r="A3165">
        <f>HYPERLINK("http://www.twitter.com/realDonaldTrump/status/710176870575292416", "710176870575292416")</f>
        <v>0</v>
      </c>
      <c r="B3165" s="2">
        <v>42445.7862847222</v>
      </c>
      <c r="C3165">
        <v>0</v>
      </c>
      <c r="D3165">
        <v>6353</v>
      </c>
      <c r="E3165" t="s">
        <v>3164</v>
      </c>
    </row>
    <row r="3166" spans="1:5">
      <c r="A3166">
        <f>HYPERLINK("http://www.twitter.com/realDonaldTrump/status/710160479889575938", "710160479889575938")</f>
        <v>0</v>
      </c>
      <c r="B3166" s="2">
        <v>42445.7410532407</v>
      </c>
      <c r="C3166">
        <v>18639</v>
      </c>
      <c r="D3166">
        <v>4824</v>
      </c>
      <c r="E3166" t="s">
        <v>3165</v>
      </c>
    </row>
    <row r="3167" spans="1:5">
      <c r="A3167">
        <f>HYPERLINK("http://www.twitter.com/realDonaldTrump/status/710152303966351361", "710152303966351361")</f>
        <v>0</v>
      </c>
      <c r="B3167" s="2">
        <v>42445.7184837963</v>
      </c>
      <c r="C3167">
        <v>19748</v>
      </c>
      <c r="D3167">
        <v>5656</v>
      </c>
      <c r="E3167" t="s">
        <v>3166</v>
      </c>
    </row>
    <row r="3168" spans="1:5">
      <c r="A3168">
        <f>HYPERLINK("http://www.twitter.com/realDonaldTrump/status/710151964726792192", "710151964726792192")</f>
        <v>0</v>
      </c>
      <c r="B3168" s="2">
        <v>42445.7175578704</v>
      </c>
      <c r="C3168">
        <v>24778</v>
      </c>
      <c r="D3168">
        <v>8097</v>
      </c>
      <c r="E3168" t="s">
        <v>3167</v>
      </c>
    </row>
    <row r="3169" spans="1:5">
      <c r="A3169">
        <f>HYPERLINK("http://www.twitter.com/realDonaldTrump/status/710149837979836416", "710149837979836416")</f>
        <v>0</v>
      </c>
      <c r="B3169" s="2">
        <v>42445.7116782407</v>
      </c>
      <c r="C3169">
        <v>17497</v>
      </c>
      <c r="D3169">
        <v>5275</v>
      </c>
      <c r="E3169" t="s">
        <v>3168</v>
      </c>
    </row>
    <row r="3170" spans="1:5">
      <c r="A3170">
        <f>HYPERLINK("http://www.twitter.com/realDonaldTrump/status/710138547827769344", "710138547827769344")</f>
        <v>0</v>
      </c>
      <c r="B3170" s="2">
        <v>42445.6805324074</v>
      </c>
      <c r="C3170">
        <v>15707</v>
      </c>
      <c r="D3170">
        <v>7720</v>
      </c>
      <c r="E3170" t="s">
        <v>3169</v>
      </c>
    </row>
    <row r="3171" spans="1:5">
      <c r="A3171">
        <f>HYPERLINK("http://www.twitter.com/realDonaldTrump/status/710097701698936835", "710097701698936835")</f>
        <v>0</v>
      </c>
      <c r="B3171" s="2">
        <v>42445.5678125</v>
      </c>
      <c r="C3171">
        <v>9199</v>
      </c>
      <c r="D3171">
        <v>2300</v>
      </c>
      <c r="E3171" t="s">
        <v>3170</v>
      </c>
    </row>
    <row r="3172" spans="1:5">
      <c r="A3172">
        <f>HYPERLINK("http://www.twitter.com/realDonaldTrump/status/710096863383277568", "710096863383277568")</f>
        <v>0</v>
      </c>
      <c r="B3172" s="2">
        <v>42445.5654976852</v>
      </c>
      <c r="C3172">
        <v>11455</v>
      </c>
      <c r="D3172">
        <v>3507</v>
      </c>
      <c r="E3172" t="s">
        <v>3171</v>
      </c>
    </row>
    <row r="3173" spans="1:5">
      <c r="A3173">
        <f>HYPERLINK("http://www.twitter.com/realDonaldTrump/status/710074677775966208", "710074677775966208")</f>
        <v>0</v>
      </c>
      <c r="B3173" s="2">
        <v>42445.5042824074</v>
      </c>
      <c r="C3173">
        <v>10457</v>
      </c>
      <c r="D3173">
        <v>2996</v>
      </c>
      <c r="E3173" t="s">
        <v>3172</v>
      </c>
    </row>
    <row r="3174" spans="1:5">
      <c r="A3174">
        <f>HYPERLINK("http://www.twitter.com/realDonaldTrump/status/710073634837176320", "710073634837176320")</f>
        <v>0</v>
      </c>
      <c r="B3174" s="2">
        <v>42445.501400463</v>
      </c>
      <c r="C3174">
        <v>6972</v>
      </c>
      <c r="D3174">
        <v>1424</v>
      </c>
      <c r="E3174" t="s">
        <v>3173</v>
      </c>
    </row>
    <row r="3175" spans="1:5">
      <c r="A3175">
        <f>HYPERLINK("http://www.twitter.com/realDonaldTrump/status/710066971367190528", "710066971367190528")</f>
        <v>0</v>
      </c>
      <c r="B3175" s="2">
        <v>42445.4830208333</v>
      </c>
      <c r="C3175">
        <v>5952</v>
      </c>
      <c r="D3175">
        <v>1184</v>
      </c>
      <c r="E3175" t="s">
        <v>3174</v>
      </c>
    </row>
    <row r="3176" spans="1:5">
      <c r="A3176">
        <f>HYPERLINK("http://www.twitter.com/realDonaldTrump/status/710050536259764226", "710050536259764226")</f>
        <v>0</v>
      </c>
      <c r="B3176" s="2">
        <v>42445.437662037</v>
      </c>
      <c r="C3176">
        <v>6131</v>
      </c>
      <c r="D3176">
        <v>1264</v>
      </c>
      <c r="E3176" t="s">
        <v>3175</v>
      </c>
    </row>
    <row r="3177" spans="1:5">
      <c r="A3177">
        <f>HYPERLINK("http://www.twitter.com/realDonaldTrump/status/710050169505640448", "710050169505640448")</f>
        <v>0</v>
      </c>
      <c r="B3177" s="2">
        <v>42445.4366550926</v>
      </c>
      <c r="C3177">
        <v>6669</v>
      </c>
      <c r="D3177">
        <v>1313</v>
      </c>
      <c r="E3177" t="s">
        <v>3176</v>
      </c>
    </row>
    <row r="3178" spans="1:5">
      <c r="A3178">
        <f>HYPERLINK("http://www.twitter.com/realDonaldTrump/status/709980217872351232", "709980217872351232")</f>
        <v>0</v>
      </c>
      <c r="B3178" s="2">
        <v>42445.2436226852</v>
      </c>
      <c r="C3178">
        <v>8343</v>
      </c>
      <c r="D3178">
        <v>2043</v>
      </c>
      <c r="E3178" t="s">
        <v>3177</v>
      </c>
    </row>
    <row r="3179" spans="1:5">
      <c r="A3179">
        <f>HYPERLINK("http://www.twitter.com/realDonaldTrump/status/709976236441935872", "709976236441935872")</f>
        <v>0</v>
      </c>
      <c r="B3179" s="2">
        <v>42445.2326388889</v>
      </c>
      <c r="C3179">
        <v>9322</v>
      </c>
      <c r="D3179">
        <v>2577</v>
      </c>
      <c r="E3179" t="s">
        <v>3178</v>
      </c>
    </row>
    <row r="3180" spans="1:5">
      <c r="A3180">
        <f>HYPERLINK("http://www.twitter.com/realDonaldTrump/status/709941293477195776", "709941293477195776")</f>
        <v>0</v>
      </c>
      <c r="B3180" s="2">
        <v>42445.1362152778</v>
      </c>
      <c r="C3180">
        <v>31333</v>
      </c>
      <c r="D3180">
        <v>15320</v>
      </c>
      <c r="E3180" t="s">
        <v>3179</v>
      </c>
    </row>
    <row r="3181" spans="1:5">
      <c r="A3181">
        <f>HYPERLINK("http://www.twitter.com/realDonaldTrump/status/709930663953231873", "709930663953231873")</f>
        <v>0</v>
      </c>
      <c r="B3181" s="2">
        <v>42445.106875</v>
      </c>
      <c r="C3181">
        <v>17388</v>
      </c>
      <c r="D3181">
        <v>3513</v>
      </c>
      <c r="E3181" t="s">
        <v>3180</v>
      </c>
    </row>
    <row r="3182" spans="1:5">
      <c r="A3182">
        <f>HYPERLINK("http://www.twitter.com/realDonaldTrump/status/709919330574725124", "709919330574725124")</f>
        <v>0</v>
      </c>
      <c r="B3182" s="2">
        <v>42445.0756018519</v>
      </c>
      <c r="C3182">
        <v>17561</v>
      </c>
      <c r="D3182">
        <v>6294</v>
      </c>
      <c r="E3182" t="s">
        <v>3181</v>
      </c>
    </row>
    <row r="3183" spans="1:5">
      <c r="A3183">
        <f>HYPERLINK("http://www.twitter.com/realDonaldTrump/status/709915576173469700", "709915576173469700")</f>
        <v>0</v>
      </c>
      <c r="B3183" s="2">
        <v>42445.0652430556</v>
      </c>
      <c r="C3183">
        <v>18230</v>
      </c>
      <c r="D3183">
        <v>6470</v>
      </c>
      <c r="E3183" t="s">
        <v>3182</v>
      </c>
    </row>
    <row r="3184" spans="1:5">
      <c r="A3184">
        <f>HYPERLINK("http://www.twitter.com/realDonaldTrump/status/709894230710337536", "709894230710337536")</f>
        <v>0</v>
      </c>
      <c r="B3184" s="2">
        <v>42445.0063425926</v>
      </c>
      <c r="C3184">
        <v>17087</v>
      </c>
      <c r="D3184">
        <v>5246</v>
      </c>
      <c r="E3184" t="s">
        <v>3183</v>
      </c>
    </row>
    <row r="3185" spans="1:5">
      <c r="A3185">
        <f>HYPERLINK("http://www.twitter.com/realDonaldTrump/status/709893334588919808", "709893334588919808")</f>
        <v>0</v>
      </c>
      <c r="B3185" s="2">
        <v>42445.0038657407</v>
      </c>
      <c r="C3185">
        <v>24837</v>
      </c>
      <c r="D3185">
        <v>10193</v>
      </c>
      <c r="E3185" t="s">
        <v>3184</v>
      </c>
    </row>
    <row r="3186" spans="1:5">
      <c r="A3186">
        <f>HYPERLINK("http://www.twitter.com/realDonaldTrump/status/709893235884335106", "709893235884335106")</f>
        <v>0</v>
      </c>
      <c r="B3186" s="2">
        <v>42445.003599537</v>
      </c>
      <c r="C3186">
        <v>13960</v>
      </c>
      <c r="D3186">
        <v>4337</v>
      </c>
      <c r="E3186" t="s">
        <v>3185</v>
      </c>
    </row>
    <row r="3187" spans="1:5">
      <c r="A3187">
        <f>HYPERLINK("http://www.twitter.com/realDonaldTrump/status/709893207845376004", "709893207845376004")</f>
        <v>0</v>
      </c>
      <c r="B3187" s="2">
        <v>42445.0035185185</v>
      </c>
      <c r="C3187">
        <v>16444</v>
      </c>
      <c r="D3187">
        <v>4260</v>
      </c>
      <c r="E3187" t="s">
        <v>3186</v>
      </c>
    </row>
    <row r="3188" spans="1:5">
      <c r="A3188">
        <f>HYPERLINK("http://www.twitter.com/realDonaldTrump/status/709890544860852224", "709890544860852224")</f>
        <v>0</v>
      </c>
      <c r="B3188" s="2">
        <v>42444.9961689815</v>
      </c>
      <c r="C3188">
        <v>12401</v>
      </c>
      <c r="D3188">
        <v>3803</v>
      </c>
      <c r="E3188" t="s">
        <v>3187</v>
      </c>
    </row>
    <row r="3189" spans="1:5">
      <c r="A3189">
        <f>HYPERLINK("http://www.twitter.com/realDonaldTrump/status/709886835628105728", "709886835628105728")</f>
        <v>0</v>
      </c>
      <c r="B3189" s="2">
        <v>42444.9859375</v>
      </c>
      <c r="C3189">
        <v>11176</v>
      </c>
      <c r="D3189">
        <v>3301</v>
      </c>
      <c r="E3189" t="s">
        <v>3188</v>
      </c>
    </row>
    <row r="3190" spans="1:5">
      <c r="A3190">
        <f>HYPERLINK("http://www.twitter.com/realDonaldTrump/status/709886343309107200", "709886343309107200")</f>
        <v>0</v>
      </c>
      <c r="B3190" s="2">
        <v>42444.9845717593</v>
      </c>
      <c r="C3190">
        <v>7870</v>
      </c>
      <c r="D3190">
        <v>2460</v>
      </c>
      <c r="E3190" t="s">
        <v>3189</v>
      </c>
    </row>
    <row r="3191" spans="1:5">
      <c r="A3191">
        <f>HYPERLINK("http://www.twitter.com/realDonaldTrump/status/709885620034867200", "709885620034867200")</f>
        <v>0</v>
      </c>
      <c r="B3191" s="2">
        <v>42444.9825810185</v>
      </c>
      <c r="C3191">
        <v>8486</v>
      </c>
      <c r="D3191">
        <v>2595</v>
      </c>
      <c r="E3191" t="s">
        <v>3190</v>
      </c>
    </row>
    <row r="3192" spans="1:5">
      <c r="A3192">
        <f>HYPERLINK("http://www.twitter.com/realDonaldTrump/status/709885396285579264", "709885396285579264")</f>
        <v>0</v>
      </c>
      <c r="B3192" s="2">
        <v>42444.9819675926</v>
      </c>
      <c r="C3192">
        <v>8322</v>
      </c>
      <c r="D3192">
        <v>2370</v>
      </c>
      <c r="E3192" t="s">
        <v>3191</v>
      </c>
    </row>
    <row r="3193" spans="1:5">
      <c r="A3193">
        <f>HYPERLINK("http://www.twitter.com/realDonaldTrump/status/709883604093018113", "709883604093018113")</f>
        <v>0</v>
      </c>
      <c r="B3193" s="2">
        <v>42444.9770138889</v>
      </c>
      <c r="C3193">
        <v>10398</v>
      </c>
      <c r="D3193">
        <v>3019</v>
      </c>
      <c r="E3193" t="s">
        <v>3192</v>
      </c>
    </row>
    <row r="3194" spans="1:5">
      <c r="A3194">
        <f>HYPERLINK("http://www.twitter.com/realDonaldTrump/status/709878592189153280", "709878592189153280")</f>
        <v>0</v>
      </c>
      <c r="B3194" s="2">
        <v>42444.9631828704</v>
      </c>
      <c r="C3194">
        <v>20652</v>
      </c>
      <c r="D3194">
        <v>5880</v>
      </c>
      <c r="E3194" t="s">
        <v>3193</v>
      </c>
    </row>
    <row r="3195" spans="1:5">
      <c r="A3195">
        <f>HYPERLINK("http://www.twitter.com/realDonaldTrump/status/709819253977915392", "709819253977915392")</f>
        <v>0</v>
      </c>
      <c r="B3195" s="2">
        <v>42444.7994444444</v>
      </c>
      <c r="C3195">
        <v>19854</v>
      </c>
      <c r="D3195">
        <v>7951</v>
      </c>
      <c r="E3195" t="s">
        <v>3194</v>
      </c>
    </row>
    <row r="3196" spans="1:5">
      <c r="A3196">
        <f>HYPERLINK("http://www.twitter.com/realDonaldTrump/status/709775232152817664", "709775232152817664")</f>
        <v>0</v>
      </c>
      <c r="B3196" s="2">
        <v>42444.677962963</v>
      </c>
      <c r="C3196">
        <v>17514</v>
      </c>
      <c r="D3196">
        <v>6329</v>
      </c>
      <c r="E3196" t="s">
        <v>3195</v>
      </c>
    </row>
    <row r="3197" spans="1:5">
      <c r="A3197">
        <f>HYPERLINK("http://www.twitter.com/realDonaldTrump/status/709772129651265540", "709772129651265540")</f>
        <v>0</v>
      </c>
      <c r="B3197" s="2">
        <v>42444.6694097222</v>
      </c>
      <c r="C3197">
        <v>15325</v>
      </c>
      <c r="D3197">
        <v>4646</v>
      </c>
      <c r="E3197" t="s">
        <v>3196</v>
      </c>
    </row>
    <row r="3198" spans="1:5">
      <c r="A3198">
        <f>HYPERLINK("http://www.twitter.com/realDonaldTrump/status/709756933666967555", "709756933666967555")</f>
        <v>0</v>
      </c>
      <c r="B3198" s="2">
        <v>42444.6274768518</v>
      </c>
      <c r="C3198">
        <v>16192</v>
      </c>
      <c r="D3198">
        <v>5396</v>
      </c>
      <c r="E3198" t="s">
        <v>3197</v>
      </c>
    </row>
    <row r="3199" spans="1:5">
      <c r="A3199">
        <f>HYPERLINK("http://www.twitter.com/realDonaldTrump/status/709754445907759105", "709754445907759105")</f>
        <v>0</v>
      </c>
      <c r="B3199" s="2">
        <v>42444.6206134259</v>
      </c>
      <c r="C3199">
        <v>11746</v>
      </c>
      <c r="D3199">
        <v>3431</v>
      </c>
      <c r="E3199" t="s">
        <v>3198</v>
      </c>
    </row>
    <row r="3200" spans="1:5">
      <c r="A3200">
        <f>HYPERLINK("http://www.twitter.com/realDonaldTrump/status/709750033915256838", "709750033915256838")</f>
        <v>0</v>
      </c>
      <c r="B3200" s="2">
        <v>42444.6084375</v>
      </c>
      <c r="C3200">
        <v>0</v>
      </c>
      <c r="D3200">
        <v>5423</v>
      </c>
      <c r="E3200" t="s">
        <v>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2017-02-05T03:24:49Z</dcterms:created>
  <dcterms:modified xsi:type="dcterms:W3CDTF">2017-02-05T03:24:49Z</dcterms:modified>
</cp:coreProperties>
</file>